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Jie\Documents\Soccer_Interactive_Table_2020\"/>
    </mc:Choice>
  </mc:AlternateContent>
  <xr:revisionPtr revIDLastSave="0" documentId="8_{2E8244CD-EFE4-420D-A572-87260AE7968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shboard" sheetId="22" r:id="rId1"/>
    <sheet name="League Table" sheetId="32" r:id="rId2"/>
    <sheet name="tableTmp" sheetId="30" state="veryHidden" r:id="rId3"/>
    <sheet name="Deduction" sheetId="26" r:id="rId4"/>
    <sheet name="fixtures" sheetId="3" r:id="rId5"/>
    <sheet name="fixtures_tmp" sheetId="29" state="veryHidden" r:id="rId6"/>
    <sheet name="Fixtures_by_Clubs" sheetId="8" r:id="rId7"/>
    <sheet name="Fixtures_by_Date" sheetId="12" r:id="rId8"/>
  </sheets>
  <definedNames>
    <definedName name="_xlnm._FilterDatabase" localSheetId="4" hidden="1">fixtures!$A$1:$AZ$386</definedName>
    <definedName name="_xlnm._FilterDatabase" localSheetId="7" hidden="1">Fixtures_by_Date!$A$1:$M$564</definedName>
    <definedName name="HA_01">INDEX(tableTmp!$C$2:$C$22,MATCH('League Table'!$S$2,tableTmp!$B$2:$B$22,0))</definedName>
    <definedName name="HA_02">INDEX(tableTmp!$C$2:$C$22,MATCH('League Table'!$S$3,tableTmp!$B$2:$B$22,0))</definedName>
    <definedName name="HA_03">INDEX(tableTmp!$C$2:$C$22,MATCH('League Table'!$S$4,tableTmp!$B$2:$B$22,0))</definedName>
    <definedName name="HA_04">INDEX(tableTmp!$C$2:$C$22,MATCH('League Table'!$S$5,tableTmp!$B$2:$B$22,0))</definedName>
    <definedName name="HA_05">INDEX(tableTmp!$C$2:$C$22,MATCH('League Table'!$S$6,tableTmp!$B$2:$B$22,0))</definedName>
    <definedName name="HA_06">INDEX(tableTmp!$C$2:$C$22,MATCH('League Table'!$S$7,tableTmp!$B$2:$B$22,0))</definedName>
    <definedName name="HA_07">INDEX(tableTmp!$C$2:$C$22,MATCH('League Table'!$S$8,tableTmp!$B$2:$B$22,0))</definedName>
    <definedName name="HA_08">INDEX(tableTmp!$C$2:$C$22,MATCH('League Table'!$S$9,tableTmp!$B$2:$B$22,0))</definedName>
    <definedName name="HA_09">INDEX(tableTmp!$C$2:$C$22,MATCH('League Table'!$S$10,tableTmp!$B$2:$B$22,0))</definedName>
    <definedName name="HA_10">INDEX(tableTmp!$C$2:$C$22,MATCH('League Table'!$S$11,tableTmp!$B$2:$B$22,0))</definedName>
    <definedName name="HA_11">INDEX(tableTmp!$C$2:$C$22,MATCH('League Table'!$S$12,tableTmp!$B$2:$B$22,0))</definedName>
    <definedName name="HA_12">INDEX(tableTmp!$C$2:$C$22,MATCH('League Table'!$S$13,tableTmp!$B$2:$B$22,0))</definedName>
    <definedName name="HA_13">INDEX(tableTmp!$C$2:$C$22,MATCH('League Table'!$S$14,tableTmp!$B$2:$B$22,0))</definedName>
    <definedName name="HA_14">INDEX(tableTmp!$C$2:$C$22,MATCH('League Table'!$S$15,tableTmp!$B$2:$B$22,0))</definedName>
    <definedName name="HA_15">INDEX(tableTmp!$C$2:$C$22,MATCH('League Table'!$S$16,tableTmp!$B$2:$B$22,0))</definedName>
    <definedName name="HA_16">INDEX(tableTmp!$C$2:$C$22,MATCH('League Table'!$S$17,tableTmp!$B$2:$B$22,0))</definedName>
    <definedName name="HA_17">INDEX(tableTmp!$C$2:$C$22,MATCH('League Table'!$S$18,tableTmp!$B$2:$B$22,0))</definedName>
    <definedName name="HA_18">INDEX(tableTmp!$C$2:$C$22,MATCH('League Table'!$S$19,tableTmp!$B$2:$B$22,0))</definedName>
    <definedName name="HA_19">INDEX(tableTmp!$C$2:$C$22,MATCH('League Table'!$S$20,tableTmp!$B$2:$B$22,0))</definedName>
    <definedName name="HA_20">INDEX(tableTmp!$C$2:$C$22,MATCH('League Table'!$S$21,tableTmp!$B$2:$B$22,0))</definedName>
    <definedName name="_xlnm.Print_Area" localSheetId="6">Fixtures_by_Clubs!$A$1:$IF$52</definedName>
    <definedName name="_xlnm.Print_Area" localSheetId="7">Fixtures_by_Date!$A$1:$M$509</definedName>
    <definedName name="Query___output_ENG_1_2021" localSheetId="5" hidden="1">fixtures_tmp!$A$1:$Q$381</definedName>
    <definedName name="T_01">INDEX(tableTmp!$C$2:$C$21,MATCH('League Table'!$B$2,tableTmp!$B$2:$B$21,0))</definedName>
    <definedName name="T_02">INDEX(tableTmp!$C$2:$C$21,MATCH('League Table'!$B$3,tableTmp!$B$2:$B$21,0))</definedName>
    <definedName name="T_03">INDEX(tableTmp!$C$2:$C$21,MATCH('League Table'!$B$4,tableTmp!$B$2:$B$21,0))</definedName>
    <definedName name="T_04">INDEX(tableTmp!$C$2:$C$21,MATCH('League Table'!$B$5,tableTmp!$B$2:$B$21,0))</definedName>
    <definedName name="T_05">INDEX(tableTmp!$C$2:$C$21,MATCH('League Table'!$B$6,tableTmp!$B$2:$B$21,0))</definedName>
    <definedName name="T_06">INDEX(tableTmp!$C$2:$C$21,MATCH('League Table'!$B$7,tableTmp!$B$2:$B$21,0))</definedName>
    <definedName name="T_07">INDEX(tableTmp!$C$2:$C$21,MATCH('League Table'!$B$8,tableTmp!$B$2:$B$21,0))</definedName>
    <definedName name="T_08">INDEX(tableTmp!$C$2:$C$21,MATCH('League Table'!$B$9,tableTmp!$B$2:$B$21,0))</definedName>
    <definedName name="T_09">INDEX(tableTmp!$C$2:$C$21,MATCH('League Table'!$B$10,tableTmp!$B$2:$B$21,0))</definedName>
    <definedName name="T_10">INDEX(tableTmp!$C$2:$C$21,MATCH('League Table'!$B$11,tableTmp!$B$2:$B$21,0))</definedName>
    <definedName name="T_11">INDEX(tableTmp!$C$2:$C$21,MATCH('League Table'!$B$12,tableTmp!$B$2:$B$21,0))</definedName>
    <definedName name="T_12">INDEX(tableTmp!$C$2:$C$21,MATCH('League Table'!$B$13,tableTmp!$B$2:$B$21,0))</definedName>
    <definedName name="T_13">INDEX(tableTmp!$C$2:$C$21,MATCH('League Table'!$B$14,tableTmp!$B$2:$B$21,0))</definedName>
    <definedName name="T_14">INDEX(tableTmp!$C$2:$C$21,MATCH('League Table'!$B$15,tableTmp!$B$2:$B$21,0))</definedName>
    <definedName name="T_15">INDEX(tableTmp!$C$2:$C$21,MATCH('League Table'!$B$16,tableTmp!$B$2:$B$21,0))</definedName>
    <definedName name="T_16">INDEX(tableTmp!$C$2:$C$21,MATCH('League Table'!$B$17,tableTmp!$B$2:$B$21,0))</definedName>
    <definedName name="T_17">INDEX(tableTmp!$C$2:$C$21,MATCH('League Table'!$B$18,tableTmp!$B$2:$B$21,0))</definedName>
    <definedName name="T_18">INDEX(tableTmp!$C$2:$C$21,MATCH('League Table'!$B$19,tableTmp!$B$2:$B$21,0))</definedName>
    <definedName name="T_19">INDEX(tableTmp!$C$2:$C$21,MATCH('League Table'!$B$20,tableTmp!$B$2:$B$21,0))</definedName>
    <definedName name="T_20">INDEX(tableTmp!$C$2:$C$21,MATCH('League Table'!$B$21,tableTmp!$B$2:$B$21,0))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8" i="12" l="1"/>
  <c r="E598" i="12"/>
  <c r="D598" i="12"/>
  <c r="F597" i="12"/>
  <c r="E597" i="12"/>
  <c r="D597" i="12"/>
  <c r="F596" i="12"/>
  <c r="E596" i="12"/>
  <c r="D596" i="12"/>
  <c r="F595" i="12"/>
  <c r="E595" i="12"/>
  <c r="D595" i="12"/>
  <c r="F594" i="12"/>
  <c r="E594" i="12"/>
  <c r="D594" i="12"/>
  <c r="F593" i="12"/>
  <c r="E593" i="12"/>
  <c r="D593" i="12"/>
  <c r="F592" i="12"/>
  <c r="E592" i="12"/>
  <c r="D592" i="12"/>
  <c r="F591" i="12"/>
  <c r="E591" i="12"/>
  <c r="D591" i="12"/>
  <c r="F590" i="12"/>
  <c r="E590" i="12"/>
  <c r="D590" i="12"/>
  <c r="F589" i="12"/>
  <c r="E589" i="12"/>
  <c r="D589" i="12"/>
  <c r="F585" i="12"/>
  <c r="E585" i="12"/>
  <c r="D585" i="12"/>
  <c r="F583" i="12"/>
  <c r="E583" i="12"/>
  <c r="D583" i="12"/>
  <c r="F579" i="12"/>
  <c r="E579" i="12"/>
  <c r="D579" i="12"/>
  <c r="F577" i="12"/>
  <c r="E577" i="12"/>
  <c r="D577" i="12"/>
  <c r="F576" i="12"/>
  <c r="E576" i="12"/>
  <c r="D576" i="12"/>
  <c r="F575" i="12"/>
  <c r="E575" i="12"/>
  <c r="D575" i="12"/>
  <c r="F573" i="12"/>
  <c r="E573" i="12"/>
  <c r="D573" i="12"/>
  <c r="F572" i="12"/>
  <c r="E572" i="12"/>
  <c r="D572" i="12"/>
  <c r="F571" i="12"/>
  <c r="E571" i="12"/>
  <c r="D571" i="12"/>
  <c r="F570" i="12"/>
  <c r="E570" i="12"/>
  <c r="D570" i="12"/>
  <c r="F569" i="12"/>
  <c r="E569" i="12"/>
  <c r="D569" i="12"/>
  <c r="F568" i="12"/>
  <c r="E568" i="12"/>
  <c r="D568" i="12"/>
  <c r="F564" i="12"/>
  <c r="E564" i="12"/>
  <c r="D564" i="12"/>
  <c r="F560" i="12"/>
  <c r="E560" i="12"/>
  <c r="D560" i="12"/>
  <c r="F558" i="12"/>
  <c r="E558" i="12"/>
  <c r="D558" i="12"/>
  <c r="F557" i="12"/>
  <c r="E557" i="12"/>
  <c r="D557" i="12"/>
  <c r="F556" i="12"/>
  <c r="E556" i="12"/>
  <c r="D556" i="12"/>
  <c r="F554" i="12"/>
  <c r="E554" i="12"/>
  <c r="D554" i="12"/>
  <c r="F553" i="12"/>
  <c r="E553" i="12"/>
  <c r="D553" i="12"/>
  <c r="F552" i="12"/>
  <c r="E552" i="12"/>
  <c r="D552" i="12"/>
  <c r="F551" i="12"/>
  <c r="E551" i="12"/>
  <c r="D551" i="12"/>
  <c r="F550" i="12"/>
  <c r="E550" i="12"/>
  <c r="D550" i="12"/>
  <c r="F549" i="12"/>
  <c r="E549" i="12"/>
  <c r="D549" i="12"/>
  <c r="F545" i="12"/>
  <c r="E545" i="12"/>
  <c r="D545" i="12"/>
  <c r="F544" i="12"/>
  <c r="E544" i="12"/>
  <c r="D544" i="12"/>
  <c r="F543" i="12"/>
  <c r="E543" i="12"/>
  <c r="D543" i="12"/>
  <c r="F541" i="12"/>
  <c r="E541" i="12"/>
  <c r="D541" i="12"/>
  <c r="F540" i="12"/>
  <c r="E540" i="12"/>
  <c r="D540" i="12"/>
  <c r="F538" i="12"/>
  <c r="E538" i="12"/>
  <c r="D538" i="12"/>
  <c r="F537" i="12"/>
  <c r="E537" i="12"/>
  <c r="D537" i="12"/>
  <c r="F536" i="12"/>
  <c r="E536" i="12"/>
  <c r="D536" i="12"/>
  <c r="F535" i="12"/>
  <c r="E535" i="12"/>
  <c r="D535" i="12"/>
  <c r="F534" i="12"/>
  <c r="E534" i="12"/>
  <c r="D534" i="12"/>
  <c r="F530" i="12"/>
  <c r="E530" i="12"/>
  <c r="D530" i="12"/>
  <c r="F528" i="12"/>
  <c r="E528" i="12"/>
  <c r="D528" i="12"/>
  <c r="F527" i="12"/>
  <c r="E527" i="12"/>
  <c r="D527" i="12"/>
  <c r="F523" i="12"/>
  <c r="E523" i="12"/>
  <c r="D523" i="12"/>
  <c r="F521" i="12"/>
  <c r="E521" i="12"/>
  <c r="D521" i="12"/>
  <c r="F519" i="12"/>
  <c r="E519" i="12"/>
  <c r="D519" i="12"/>
  <c r="F518" i="12"/>
  <c r="E518" i="12"/>
  <c r="D518" i="12"/>
  <c r="F517" i="12"/>
  <c r="E517" i="12"/>
  <c r="D517" i="12"/>
  <c r="F516" i="12"/>
  <c r="E516" i="12"/>
  <c r="D516" i="12"/>
  <c r="F515" i="12"/>
  <c r="E515" i="12"/>
  <c r="D515" i="12"/>
  <c r="F513" i="12"/>
  <c r="E513" i="12"/>
  <c r="D513" i="12"/>
  <c r="F512" i="12"/>
  <c r="E512" i="12"/>
  <c r="D512" i="12"/>
  <c r="F511" i="12"/>
  <c r="E511" i="12"/>
  <c r="D511" i="12"/>
  <c r="F507" i="12"/>
  <c r="E507" i="12"/>
  <c r="D507" i="12"/>
  <c r="F506" i="12"/>
  <c r="E506" i="12"/>
  <c r="D506" i="12"/>
  <c r="F505" i="12"/>
  <c r="E505" i="12"/>
  <c r="D505" i="12"/>
  <c r="F503" i="12"/>
  <c r="E503" i="12"/>
  <c r="D503" i="12"/>
  <c r="F502" i="12"/>
  <c r="E502" i="12"/>
  <c r="D502" i="12"/>
  <c r="F501" i="12"/>
  <c r="E501" i="12"/>
  <c r="D501" i="12"/>
  <c r="F500" i="12"/>
  <c r="E500" i="12"/>
  <c r="D500" i="12"/>
  <c r="F498" i="12"/>
  <c r="E498" i="12"/>
  <c r="D498" i="12"/>
  <c r="F497" i="12"/>
  <c r="E497" i="12"/>
  <c r="D497" i="12"/>
  <c r="F496" i="12"/>
  <c r="E496" i="12"/>
  <c r="D496" i="12"/>
  <c r="F492" i="12"/>
  <c r="E492" i="12"/>
  <c r="D492" i="12"/>
  <c r="F491" i="12"/>
  <c r="E491" i="12"/>
  <c r="D491" i="12"/>
  <c r="F489" i="12"/>
  <c r="E489" i="12"/>
  <c r="D489" i="12"/>
  <c r="F488" i="12"/>
  <c r="E488" i="12"/>
  <c r="D488" i="12"/>
  <c r="F487" i="12"/>
  <c r="E487" i="12"/>
  <c r="D487" i="12"/>
  <c r="F486" i="12"/>
  <c r="E486" i="12"/>
  <c r="D486" i="12"/>
  <c r="F485" i="12"/>
  <c r="E485" i="12"/>
  <c r="D485" i="12"/>
  <c r="F483" i="12"/>
  <c r="E483" i="12"/>
  <c r="D483" i="12"/>
  <c r="F479" i="12"/>
  <c r="E479" i="12"/>
  <c r="D479" i="12"/>
  <c r="F477" i="12"/>
  <c r="E477" i="12"/>
  <c r="D477" i="12"/>
  <c r="F476" i="12"/>
  <c r="E476" i="12"/>
  <c r="D476" i="12"/>
  <c r="F474" i="12"/>
  <c r="E474" i="12"/>
  <c r="D474" i="12"/>
  <c r="F473" i="12"/>
  <c r="E473" i="12"/>
  <c r="D473" i="12"/>
  <c r="F472" i="12"/>
  <c r="E472" i="12"/>
  <c r="D472" i="12"/>
  <c r="F471" i="12"/>
  <c r="E471" i="12"/>
  <c r="D471" i="12"/>
  <c r="F470" i="12"/>
  <c r="E470" i="12"/>
  <c r="D470" i="12"/>
  <c r="F469" i="12"/>
  <c r="E469" i="12"/>
  <c r="D469" i="12"/>
  <c r="F468" i="12"/>
  <c r="E468" i="12"/>
  <c r="D468" i="12"/>
  <c r="F464" i="12"/>
  <c r="E464" i="12"/>
  <c r="D464" i="12"/>
  <c r="F463" i="12"/>
  <c r="E463" i="12"/>
  <c r="D463" i="12"/>
  <c r="F461" i="12"/>
  <c r="E461" i="12"/>
  <c r="D461" i="12"/>
  <c r="F460" i="12"/>
  <c r="E460" i="12"/>
  <c r="D460" i="12"/>
  <c r="F459" i="12"/>
  <c r="E459" i="12"/>
  <c r="D459" i="12"/>
  <c r="F458" i="12"/>
  <c r="E458" i="12"/>
  <c r="D458" i="12"/>
  <c r="F457" i="12"/>
  <c r="E457" i="12"/>
  <c r="D457" i="12"/>
  <c r="F456" i="12"/>
  <c r="E456" i="12"/>
  <c r="D456" i="12"/>
  <c r="F455" i="12"/>
  <c r="E455" i="12"/>
  <c r="D455" i="12"/>
  <c r="F454" i="12"/>
  <c r="E454" i="12"/>
  <c r="D454" i="12"/>
  <c r="F450" i="12"/>
  <c r="E450" i="12"/>
  <c r="D450" i="12"/>
  <c r="F447" i="12"/>
  <c r="E447" i="12"/>
  <c r="D447" i="12"/>
  <c r="F443" i="12"/>
  <c r="E443" i="12"/>
  <c r="D443" i="12"/>
  <c r="F440" i="12"/>
  <c r="E440" i="12"/>
  <c r="D440" i="12"/>
  <c r="F439" i="12"/>
  <c r="E439" i="12"/>
  <c r="D439" i="12"/>
  <c r="F438" i="12"/>
  <c r="E438" i="12"/>
  <c r="D438" i="12"/>
  <c r="F434" i="12"/>
  <c r="E434" i="12"/>
  <c r="D434" i="12"/>
  <c r="F432" i="12"/>
  <c r="E432" i="12"/>
  <c r="D432" i="12"/>
  <c r="F431" i="12"/>
  <c r="E431" i="12"/>
  <c r="D431" i="12"/>
  <c r="F429" i="12"/>
  <c r="E429" i="12"/>
  <c r="D429" i="12"/>
  <c r="F428" i="12"/>
  <c r="E428" i="12"/>
  <c r="D428" i="12"/>
  <c r="F427" i="12"/>
  <c r="E427" i="12"/>
  <c r="D427" i="12"/>
  <c r="F426" i="12"/>
  <c r="E426" i="12"/>
  <c r="D426" i="12"/>
  <c r="F425" i="12"/>
  <c r="E425" i="12"/>
  <c r="D425" i="12"/>
  <c r="F424" i="12"/>
  <c r="E424" i="12"/>
  <c r="D424" i="12"/>
  <c r="F423" i="12"/>
  <c r="E423" i="12"/>
  <c r="D423" i="12"/>
  <c r="F419" i="12"/>
  <c r="E419" i="12"/>
  <c r="D419" i="12"/>
  <c r="F417" i="12"/>
  <c r="E417" i="12"/>
  <c r="D417" i="12"/>
  <c r="F416" i="12"/>
  <c r="E416" i="12"/>
  <c r="D416" i="12"/>
  <c r="F415" i="12"/>
  <c r="E415" i="12"/>
  <c r="D415" i="12"/>
  <c r="F414" i="12"/>
  <c r="E414" i="12"/>
  <c r="D414" i="12"/>
  <c r="F413" i="12"/>
  <c r="E413" i="12"/>
  <c r="D413" i="12"/>
  <c r="F411" i="12"/>
  <c r="E411" i="12"/>
  <c r="D411" i="12"/>
  <c r="F407" i="12"/>
  <c r="E407" i="12"/>
  <c r="D407" i="12"/>
  <c r="F404" i="12"/>
  <c r="E404" i="12"/>
  <c r="D404" i="12"/>
  <c r="F400" i="12"/>
  <c r="E400" i="12"/>
  <c r="D400" i="12"/>
  <c r="F399" i="12"/>
  <c r="E399" i="12"/>
  <c r="D399" i="12"/>
  <c r="F398" i="12"/>
  <c r="E398" i="12"/>
  <c r="D398" i="12"/>
  <c r="F397" i="12"/>
  <c r="E397" i="12"/>
  <c r="D397" i="12"/>
  <c r="F395" i="12"/>
  <c r="E395" i="12"/>
  <c r="D395" i="12"/>
  <c r="F394" i="12"/>
  <c r="E394" i="12"/>
  <c r="D394" i="12"/>
  <c r="F393" i="12"/>
  <c r="E393" i="12"/>
  <c r="D393" i="12"/>
  <c r="F392" i="12"/>
  <c r="E392" i="12"/>
  <c r="D392" i="12"/>
  <c r="F391" i="12"/>
  <c r="E391" i="12"/>
  <c r="D391" i="12"/>
  <c r="F390" i="12"/>
  <c r="E390" i="12"/>
  <c r="D390" i="12"/>
  <c r="F386" i="12"/>
  <c r="E386" i="12"/>
  <c r="D386" i="12"/>
  <c r="F384" i="12"/>
  <c r="E384" i="12"/>
  <c r="D384" i="12"/>
  <c r="F383" i="12"/>
  <c r="E383" i="12"/>
  <c r="D383" i="12"/>
  <c r="F381" i="12"/>
  <c r="E381" i="12"/>
  <c r="D381" i="12"/>
  <c r="F380" i="12"/>
  <c r="E380" i="12"/>
  <c r="D380" i="12"/>
  <c r="F379" i="12"/>
  <c r="E379" i="12"/>
  <c r="D379" i="12"/>
  <c r="F378" i="12"/>
  <c r="E378" i="12"/>
  <c r="D378" i="12"/>
  <c r="F377" i="12"/>
  <c r="E377" i="12"/>
  <c r="D377" i="12"/>
  <c r="F376" i="12"/>
  <c r="E376" i="12"/>
  <c r="D376" i="12"/>
  <c r="F375" i="12"/>
  <c r="E375" i="12"/>
  <c r="D375" i="12"/>
  <c r="F371" i="12"/>
  <c r="E371" i="12"/>
  <c r="D371" i="12"/>
  <c r="F370" i="12"/>
  <c r="E370" i="12"/>
  <c r="D370" i="12"/>
  <c r="F366" i="12"/>
  <c r="E366" i="12"/>
  <c r="D366" i="12"/>
  <c r="F364" i="12"/>
  <c r="E364" i="12"/>
  <c r="D364" i="12"/>
  <c r="F363" i="12"/>
  <c r="E363" i="12"/>
  <c r="D363" i="12"/>
  <c r="F362" i="12"/>
  <c r="E362" i="12"/>
  <c r="D362" i="12"/>
  <c r="F361" i="12"/>
  <c r="E361" i="12"/>
  <c r="D361" i="12"/>
  <c r="F360" i="12"/>
  <c r="E360" i="12"/>
  <c r="D360" i="12"/>
  <c r="F359" i="12"/>
  <c r="E359" i="12"/>
  <c r="D359" i="12"/>
  <c r="F357" i="12"/>
  <c r="E357" i="12"/>
  <c r="D357" i="12"/>
  <c r="F353" i="12"/>
  <c r="E353" i="12"/>
  <c r="D353" i="12"/>
  <c r="F352" i="12"/>
  <c r="E352" i="12"/>
  <c r="D352" i="12"/>
  <c r="F350" i="12"/>
  <c r="E350" i="12"/>
  <c r="D350" i="12"/>
  <c r="F349" i="12"/>
  <c r="E349" i="12"/>
  <c r="D349" i="12"/>
  <c r="F348" i="12"/>
  <c r="E348" i="12"/>
  <c r="D348" i="12"/>
  <c r="F347" i="12"/>
  <c r="E347" i="12"/>
  <c r="D347" i="12"/>
  <c r="F346" i="12"/>
  <c r="E346" i="12"/>
  <c r="D346" i="12"/>
  <c r="F345" i="12"/>
  <c r="E345" i="12"/>
  <c r="D345" i="12"/>
  <c r="F344" i="12"/>
  <c r="E344" i="12"/>
  <c r="D344" i="12"/>
  <c r="F343" i="12"/>
  <c r="E343" i="12"/>
  <c r="D343" i="12"/>
  <c r="F339" i="12"/>
  <c r="E339" i="12"/>
  <c r="D339" i="12"/>
  <c r="F335" i="12"/>
  <c r="E335" i="12"/>
  <c r="D335" i="12"/>
  <c r="F333" i="12"/>
  <c r="E333" i="12"/>
  <c r="D333" i="12"/>
  <c r="F332" i="12"/>
  <c r="E332" i="12"/>
  <c r="D332" i="12"/>
  <c r="F330" i="12"/>
  <c r="E330" i="12"/>
  <c r="D330" i="12"/>
  <c r="F329" i="12"/>
  <c r="E329" i="12"/>
  <c r="D329" i="12"/>
  <c r="F328" i="12"/>
  <c r="E328" i="12"/>
  <c r="D328" i="12"/>
  <c r="F327" i="12"/>
  <c r="E327" i="12"/>
  <c r="D327" i="12"/>
  <c r="F326" i="12"/>
  <c r="E326" i="12"/>
  <c r="D326" i="12"/>
  <c r="F325" i="12"/>
  <c r="E325" i="12"/>
  <c r="D325" i="12"/>
  <c r="F324" i="12"/>
  <c r="E324" i="12"/>
  <c r="D324" i="12"/>
  <c r="F320" i="12"/>
  <c r="E320" i="12"/>
  <c r="D320" i="12"/>
  <c r="F316" i="12"/>
  <c r="E316" i="12"/>
  <c r="D316" i="12"/>
  <c r="F315" i="12"/>
  <c r="E315" i="12"/>
  <c r="D315" i="12"/>
  <c r="F313" i="12"/>
  <c r="E313" i="12"/>
  <c r="D313" i="12"/>
  <c r="F312" i="12"/>
  <c r="E312" i="12"/>
  <c r="D312" i="12"/>
  <c r="F311" i="12"/>
  <c r="E311" i="12"/>
  <c r="D311" i="12"/>
  <c r="F310" i="12"/>
  <c r="E310" i="12"/>
  <c r="D310" i="12"/>
  <c r="F309" i="12"/>
  <c r="E309" i="12"/>
  <c r="D309" i="12"/>
  <c r="F308" i="12"/>
  <c r="E308" i="12"/>
  <c r="D308" i="12"/>
  <c r="F307" i="12"/>
  <c r="E307" i="12"/>
  <c r="D307" i="12"/>
  <c r="F305" i="12"/>
  <c r="E305" i="12"/>
  <c r="D305" i="12"/>
  <c r="F301" i="12"/>
  <c r="E301" i="12"/>
  <c r="D301" i="12"/>
  <c r="F299" i="12"/>
  <c r="E299" i="12"/>
  <c r="D299" i="12"/>
  <c r="F298" i="12"/>
  <c r="E298" i="12"/>
  <c r="D298" i="12"/>
  <c r="F297" i="12"/>
  <c r="E297" i="12"/>
  <c r="D297" i="12"/>
  <c r="F295" i="12"/>
  <c r="E295" i="12"/>
  <c r="D295" i="12"/>
  <c r="F294" i="12"/>
  <c r="E294" i="12"/>
  <c r="D294" i="12"/>
  <c r="F293" i="12"/>
  <c r="E293" i="12"/>
  <c r="D293" i="12"/>
  <c r="F292" i="12"/>
  <c r="E292" i="12"/>
  <c r="D292" i="12"/>
  <c r="F291" i="12"/>
  <c r="E291" i="12"/>
  <c r="D291" i="12"/>
  <c r="F290" i="12"/>
  <c r="E290" i="12"/>
  <c r="D290" i="12"/>
  <c r="F286" i="12"/>
  <c r="E286" i="12"/>
  <c r="D286" i="12"/>
  <c r="F284" i="12"/>
  <c r="E284" i="12"/>
  <c r="D284" i="12"/>
  <c r="F280" i="12"/>
  <c r="E280" i="12"/>
  <c r="D280" i="12"/>
  <c r="F279" i="12"/>
  <c r="E279" i="12"/>
  <c r="D279" i="12"/>
  <c r="F278" i="12"/>
  <c r="E278" i="12"/>
  <c r="D278" i="12"/>
  <c r="F276" i="12"/>
  <c r="E276" i="12"/>
  <c r="D276" i="12"/>
  <c r="F275" i="12"/>
  <c r="E275" i="12"/>
  <c r="D275" i="12"/>
  <c r="F274" i="12"/>
  <c r="E274" i="12"/>
  <c r="D274" i="12"/>
  <c r="F273" i="12"/>
  <c r="E273" i="12"/>
  <c r="D273" i="12"/>
  <c r="F272" i="12"/>
  <c r="E272" i="12"/>
  <c r="D272" i="12"/>
  <c r="F271" i="12"/>
  <c r="E271" i="12"/>
  <c r="D271" i="12"/>
  <c r="F269" i="12"/>
  <c r="E269" i="12"/>
  <c r="D269" i="12"/>
  <c r="F265" i="12"/>
  <c r="E265" i="12"/>
  <c r="D265" i="12"/>
  <c r="F261" i="12"/>
  <c r="E261" i="12"/>
  <c r="D261" i="12"/>
  <c r="F259" i="12"/>
  <c r="E259" i="12"/>
  <c r="D259" i="12"/>
  <c r="F258" i="12"/>
  <c r="E258" i="12"/>
  <c r="D258" i="12"/>
  <c r="F257" i="12"/>
  <c r="E257" i="12"/>
  <c r="D257" i="12"/>
  <c r="F256" i="12"/>
  <c r="E256" i="12"/>
  <c r="D256" i="12"/>
  <c r="F254" i="12"/>
  <c r="E254" i="12"/>
  <c r="D254" i="12"/>
  <c r="F253" i="12"/>
  <c r="E253" i="12"/>
  <c r="D253" i="12"/>
  <c r="F252" i="12"/>
  <c r="E252" i="12"/>
  <c r="D252" i="12"/>
  <c r="F251" i="12"/>
  <c r="E251" i="12"/>
  <c r="D251" i="12"/>
  <c r="F249" i="12"/>
  <c r="E249" i="12"/>
  <c r="D249" i="12"/>
  <c r="F245" i="12"/>
  <c r="E245" i="12"/>
  <c r="D245" i="12"/>
  <c r="F244" i="12"/>
  <c r="E244" i="12"/>
  <c r="D244" i="12"/>
  <c r="F242" i="12"/>
  <c r="E242" i="12"/>
  <c r="D242" i="12"/>
  <c r="F241" i="12"/>
  <c r="E241" i="12"/>
  <c r="D241" i="12"/>
  <c r="F240" i="12"/>
  <c r="E240" i="12"/>
  <c r="D240" i="12"/>
  <c r="F239" i="12"/>
  <c r="E239" i="12"/>
  <c r="D239" i="12"/>
  <c r="F238" i="12"/>
  <c r="E238" i="12"/>
  <c r="D238" i="12"/>
  <c r="F237" i="12"/>
  <c r="E237" i="12"/>
  <c r="D237" i="12"/>
  <c r="F235" i="12"/>
  <c r="E235" i="12"/>
  <c r="D235" i="12"/>
  <c r="F234" i="12"/>
  <c r="E234" i="12"/>
  <c r="D234" i="12"/>
  <c r="F230" i="12"/>
  <c r="E230" i="12"/>
  <c r="D230" i="12"/>
  <c r="F228" i="12"/>
  <c r="E228" i="12"/>
  <c r="D228" i="12"/>
  <c r="F227" i="12"/>
  <c r="E227" i="12"/>
  <c r="D227" i="12"/>
  <c r="F225" i="12"/>
  <c r="E225" i="12"/>
  <c r="D225" i="12"/>
  <c r="F224" i="12"/>
  <c r="E224" i="12"/>
  <c r="D224" i="12"/>
  <c r="F223" i="12"/>
  <c r="E223" i="12"/>
  <c r="D223" i="12"/>
  <c r="F222" i="12"/>
  <c r="E222" i="12"/>
  <c r="D222" i="12"/>
  <c r="F221" i="12"/>
  <c r="E221" i="12"/>
  <c r="D221" i="12"/>
  <c r="F220" i="12"/>
  <c r="E220" i="12"/>
  <c r="D220" i="12"/>
  <c r="F219" i="12"/>
  <c r="E219" i="12"/>
  <c r="D219" i="12"/>
  <c r="F215" i="12"/>
  <c r="E215" i="12"/>
  <c r="D215" i="12"/>
  <c r="F214" i="12"/>
  <c r="E214" i="12"/>
  <c r="D214" i="12"/>
  <c r="F212" i="12"/>
  <c r="E212" i="12"/>
  <c r="D212" i="12"/>
  <c r="F211" i="12"/>
  <c r="E211" i="12"/>
  <c r="D211" i="12"/>
  <c r="F210" i="12"/>
  <c r="E210" i="12"/>
  <c r="D210" i="12"/>
  <c r="F209" i="12"/>
  <c r="E209" i="12"/>
  <c r="D209" i="12"/>
  <c r="F208" i="12"/>
  <c r="E208" i="12"/>
  <c r="D208" i="12"/>
  <c r="F207" i="12"/>
  <c r="E207" i="12"/>
  <c r="D207" i="12"/>
  <c r="F206" i="12"/>
  <c r="E206" i="12"/>
  <c r="D206" i="12"/>
  <c r="F205" i="12"/>
  <c r="E205" i="12"/>
  <c r="D205" i="12"/>
  <c r="F201" i="12"/>
  <c r="E201" i="12"/>
  <c r="D201" i="12"/>
  <c r="F200" i="12"/>
  <c r="E200" i="12"/>
  <c r="D200" i="12"/>
  <c r="F199" i="12"/>
  <c r="E199" i="12"/>
  <c r="D199" i="12"/>
  <c r="F198" i="12"/>
  <c r="E198" i="12"/>
  <c r="D198" i="12"/>
  <c r="F197" i="12"/>
  <c r="E197" i="12"/>
  <c r="D197" i="12"/>
  <c r="F195" i="12"/>
  <c r="E195" i="12"/>
  <c r="D195" i="12"/>
  <c r="F194" i="12"/>
  <c r="E194" i="12"/>
  <c r="D194" i="12"/>
  <c r="F193" i="12"/>
  <c r="E193" i="12"/>
  <c r="D193" i="12"/>
  <c r="F192" i="12"/>
  <c r="E192" i="12"/>
  <c r="D192" i="12"/>
  <c r="F191" i="12"/>
  <c r="E191" i="12"/>
  <c r="D191" i="12"/>
  <c r="F187" i="12"/>
  <c r="E187" i="12"/>
  <c r="D187" i="12"/>
  <c r="F186" i="12"/>
  <c r="E186" i="12"/>
  <c r="D186" i="12"/>
  <c r="F184" i="12"/>
  <c r="E184" i="12"/>
  <c r="D184" i="12"/>
  <c r="F183" i="12"/>
  <c r="E183" i="12"/>
  <c r="D183" i="12"/>
  <c r="F182" i="12"/>
  <c r="E182" i="12"/>
  <c r="D182" i="12"/>
  <c r="F181" i="12"/>
  <c r="E181" i="12"/>
  <c r="D181" i="12"/>
  <c r="F180" i="12"/>
  <c r="E180" i="12"/>
  <c r="D180" i="12"/>
  <c r="F179" i="12"/>
  <c r="E179" i="12"/>
  <c r="D179" i="12"/>
  <c r="F178" i="12"/>
  <c r="E178" i="12"/>
  <c r="D178" i="12"/>
  <c r="F177" i="12"/>
  <c r="E177" i="12"/>
  <c r="D177" i="12"/>
  <c r="F173" i="12"/>
  <c r="E173" i="12"/>
  <c r="D173" i="12"/>
  <c r="F171" i="12"/>
  <c r="E171" i="12"/>
  <c r="D171" i="12"/>
  <c r="F170" i="12"/>
  <c r="E170" i="12"/>
  <c r="D170" i="12"/>
  <c r="F169" i="12"/>
  <c r="E169" i="12"/>
  <c r="D169" i="12"/>
  <c r="F168" i="12"/>
  <c r="E168" i="12"/>
  <c r="D168" i="12"/>
  <c r="F167" i="12"/>
  <c r="E167" i="12"/>
  <c r="D167" i="12"/>
  <c r="F165" i="12"/>
  <c r="E165" i="12"/>
  <c r="D165" i="12"/>
  <c r="F164" i="12"/>
  <c r="E164" i="12"/>
  <c r="D164" i="12"/>
  <c r="F163" i="12"/>
  <c r="E163" i="12"/>
  <c r="D163" i="12"/>
  <c r="F162" i="12"/>
  <c r="E162" i="12"/>
  <c r="D162" i="12"/>
  <c r="F158" i="12"/>
  <c r="E158" i="12"/>
  <c r="D158" i="12"/>
  <c r="F157" i="12"/>
  <c r="E157" i="12"/>
  <c r="D157" i="12"/>
  <c r="F155" i="12"/>
  <c r="E155" i="12"/>
  <c r="D155" i="12"/>
  <c r="F154" i="12"/>
  <c r="E154" i="12"/>
  <c r="D154" i="12"/>
  <c r="F153" i="12"/>
  <c r="E153" i="12"/>
  <c r="D153" i="12"/>
  <c r="F152" i="12"/>
  <c r="E152" i="12"/>
  <c r="D152" i="12"/>
  <c r="F151" i="12"/>
  <c r="E151" i="12"/>
  <c r="D151" i="12"/>
  <c r="F149" i="12"/>
  <c r="E149" i="12"/>
  <c r="D149" i="12"/>
  <c r="F148" i="12"/>
  <c r="E148" i="12"/>
  <c r="D148" i="12"/>
  <c r="F144" i="12"/>
  <c r="E144" i="12"/>
  <c r="D144" i="12"/>
  <c r="F143" i="12"/>
  <c r="E143" i="12"/>
  <c r="D143" i="12"/>
  <c r="F142" i="12"/>
  <c r="E142" i="12"/>
  <c r="D142" i="12"/>
  <c r="F141" i="12"/>
  <c r="E141" i="12"/>
  <c r="D141" i="12"/>
  <c r="F140" i="12"/>
  <c r="E140" i="12"/>
  <c r="D140" i="12"/>
  <c r="F138" i="12"/>
  <c r="E138" i="12"/>
  <c r="D138" i="12"/>
  <c r="F137" i="12"/>
  <c r="E137" i="12"/>
  <c r="D137" i="12"/>
  <c r="F136" i="12"/>
  <c r="E136" i="12"/>
  <c r="D136" i="12"/>
  <c r="F135" i="12"/>
  <c r="E135" i="12"/>
  <c r="D135" i="12"/>
  <c r="F133" i="12"/>
  <c r="E133" i="12"/>
  <c r="D133" i="12"/>
  <c r="F129" i="12"/>
  <c r="E129" i="12"/>
  <c r="D129" i="12"/>
  <c r="F127" i="12"/>
  <c r="E127" i="12"/>
  <c r="D127" i="12"/>
  <c r="F126" i="12"/>
  <c r="E126" i="12"/>
  <c r="D126" i="12"/>
  <c r="F125" i="12"/>
  <c r="E125" i="12"/>
  <c r="D125" i="12"/>
  <c r="F124" i="12"/>
  <c r="E124" i="12"/>
  <c r="D124" i="12"/>
  <c r="F122" i="12"/>
  <c r="E122" i="12"/>
  <c r="D122" i="12"/>
  <c r="F121" i="12"/>
  <c r="E121" i="12"/>
  <c r="D121" i="12"/>
  <c r="F120" i="12"/>
  <c r="E120" i="12"/>
  <c r="D120" i="12"/>
  <c r="F119" i="12"/>
  <c r="E119" i="12"/>
  <c r="D119" i="12"/>
  <c r="F118" i="12"/>
  <c r="E118" i="12"/>
  <c r="D118" i="12"/>
  <c r="F114" i="12"/>
  <c r="E114" i="12"/>
  <c r="D114" i="12"/>
  <c r="F112" i="12"/>
  <c r="E112" i="12"/>
  <c r="D112" i="12"/>
  <c r="F111" i="12"/>
  <c r="E111" i="12"/>
  <c r="D111" i="12"/>
  <c r="F109" i="12"/>
  <c r="E109" i="12"/>
  <c r="D109" i="12"/>
  <c r="F108" i="12"/>
  <c r="E108" i="12"/>
  <c r="D108" i="12"/>
  <c r="F107" i="12"/>
  <c r="E107" i="12"/>
  <c r="D107" i="12"/>
  <c r="F106" i="12"/>
  <c r="E106" i="12"/>
  <c r="D106" i="12"/>
  <c r="F105" i="12"/>
  <c r="E105" i="12"/>
  <c r="D105" i="12"/>
  <c r="F104" i="12"/>
  <c r="E104" i="12"/>
  <c r="D104" i="12"/>
  <c r="F103" i="12"/>
  <c r="E103" i="12"/>
  <c r="D103" i="12"/>
  <c r="F99" i="12"/>
  <c r="E99" i="12"/>
  <c r="D99" i="12"/>
  <c r="F98" i="12"/>
  <c r="E98" i="12"/>
  <c r="D98" i="12"/>
  <c r="F96" i="12"/>
  <c r="E96" i="12"/>
  <c r="D96" i="12"/>
  <c r="F95" i="12"/>
  <c r="E95" i="12"/>
  <c r="D95" i="12"/>
  <c r="F94" i="12"/>
  <c r="E94" i="12"/>
  <c r="D94" i="12"/>
  <c r="F92" i="12"/>
  <c r="E92" i="12"/>
  <c r="D92" i="12"/>
  <c r="F91" i="12"/>
  <c r="E91" i="12"/>
  <c r="D91" i="12"/>
  <c r="F87" i="12"/>
  <c r="E87" i="12"/>
  <c r="D87" i="12"/>
  <c r="F86" i="12"/>
  <c r="E86" i="12"/>
  <c r="D86" i="12"/>
  <c r="F84" i="12"/>
  <c r="E84" i="12"/>
  <c r="D84" i="12"/>
  <c r="F83" i="12"/>
  <c r="E83" i="12"/>
  <c r="D83" i="12"/>
  <c r="F82" i="12"/>
  <c r="E82" i="12"/>
  <c r="D82" i="12"/>
  <c r="F81" i="12"/>
  <c r="E81" i="12"/>
  <c r="D81" i="12"/>
  <c r="F80" i="12"/>
  <c r="E80" i="12"/>
  <c r="D80" i="12"/>
  <c r="F79" i="12"/>
  <c r="E79" i="12"/>
  <c r="D79" i="12"/>
  <c r="F78" i="12"/>
  <c r="E78" i="12"/>
  <c r="D78" i="12"/>
  <c r="F77" i="12"/>
  <c r="E77" i="12"/>
  <c r="D77" i="12"/>
  <c r="F73" i="12"/>
  <c r="E73" i="12"/>
  <c r="D73" i="12"/>
  <c r="F71" i="12"/>
  <c r="E71" i="12"/>
  <c r="D71" i="12"/>
  <c r="F70" i="12"/>
  <c r="E70" i="12"/>
  <c r="D70" i="12"/>
  <c r="F69" i="12"/>
  <c r="E69" i="12"/>
  <c r="D69" i="12"/>
  <c r="F68" i="12"/>
  <c r="E68" i="12"/>
  <c r="D68" i="12"/>
  <c r="F67" i="12"/>
  <c r="E67" i="12"/>
  <c r="D67" i="12"/>
  <c r="F65" i="12"/>
  <c r="E65" i="12"/>
  <c r="D65" i="12"/>
  <c r="F64" i="12"/>
  <c r="E64" i="12"/>
  <c r="D64" i="12"/>
  <c r="F63" i="12"/>
  <c r="E63" i="12"/>
  <c r="D63" i="12"/>
  <c r="F62" i="12"/>
  <c r="E62" i="12"/>
  <c r="D62" i="12"/>
  <c r="F58" i="12"/>
  <c r="E58" i="12"/>
  <c r="D58" i="12"/>
  <c r="F57" i="12"/>
  <c r="E57" i="12"/>
  <c r="D57" i="12"/>
  <c r="F56" i="12"/>
  <c r="E56" i="12"/>
  <c r="D56" i="12"/>
  <c r="F54" i="12"/>
  <c r="E54" i="12"/>
  <c r="D54" i="12"/>
  <c r="F53" i="12"/>
  <c r="E53" i="12"/>
  <c r="D53" i="12"/>
  <c r="F52" i="12"/>
  <c r="E52" i="12"/>
  <c r="D52" i="12"/>
  <c r="F51" i="12"/>
  <c r="E51" i="12"/>
  <c r="D51" i="12"/>
  <c r="F50" i="12"/>
  <c r="E50" i="12"/>
  <c r="D50" i="12"/>
  <c r="F49" i="12"/>
  <c r="E49" i="12"/>
  <c r="D49" i="12"/>
  <c r="F48" i="12"/>
  <c r="E48" i="12"/>
  <c r="D48" i="12"/>
  <c r="F44" i="12"/>
  <c r="E44" i="12"/>
  <c r="D44" i="12"/>
  <c r="F42" i="12"/>
  <c r="E42" i="12"/>
  <c r="D42" i="12"/>
  <c r="F41" i="12"/>
  <c r="E41" i="12"/>
  <c r="D41" i="12"/>
  <c r="F40" i="12"/>
  <c r="E40" i="12"/>
  <c r="D40" i="12"/>
  <c r="F38" i="12"/>
  <c r="E38" i="12"/>
  <c r="D38" i="12"/>
  <c r="F37" i="12"/>
  <c r="E37" i="12"/>
  <c r="D37" i="12"/>
  <c r="F36" i="12"/>
  <c r="E36" i="12"/>
  <c r="D36" i="12"/>
  <c r="F35" i="12"/>
  <c r="E35" i="12"/>
  <c r="D35" i="12"/>
  <c r="F34" i="12"/>
  <c r="E34" i="12"/>
  <c r="D34" i="12"/>
  <c r="F33" i="12"/>
  <c r="E33" i="12"/>
  <c r="D33" i="12"/>
  <c r="F29" i="12"/>
  <c r="E29" i="12"/>
  <c r="D29" i="12"/>
  <c r="F27" i="12"/>
  <c r="E27" i="12"/>
  <c r="D27" i="12"/>
  <c r="F26" i="12"/>
  <c r="E26" i="12"/>
  <c r="D26" i="12"/>
  <c r="F24" i="12"/>
  <c r="E24" i="12"/>
  <c r="D24" i="12"/>
  <c r="F23" i="12"/>
  <c r="E23" i="12"/>
  <c r="D23" i="12"/>
  <c r="F22" i="12"/>
  <c r="E22" i="12"/>
  <c r="D22" i="12"/>
  <c r="F21" i="12"/>
  <c r="E21" i="12"/>
  <c r="D21" i="12"/>
  <c r="F20" i="12"/>
  <c r="E20" i="12"/>
  <c r="D20" i="12"/>
  <c r="F19" i="12"/>
  <c r="E19" i="12"/>
  <c r="D19" i="12"/>
  <c r="F18" i="12"/>
  <c r="E18" i="12"/>
  <c r="D18" i="12"/>
  <c r="F14" i="12"/>
  <c r="E14" i="12"/>
  <c r="D14" i="12"/>
  <c r="F13" i="12"/>
  <c r="E13" i="12"/>
  <c r="D13" i="12"/>
  <c r="F12" i="12"/>
  <c r="E12" i="12"/>
  <c r="D12" i="12"/>
  <c r="F10" i="12"/>
  <c r="E10" i="12"/>
  <c r="D10" i="12"/>
  <c r="F9" i="12"/>
  <c r="E9" i="12"/>
  <c r="D9" i="12"/>
  <c r="F8" i="12"/>
  <c r="E8" i="12"/>
  <c r="D8" i="12"/>
  <c r="F7" i="12"/>
  <c r="E7" i="12"/>
  <c r="D7" i="12"/>
  <c r="F6" i="12"/>
  <c r="E6" i="12"/>
  <c r="D6" i="12"/>
  <c r="F5" i="12"/>
  <c r="E5" i="12"/>
  <c r="D5" i="12"/>
  <c r="F3" i="12"/>
  <c r="E3" i="12"/>
  <c r="D3" i="12"/>
  <c r="HX61" i="8"/>
  <c r="HV61" i="8"/>
  <c r="HU61" i="8"/>
  <c r="IB49" i="8"/>
  <c r="IC49" i="8"/>
  <c r="IA49" i="8"/>
  <c r="ID48" i="8"/>
  <c r="IB48" i="8"/>
  <c r="IC48" i="8"/>
  <c r="IA48" i="8"/>
  <c r="IB47" i="8"/>
  <c r="IC47" i="8"/>
  <c r="IA47" i="8"/>
  <c r="ID47" i="8" s="1"/>
  <c r="ID46" i="8"/>
  <c r="IB46" i="8"/>
  <c r="IC46" i="8"/>
  <c r="IA46" i="8"/>
  <c r="IB44" i="8"/>
  <c r="IC44" i="8"/>
  <c r="IA44" i="8"/>
  <c r="ID44" i="8" s="1"/>
  <c r="IB43" i="8"/>
  <c r="IC43" i="8"/>
  <c r="ID43" i="8" s="1"/>
  <c r="IA43" i="8"/>
  <c r="IB42" i="8"/>
  <c r="IC42" i="8"/>
  <c r="IA42" i="8"/>
  <c r="ID42" i="8" s="1"/>
  <c r="IB41" i="8"/>
  <c r="IC41" i="8"/>
  <c r="IA41" i="8"/>
  <c r="ID41" i="8" s="1"/>
  <c r="ID40" i="8"/>
  <c r="IB40" i="8"/>
  <c r="IC40" i="8"/>
  <c r="IA40" i="8"/>
  <c r="IB39" i="8"/>
  <c r="IC39" i="8"/>
  <c r="ID39" i="8" s="1"/>
  <c r="IA39" i="8"/>
  <c r="ID37" i="8"/>
  <c r="IB37" i="8"/>
  <c r="IC37" i="8"/>
  <c r="IA37" i="8"/>
  <c r="IB36" i="8"/>
  <c r="IC36" i="8"/>
  <c r="IA36" i="8"/>
  <c r="ID36" i="8" s="1"/>
  <c r="IB35" i="8"/>
  <c r="IC35" i="8"/>
  <c r="IA35" i="8"/>
  <c r="ID35" i="8" s="1"/>
  <c r="ID34" i="8"/>
  <c r="IB34" i="8"/>
  <c r="IC34" i="8"/>
  <c r="IA34" i="8"/>
  <c r="IB32" i="8"/>
  <c r="IC32" i="8"/>
  <c r="IA32" i="8"/>
  <c r="ID32" i="8" s="1"/>
  <c r="ID31" i="8"/>
  <c r="IB31" i="8"/>
  <c r="IC31" i="8"/>
  <c r="IA31" i="8"/>
  <c r="IB30" i="8"/>
  <c r="IC30" i="8"/>
  <c r="IA30" i="8"/>
  <c r="ID30" i="8" s="1"/>
  <c r="IB29" i="8"/>
  <c r="IC29" i="8"/>
  <c r="ID29" i="8" s="1"/>
  <c r="IA29" i="8"/>
  <c r="IB27" i="8"/>
  <c r="IC27" i="8"/>
  <c r="IA27" i="8"/>
  <c r="ID27" i="8" s="1"/>
  <c r="IB26" i="8"/>
  <c r="IC26" i="8"/>
  <c r="IA26" i="8"/>
  <c r="ID26" i="8" s="1"/>
  <c r="ID25" i="8"/>
  <c r="IB25" i="8"/>
  <c r="IC25" i="8"/>
  <c r="IA25" i="8"/>
  <c r="IB23" i="8"/>
  <c r="IC23" i="8"/>
  <c r="ID23" i="8" s="1"/>
  <c r="IA23" i="8"/>
  <c r="ID22" i="8"/>
  <c r="IB22" i="8"/>
  <c r="IC22" i="8"/>
  <c r="IA22" i="8"/>
  <c r="IB20" i="8"/>
  <c r="IC20" i="8"/>
  <c r="IA20" i="8"/>
  <c r="ID20" i="8" s="1"/>
  <c r="IB19" i="8"/>
  <c r="IC19" i="8"/>
  <c r="IA19" i="8"/>
  <c r="IB17" i="8"/>
  <c r="IC17" i="8"/>
  <c r="ID17" i="8" s="1"/>
  <c r="IA17" i="8"/>
  <c r="IB16" i="8"/>
  <c r="IC16" i="8"/>
  <c r="IA16" i="8"/>
  <c r="ID16" i="8" s="1"/>
  <c r="ID15" i="8"/>
  <c r="IB15" i="8"/>
  <c r="IC15" i="8"/>
  <c r="IA15" i="8"/>
  <c r="IB14" i="8"/>
  <c r="IC14" i="8"/>
  <c r="IA14" i="8"/>
  <c r="ID14" i="8" s="1"/>
  <c r="IB13" i="8"/>
  <c r="IC13" i="8"/>
  <c r="ID13" i="8" s="1"/>
  <c r="IA13" i="8"/>
  <c r="IB12" i="8"/>
  <c r="IC12" i="8"/>
  <c r="IA12" i="8"/>
  <c r="ID12" i="8" s="1"/>
  <c r="IB10" i="8"/>
  <c r="IC10" i="8"/>
  <c r="IA10" i="8"/>
  <c r="ID9" i="8"/>
  <c r="IB9" i="8"/>
  <c r="IC9" i="8"/>
  <c r="IA9" i="8"/>
  <c r="IB7" i="8"/>
  <c r="IC7" i="8"/>
  <c r="ID7" i="8" s="1"/>
  <c r="IA7" i="8"/>
  <c r="ID6" i="8"/>
  <c r="IB6" i="8"/>
  <c r="IC6" i="8"/>
  <c r="IA6" i="8"/>
  <c r="IB5" i="8"/>
  <c r="IC5" i="8"/>
  <c r="IA5" i="8"/>
  <c r="ID5" i="8" s="1"/>
  <c r="IB4" i="8"/>
  <c r="IC4" i="8"/>
  <c r="IA4" i="8"/>
  <c r="IB3" i="8"/>
  <c r="IC3" i="8"/>
  <c r="ID3" i="8" s="1"/>
  <c r="IA3" i="8"/>
  <c r="HL61" i="8"/>
  <c r="HJ61" i="8"/>
  <c r="HI61" i="8"/>
  <c r="HR49" i="8"/>
  <c r="HP49" i="8"/>
  <c r="HQ49" i="8"/>
  <c r="HO49" i="8"/>
  <c r="HP48" i="8"/>
  <c r="HQ48" i="8"/>
  <c r="HR48" i="8" s="1"/>
  <c r="HO48" i="8"/>
  <c r="HR47" i="8"/>
  <c r="HP47" i="8"/>
  <c r="HQ47" i="8"/>
  <c r="HO47" i="8"/>
  <c r="HP46" i="8"/>
  <c r="HQ46" i="8"/>
  <c r="HO46" i="8"/>
  <c r="HR46" i="8" s="1"/>
  <c r="HP45" i="8"/>
  <c r="HQ45" i="8"/>
  <c r="HO45" i="8"/>
  <c r="HP43" i="8"/>
  <c r="HQ43" i="8"/>
  <c r="HO43" i="8"/>
  <c r="HR43" i="8" s="1"/>
  <c r="HP42" i="8"/>
  <c r="HQ42" i="8"/>
  <c r="HO42" i="8"/>
  <c r="HR42" i="8" s="1"/>
  <c r="HR41" i="8"/>
  <c r="HP41" i="8"/>
  <c r="HQ41" i="8"/>
  <c r="HO41" i="8"/>
  <c r="HP40" i="8"/>
  <c r="HQ40" i="8"/>
  <c r="HO40" i="8"/>
  <c r="HR40" i="8" s="1"/>
  <c r="HP39" i="8"/>
  <c r="HQ39" i="8"/>
  <c r="HR39" i="8" s="1"/>
  <c r="HO39" i="8"/>
  <c r="HP38" i="8"/>
  <c r="HQ38" i="8"/>
  <c r="HO38" i="8"/>
  <c r="HR38" i="8" s="1"/>
  <c r="HP37" i="8"/>
  <c r="HQ37" i="8"/>
  <c r="HO37" i="8"/>
  <c r="HR37" i="8" s="1"/>
  <c r="HR35" i="8"/>
  <c r="HP35" i="8"/>
  <c r="HQ35" i="8"/>
  <c r="HO35" i="8"/>
  <c r="HP34" i="8"/>
  <c r="HQ34" i="8"/>
  <c r="HR34" i="8" s="1"/>
  <c r="HO34" i="8"/>
  <c r="HR32" i="8"/>
  <c r="HP32" i="8"/>
  <c r="HQ32" i="8"/>
  <c r="HO32" i="8"/>
  <c r="HP31" i="8"/>
  <c r="HQ31" i="8"/>
  <c r="HO31" i="8"/>
  <c r="HR31" i="8" s="1"/>
  <c r="HP30" i="8"/>
  <c r="HQ30" i="8"/>
  <c r="HO30" i="8"/>
  <c r="HP29" i="8"/>
  <c r="HQ29" i="8"/>
  <c r="HO29" i="8"/>
  <c r="HR29" i="8" s="1"/>
  <c r="HP27" i="8"/>
  <c r="HQ27" i="8"/>
  <c r="HO27" i="8"/>
  <c r="HR27" i="8" s="1"/>
  <c r="HR26" i="8"/>
  <c r="HP26" i="8"/>
  <c r="HQ26" i="8"/>
  <c r="HO26" i="8"/>
  <c r="HP25" i="8"/>
  <c r="HQ25" i="8"/>
  <c r="HO25" i="8"/>
  <c r="HR25" i="8" s="1"/>
  <c r="HP23" i="8"/>
  <c r="HQ23" i="8"/>
  <c r="HR23" i="8" s="1"/>
  <c r="HO23" i="8"/>
  <c r="HP22" i="8"/>
  <c r="HQ22" i="8"/>
  <c r="HO22" i="8"/>
  <c r="HR22" i="8" s="1"/>
  <c r="HP20" i="8"/>
  <c r="HQ20" i="8"/>
  <c r="HO20" i="8"/>
  <c r="HR20" i="8" s="1"/>
  <c r="HR19" i="8"/>
  <c r="HP19" i="8"/>
  <c r="HQ19" i="8"/>
  <c r="HO19" i="8"/>
  <c r="HP17" i="8"/>
  <c r="HQ17" i="8"/>
  <c r="HR17" i="8" s="1"/>
  <c r="HO17" i="8"/>
  <c r="HR16" i="8"/>
  <c r="HP16" i="8"/>
  <c r="HQ16" i="8"/>
  <c r="HO16" i="8"/>
  <c r="HP15" i="8"/>
  <c r="HQ15" i="8"/>
  <c r="HO15" i="8"/>
  <c r="HR15" i="8" s="1"/>
  <c r="HP14" i="8"/>
  <c r="HQ14" i="8"/>
  <c r="HO14" i="8"/>
  <c r="HP13" i="8"/>
  <c r="HQ13" i="8"/>
  <c r="HO13" i="8"/>
  <c r="HR13" i="8" s="1"/>
  <c r="HP12" i="8"/>
  <c r="HQ12" i="8"/>
  <c r="HO12" i="8"/>
  <c r="HR12" i="8" s="1"/>
  <c r="HR10" i="8"/>
  <c r="HP10" i="8"/>
  <c r="HQ10" i="8"/>
  <c r="HO10" i="8"/>
  <c r="HP9" i="8"/>
  <c r="HQ9" i="8"/>
  <c r="HO9" i="8"/>
  <c r="HR9" i="8" s="1"/>
  <c r="HP7" i="8"/>
  <c r="HQ7" i="8"/>
  <c r="HR7" i="8" s="1"/>
  <c r="HO7" i="8"/>
  <c r="HP6" i="8"/>
  <c r="HQ6" i="8"/>
  <c r="HO6" i="8"/>
  <c r="HR6" i="8" s="1"/>
  <c r="HP5" i="8"/>
  <c r="HQ5" i="8"/>
  <c r="HO5" i="8"/>
  <c r="HR5" i="8" s="1"/>
  <c r="HR4" i="8"/>
  <c r="HP4" i="8"/>
  <c r="HQ4" i="8"/>
  <c r="HO4" i="8"/>
  <c r="HP3" i="8"/>
  <c r="HQ3" i="8"/>
  <c r="HO3" i="8"/>
  <c r="GZ61" i="8"/>
  <c r="GX61" i="8"/>
  <c r="GW61" i="8"/>
  <c r="HD49" i="8"/>
  <c r="HE49" i="8"/>
  <c r="HC49" i="8"/>
  <c r="HF49" i="8" s="1"/>
  <c r="HD48" i="8"/>
  <c r="HE48" i="8"/>
  <c r="HF48" i="8" s="1"/>
  <c r="HC48" i="8"/>
  <c r="HD47" i="8"/>
  <c r="HE47" i="8"/>
  <c r="HC47" i="8"/>
  <c r="HF47" i="8" s="1"/>
  <c r="HD46" i="8"/>
  <c r="HE46" i="8"/>
  <c r="HC46" i="8"/>
  <c r="HF46" i="8" s="1"/>
  <c r="HD44" i="8"/>
  <c r="HE44" i="8"/>
  <c r="HC44" i="8"/>
  <c r="HF44" i="8" s="1"/>
  <c r="HD43" i="8"/>
  <c r="HE43" i="8"/>
  <c r="HC43" i="8"/>
  <c r="HF43" i="8" s="1"/>
  <c r="HF42" i="8"/>
  <c r="HD42" i="8"/>
  <c r="HE42" i="8"/>
  <c r="HC42" i="8"/>
  <c r="HD41" i="8"/>
  <c r="HE41" i="8"/>
  <c r="HC41" i="8"/>
  <c r="HF41" i="8" s="1"/>
  <c r="HD40" i="8"/>
  <c r="HE40" i="8"/>
  <c r="HC40" i="8"/>
  <c r="HF39" i="8"/>
  <c r="HD39" i="8"/>
  <c r="HE39" i="8"/>
  <c r="HC39" i="8"/>
  <c r="HD37" i="8"/>
  <c r="HE37" i="8"/>
  <c r="HC37" i="8"/>
  <c r="HF37" i="8" s="1"/>
  <c r="HF36" i="8"/>
  <c r="HD36" i="8"/>
  <c r="HE36" i="8"/>
  <c r="HC36" i="8"/>
  <c r="HD35" i="8"/>
  <c r="HE35" i="8"/>
  <c r="HC35" i="8"/>
  <c r="HF35" i="8" s="1"/>
  <c r="HD33" i="8"/>
  <c r="HE33" i="8"/>
  <c r="HF33" i="8" s="1"/>
  <c r="HC33" i="8"/>
  <c r="HD32" i="8"/>
  <c r="HE32" i="8"/>
  <c r="HC32" i="8"/>
  <c r="HF32" i="8" s="1"/>
  <c r="HD31" i="8"/>
  <c r="HE31" i="8"/>
  <c r="HC31" i="8"/>
  <c r="HF31" i="8" s="1"/>
  <c r="HD30" i="8"/>
  <c r="HE30" i="8"/>
  <c r="HC30" i="8"/>
  <c r="HF30" i="8" s="1"/>
  <c r="HD28" i="8"/>
  <c r="HE28" i="8"/>
  <c r="HC28" i="8"/>
  <c r="HF28" i="8" s="1"/>
  <c r="HF27" i="8"/>
  <c r="HD27" i="8"/>
  <c r="HE27" i="8"/>
  <c r="HC27" i="8"/>
  <c r="HD26" i="8"/>
  <c r="HE26" i="8"/>
  <c r="HC26" i="8"/>
  <c r="HF26" i="8" s="1"/>
  <c r="HF54" i="8" s="1"/>
  <c r="HD25" i="8"/>
  <c r="HE25" i="8"/>
  <c r="HC25" i="8"/>
  <c r="HF24" i="8"/>
  <c r="HD24" i="8"/>
  <c r="HE24" i="8"/>
  <c r="HC24" i="8"/>
  <c r="HD22" i="8"/>
  <c r="HE22" i="8"/>
  <c r="HC22" i="8"/>
  <c r="HF22" i="8" s="1"/>
  <c r="HF20" i="8"/>
  <c r="HD20" i="8"/>
  <c r="HE20" i="8"/>
  <c r="HC20" i="8"/>
  <c r="HD19" i="8"/>
  <c r="HE19" i="8"/>
  <c r="HC19" i="8"/>
  <c r="HF19" i="8" s="1"/>
  <c r="HD17" i="8"/>
  <c r="HE17" i="8"/>
  <c r="HF17" i="8" s="1"/>
  <c r="HC17" i="8"/>
  <c r="HD16" i="8"/>
  <c r="HE16" i="8"/>
  <c r="HC16" i="8"/>
  <c r="HF16" i="8" s="1"/>
  <c r="HD15" i="8"/>
  <c r="HE15" i="8"/>
  <c r="HC15" i="8"/>
  <c r="HF15" i="8" s="1"/>
  <c r="HD14" i="8"/>
  <c r="HE14" i="8"/>
  <c r="HC14" i="8"/>
  <c r="HF14" i="8" s="1"/>
  <c r="HD13" i="8"/>
  <c r="HE13" i="8"/>
  <c r="HC13" i="8"/>
  <c r="HF13" i="8" s="1"/>
  <c r="HF12" i="8"/>
  <c r="HD12" i="8"/>
  <c r="HE12" i="8"/>
  <c r="HC12" i="8"/>
  <c r="HD10" i="8"/>
  <c r="HE10" i="8"/>
  <c r="HC10" i="8"/>
  <c r="HF10" i="8" s="1"/>
  <c r="HD9" i="8"/>
  <c r="HE9" i="8"/>
  <c r="HC9" i="8"/>
  <c r="HF7" i="8"/>
  <c r="HD7" i="8"/>
  <c r="HE7" i="8"/>
  <c r="HC7" i="8"/>
  <c r="HD6" i="8"/>
  <c r="HE6" i="8"/>
  <c r="HC6" i="8"/>
  <c r="HF6" i="8" s="1"/>
  <c r="HF5" i="8"/>
  <c r="HD5" i="8"/>
  <c r="HE5" i="8"/>
  <c r="HC5" i="8"/>
  <c r="HD4" i="8"/>
  <c r="HE4" i="8"/>
  <c r="HC4" i="8"/>
  <c r="HF4" i="8" s="1"/>
  <c r="HD3" i="8"/>
  <c r="HE3" i="8"/>
  <c r="HC3" i="8"/>
  <c r="HA54" i="8" s="1"/>
  <c r="GN61" i="8"/>
  <c r="GL61" i="8"/>
  <c r="GK61" i="8"/>
  <c r="GR49" i="8"/>
  <c r="GS49" i="8"/>
  <c r="GQ49" i="8"/>
  <c r="GT49" i="8" s="1"/>
  <c r="GT48" i="8"/>
  <c r="GR48" i="8"/>
  <c r="GS48" i="8"/>
  <c r="GQ48" i="8"/>
  <c r="GR47" i="8"/>
  <c r="GS47" i="8"/>
  <c r="GQ47" i="8"/>
  <c r="GT47" i="8" s="1"/>
  <c r="GT46" i="8"/>
  <c r="GR46" i="8"/>
  <c r="GS46" i="8"/>
  <c r="GQ46" i="8"/>
  <c r="GR44" i="8"/>
  <c r="GS44" i="8"/>
  <c r="GQ44" i="8"/>
  <c r="GT44" i="8" s="1"/>
  <c r="GR43" i="8"/>
  <c r="GS43" i="8"/>
  <c r="GT43" i="8" s="1"/>
  <c r="GQ43" i="8"/>
  <c r="GR42" i="8"/>
  <c r="GS42" i="8"/>
  <c r="GQ42" i="8"/>
  <c r="GT42" i="8" s="1"/>
  <c r="GR41" i="8"/>
  <c r="GS41" i="8"/>
  <c r="GQ41" i="8"/>
  <c r="GT41" i="8" s="1"/>
  <c r="GR40" i="8"/>
  <c r="GS40" i="8"/>
  <c r="GQ40" i="8"/>
  <c r="GT40" i="8" s="1"/>
  <c r="GT39" i="8"/>
  <c r="GR39" i="8"/>
  <c r="GS39" i="8"/>
  <c r="GQ39" i="8"/>
  <c r="GT37" i="8"/>
  <c r="GR37" i="8"/>
  <c r="GS37" i="8"/>
  <c r="GQ37" i="8"/>
  <c r="GR36" i="8"/>
  <c r="GS36" i="8"/>
  <c r="GQ36" i="8"/>
  <c r="GT36" i="8" s="1"/>
  <c r="GR35" i="8"/>
  <c r="GS35" i="8"/>
  <c r="GQ35" i="8"/>
  <c r="GT34" i="8"/>
  <c r="GR34" i="8"/>
  <c r="GS34" i="8"/>
  <c r="GQ34" i="8"/>
  <c r="GR32" i="8"/>
  <c r="GS32" i="8"/>
  <c r="GQ32" i="8"/>
  <c r="GT32" i="8" s="1"/>
  <c r="GT31" i="8"/>
  <c r="GR31" i="8"/>
  <c r="GS31" i="8"/>
  <c r="GQ31" i="8"/>
  <c r="GR30" i="8"/>
  <c r="GS30" i="8"/>
  <c r="GQ30" i="8"/>
  <c r="GT30" i="8" s="1"/>
  <c r="GR29" i="8"/>
  <c r="GS29" i="8"/>
  <c r="GT29" i="8" s="1"/>
  <c r="GQ29" i="8"/>
  <c r="GR27" i="8"/>
  <c r="GS27" i="8"/>
  <c r="GQ27" i="8"/>
  <c r="GT27" i="8" s="1"/>
  <c r="GR26" i="8"/>
  <c r="GS26" i="8"/>
  <c r="GQ26" i="8"/>
  <c r="GT26" i="8" s="1"/>
  <c r="GR25" i="8"/>
  <c r="GS25" i="8"/>
  <c r="GQ25" i="8"/>
  <c r="GT25" i="8" s="1"/>
  <c r="GT23" i="8"/>
  <c r="GR23" i="8"/>
  <c r="GS23" i="8"/>
  <c r="GQ23" i="8"/>
  <c r="GT22" i="8"/>
  <c r="GR22" i="8"/>
  <c r="GS22" i="8"/>
  <c r="GQ22" i="8"/>
  <c r="GR20" i="8"/>
  <c r="GS20" i="8"/>
  <c r="GQ20" i="8"/>
  <c r="GT20" i="8" s="1"/>
  <c r="GR19" i="8"/>
  <c r="GS19" i="8"/>
  <c r="GQ19" i="8"/>
  <c r="GT19" i="8" s="1"/>
  <c r="GT17" i="8"/>
  <c r="GR17" i="8"/>
  <c r="GS17" i="8"/>
  <c r="GQ17" i="8"/>
  <c r="GR16" i="8"/>
  <c r="GS16" i="8"/>
  <c r="GQ16" i="8"/>
  <c r="GT16" i="8" s="1"/>
  <c r="GT15" i="8"/>
  <c r="GR15" i="8"/>
  <c r="GS15" i="8"/>
  <c r="GQ15" i="8"/>
  <c r="GR14" i="8"/>
  <c r="GS14" i="8"/>
  <c r="GQ14" i="8"/>
  <c r="GT14" i="8" s="1"/>
  <c r="GR13" i="8"/>
  <c r="GS13" i="8"/>
  <c r="GT13" i="8" s="1"/>
  <c r="GQ13" i="8"/>
  <c r="GR12" i="8"/>
  <c r="GS12" i="8"/>
  <c r="GQ12" i="8"/>
  <c r="GT12" i="8" s="1"/>
  <c r="GR10" i="8"/>
  <c r="GS10" i="8"/>
  <c r="GQ10" i="8"/>
  <c r="GT10" i="8" s="1"/>
  <c r="GR9" i="8"/>
  <c r="GS9" i="8"/>
  <c r="GQ9" i="8"/>
  <c r="GT9" i="8" s="1"/>
  <c r="GT7" i="8"/>
  <c r="GR7" i="8"/>
  <c r="GS7" i="8"/>
  <c r="GQ7" i="8"/>
  <c r="GT6" i="8"/>
  <c r="GR6" i="8"/>
  <c r="GS6" i="8"/>
  <c r="GQ6" i="8"/>
  <c r="GR5" i="8"/>
  <c r="GS5" i="8"/>
  <c r="GQ5" i="8"/>
  <c r="GT5" i="8" s="1"/>
  <c r="GR4" i="8"/>
  <c r="GS4" i="8"/>
  <c r="GO55" i="8" s="1"/>
  <c r="I18" i="30" s="1"/>
  <c r="GQ4" i="8"/>
  <c r="GT4" i="8" s="1"/>
  <c r="GT3" i="8"/>
  <c r="GR3" i="8"/>
  <c r="GS3" i="8"/>
  <c r="GQ3" i="8"/>
  <c r="GB61" i="8"/>
  <c r="FZ61" i="8"/>
  <c r="FY61" i="8"/>
  <c r="GF49" i="8"/>
  <c r="GG49" i="8"/>
  <c r="GE49" i="8"/>
  <c r="GH49" i="8" s="1"/>
  <c r="GH48" i="8"/>
  <c r="GF48" i="8"/>
  <c r="GG48" i="8"/>
  <c r="GE48" i="8"/>
  <c r="GH47" i="8"/>
  <c r="GF47" i="8"/>
  <c r="GG47" i="8"/>
  <c r="GE47" i="8"/>
  <c r="GF46" i="8"/>
  <c r="GG46" i="8"/>
  <c r="GE46" i="8"/>
  <c r="GH46" i="8" s="1"/>
  <c r="GF44" i="8"/>
  <c r="GG44" i="8"/>
  <c r="GE44" i="8"/>
  <c r="GH44" i="8" s="1"/>
  <c r="GH43" i="8"/>
  <c r="GF43" i="8"/>
  <c r="GG43" i="8"/>
  <c r="GE43" i="8"/>
  <c r="GF42" i="8"/>
  <c r="GG42" i="8"/>
  <c r="GE42" i="8"/>
  <c r="GH42" i="8" s="1"/>
  <c r="GH41" i="8"/>
  <c r="GF41" i="8"/>
  <c r="GG41" i="8"/>
  <c r="GE41" i="8"/>
  <c r="GF40" i="8"/>
  <c r="GG40" i="8"/>
  <c r="GE40" i="8"/>
  <c r="GH40" i="8" s="1"/>
  <c r="GF39" i="8"/>
  <c r="GG39" i="8"/>
  <c r="GH39" i="8" s="1"/>
  <c r="GE39" i="8"/>
  <c r="GF38" i="8"/>
  <c r="GG38" i="8"/>
  <c r="GE38" i="8"/>
  <c r="GH38" i="8" s="1"/>
  <c r="GF36" i="8"/>
  <c r="GG36" i="8"/>
  <c r="GE36" i="8"/>
  <c r="GH36" i="8" s="1"/>
  <c r="GF35" i="8"/>
  <c r="GG35" i="8"/>
  <c r="GE35" i="8"/>
  <c r="GH35" i="8" s="1"/>
  <c r="GH34" i="8"/>
  <c r="GF34" i="8"/>
  <c r="GG34" i="8"/>
  <c r="GE34" i="8"/>
  <c r="GH32" i="8"/>
  <c r="GF32" i="8"/>
  <c r="GG32" i="8"/>
  <c r="GE32" i="8"/>
  <c r="GF31" i="8"/>
  <c r="GG31" i="8"/>
  <c r="GE31" i="8"/>
  <c r="GH31" i="8" s="1"/>
  <c r="GF30" i="8"/>
  <c r="GG30" i="8"/>
  <c r="GE30" i="8"/>
  <c r="GH30" i="8" s="1"/>
  <c r="GH29" i="8"/>
  <c r="GF29" i="8"/>
  <c r="GG29" i="8"/>
  <c r="GE29" i="8"/>
  <c r="GF27" i="8"/>
  <c r="GG27" i="8"/>
  <c r="GE27" i="8"/>
  <c r="GH27" i="8" s="1"/>
  <c r="GH26" i="8"/>
  <c r="GF26" i="8"/>
  <c r="GG26" i="8"/>
  <c r="GE26" i="8"/>
  <c r="GF25" i="8"/>
  <c r="GG25" i="8"/>
  <c r="GE25" i="8"/>
  <c r="GH25" i="8" s="1"/>
  <c r="GF24" i="8"/>
  <c r="GG24" i="8"/>
  <c r="GH24" i="8" s="1"/>
  <c r="GE24" i="8"/>
  <c r="GF22" i="8"/>
  <c r="GG22" i="8"/>
  <c r="GE22" i="8"/>
  <c r="GH22" i="8" s="1"/>
  <c r="GF20" i="8"/>
  <c r="GG20" i="8"/>
  <c r="GE20" i="8"/>
  <c r="GH20" i="8" s="1"/>
  <c r="GF19" i="8"/>
  <c r="GG19" i="8"/>
  <c r="GE19" i="8"/>
  <c r="GH19" i="8" s="1"/>
  <c r="GH17" i="8"/>
  <c r="GF17" i="8"/>
  <c r="GG17" i="8"/>
  <c r="GE17" i="8"/>
  <c r="GH16" i="8"/>
  <c r="GF16" i="8"/>
  <c r="GG16" i="8"/>
  <c r="GE16" i="8"/>
  <c r="GF15" i="8"/>
  <c r="GG15" i="8"/>
  <c r="GE15" i="8"/>
  <c r="GH15" i="8" s="1"/>
  <c r="GF14" i="8"/>
  <c r="GG14" i="8"/>
  <c r="GE14" i="8"/>
  <c r="GH14" i="8" s="1"/>
  <c r="GH13" i="8"/>
  <c r="GF13" i="8"/>
  <c r="GG13" i="8"/>
  <c r="GE13" i="8"/>
  <c r="GF12" i="8"/>
  <c r="GG12" i="8"/>
  <c r="GE12" i="8"/>
  <c r="GH12" i="8" s="1"/>
  <c r="GH10" i="8"/>
  <c r="GF10" i="8"/>
  <c r="GG10" i="8"/>
  <c r="GE10" i="8"/>
  <c r="GF9" i="8"/>
  <c r="GG9" i="8"/>
  <c r="GE9" i="8"/>
  <c r="GH9" i="8" s="1"/>
  <c r="GF7" i="8"/>
  <c r="GG7" i="8"/>
  <c r="GH7" i="8" s="1"/>
  <c r="GE7" i="8"/>
  <c r="GF6" i="8"/>
  <c r="GG6" i="8"/>
  <c r="GE6" i="8"/>
  <c r="GH6" i="8" s="1"/>
  <c r="GF5" i="8"/>
  <c r="GG5" i="8"/>
  <c r="GE5" i="8"/>
  <c r="GH5" i="8" s="1"/>
  <c r="GF4" i="8"/>
  <c r="GG4" i="8"/>
  <c r="GE4" i="8"/>
  <c r="GH4" i="8" s="1"/>
  <c r="GF3" i="8"/>
  <c r="GG3" i="8"/>
  <c r="GC55" i="8" s="1"/>
  <c r="I17" i="30" s="1"/>
  <c r="GE3" i="8"/>
  <c r="FP61" i="8"/>
  <c r="FN61" i="8"/>
  <c r="FM61" i="8"/>
  <c r="FT49" i="8"/>
  <c r="FU49" i="8"/>
  <c r="FS49" i="8"/>
  <c r="FV49" i="8" s="1"/>
  <c r="FT48" i="8"/>
  <c r="FU48" i="8"/>
  <c r="FV48" i="8" s="1"/>
  <c r="FS48" i="8"/>
  <c r="FT47" i="8"/>
  <c r="FU47" i="8"/>
  <c r="FS47" i="8"/>
  <c r="FV47" i="8" s="1"/>
  <c r="FT46" i="8"/>
  <c r="FU46" i="8"/>
  <c r="FS46" i="8"/>
  <c r="FV46" i="8" s="1"/>
  <c r="FT45" i="8"/>
  <c r="FU45" i="8"/>
  <c r="FS45" i="8"/>
  <c r="FV45" i="8" s="1"/>
  <c r="FT43" i="8"/>
  <c r="FU43" i="8"/>
  <c r="FV43" i="8" s="1"/>
  <c r="FS43" i="8"/>
  <c r="FV42" i="8"/>
  <c r="FT42" i="8"/>
  <c r="FU42" i="8"/>
  <c r="FS42" i="8"/>
  <c r="FV41" i="8"/>
  <c r="FT41" i="8"/>
  <c r="FU41" i="8"/>
  <c r="FS41" i="8"/>
  <c r="FT40" i="8"/>
  <c r="FU40" i="8"/>
  <c r="FS40" i="8"/>
  <c r="FV40" i="8" s="1"/>
  <c r="FV39" i="8"/>
  <c r="FT39" i="8"/>
  <c r="FU39" i="8"/>
  <c r="FS39" i="8"/>
  <c r="FT38" i="8"/>
  <c r="FU38" i="8"/>
  <c r="FS38" i="8"/>
  <c r="FV38" i="8" s="1"/>
  <c r="FV37" i="8"/>
  <c r="FT37" i="8"/>
  <c r="FU37" i="8"/>
  <c r="FS37" i="8"/>
  <c r="FT35" i="8"/>
  <c r="FU35" i="8"/>
  <c r="FS35" i="8"/>
  <c r="FV35" i="8" s="1"/>
  <c r="FT34" i="8"/>
  <c r="FU34" i="8"/>
  <c r="FV34" i="8" s="1"/>
  <c r="FS34" i="8"/>
  <c r="FT33" i="8"/>
  <c r="FU33" i="8"/>
  <c r="FS33" i="8"/>
  <c r="FV33" i="8" s="1"/>
  <c r="FT31" i="8"/>
  <c r="FU31" i="8"/>
  <c r="FS31" i="8"/>
  <c r="FV31" i="8" s="1"/>
  <c r="FT30" i="8"/>
  <c r="FU30" i="8"/>
  <c r="FS30" i="8"/>
  <c r="FV30" i="8" s="1"/>
  <c r="FT29" i="8"/>
  <c r="FU29" i="8"/>
  <c r="FV29" i="8" s="1"/>
  <c r="FS29" i="8"/>
  <c r="FV27" i="8"/>
  <c r="FT27" i="8"/>
  <c r="FU27" i="8"/>
  <c r="FS27" i="8"/>
  <c r="FV26" i="8"/>
  <c r="FV54" i="8" s="1"/>
  <c r="FT26" i="8"/>
  <c r="FU26" i="8"/>
  <c r="FS26" i="8"/>
  <c r="FT25" i="8"/>
  <c r="FU25" i="8"/>
  <c r="FS25" i="8"/>
  <c r="FV25" i="8" s="1"/>
  <c r="FV23" i="8"/>
  <c r="FT23" i="8"/>
  <c r="FU23" i="8"/>
  <c r="FS23" i="8"/>
  <c r="FT22" i="8"/>
  <c r="FU22" i="8"/>
  <c r="FS22" i="8"/>
  <c r="FV22" i="8" s="1"/>
  <c r="FV20" i="8"/>
  <c r="FT20" i="8"/>
  <c r="FU20" i="8"/>
  <c r="FS20" i="8"/>
  <c r="FT19" i="8"/>
  <c r="FU19" i="8"/>
  <c r="FS19" i="8"/>
  <c r="FV19" i="8" s="1"/>
  <c r="FT17" i="8"/>
  <c r="FU17" i="8"/>
  <c r="FV17" i="8" s="1"/>
  <c r="FS17" i="8"/>
  <c r="FT16" i="8"/>
  <c r="FU16" i="8"/>
  <c r="FS16" i="8"/>
  <c r="FV16" i="8" s="1"/>
  <c r="FT15" i="8"/>
  <c r="FU15" i="8"/>
  <c r="FS15" i="8"/>
  <c r="FV15" i="8" s="1"/>
  <c r="FT14" i="8"/>
  <c r="FU14" i="8"/>
  <c r="FS14" i="8"/>
  <c r="FV14" i="8" s="1"/>
  <c r="FT13" i="8"/>
  <c r="FU13" i="8"/>
  <c r="FV13" i="8" s="1"/>
  <c r="FS13" i="8"/>
  <c r="FV12" i="8"/>
  <c r="FT12" i="8"/>
  <c r="FU12" i="8"/>
  <c r="FS12" i="8"/>
  <c r="FV10" i="8"/>
  <c r="FT10" i="8"/>
  <c r="FU10" i="8"/>
  <c r="FS10" i="8"/>
  <c r="FT9" i="8"/>
  <c r="FU9" i="8"/>
  <c r="FS9" i="8"/>
  <c r="FV9" i="8" s="1"/>
  <c r="FV7" i="8"/>
  <c r="FT7" i="8"/>
  <c r="FU7" i="8"/>
  <c r="FS7" i="8"/>
  <c r="FT6" i="8"/>
  <c r="FU6" i="8"/>
  <c r="FS6" i="8"/>
  <c r="FV6" i="8" s="1"/>
  <c r="FV5" i="8"/>
  <c r="FT5" i="8"/>
  <c r="FU5" i="8"/>
  <c r="FS5" i="8"/>
  <c r="FT4" i="8"/>
  <c r="FU4" i="8"/>
  <c r="FS4" i="8"/>
  <c r="FV4" i="8" s="1"/>
  <c r="FT3" i="8"/>
  <c r="FU3" i="8"/>
  <c r="FS3" i="8"/>
  <c r="FD61" i="8"/>
  <c r="FB61" i="8"/>
  <c r="FA61" i="8"/>
  <c r="FH49" i="8"/>
  <c r="FI49" i="8"/>
  <c r="FG49" i="8"/>
  <c r="FJ49" i="8" s="1"/>
  <c r="FJ48" i="8"/>
  <c r="FH48" i="8"/>
  <c r="FI48" i="8"/>
  <c r="FG48" i="8"/>
  <c r="FH47" i="8"/>
  <c r="FI47" i="8"/>
  <c r="FG47" i="8"/>
  <c r="FJ47" i="8" s="1"/>
  <c r="FJ46" i="8"/>
  <c r="FH46" i="8"/>
  <c r="FI46" i="8"/>
  <c r="FG46" i="8"/>
  <c r="FH45" i="8"/>
  <c r="FI45" i="8"/>
  <c r="FG45" i="8"/>
  <c r="FJ45" i="8" s="1"/>
  <c r="FH44" i="8"/>
  <c r="FI44" i="8"/>
  <c r="FJ44" i="8" s="1"/>
  <c r="FG44" i="8"/>
  <c r="FH42" i="8"/>
  <c r="FI42" i="8"/>
  <c r="FG42" i="8"/>
  <c r="FJ42" i="8" s="1"/>
  <c r="FH41" i="8"/>
  <c r="FI41" i="8"/>
  <c r="FG41" i="8"/>
  <c r="FJ41" i="8" s="1"/>
  <c r="FH40" i="8"/>
  <c r="FI40" i="8"/>
  <c r="FG40" i="8"/>
  <c r="FJ40" i="8" s="1"/>
  <c r="FJ39" i="8"/>
  <c r="FH39" i="8"/>
  <c r="FI39" i="8"/>
  <c r="FG39" i="8"/>
  <c r="FJ38" i="8"/>
  <c r="FH38" i="8"/>
  <c r="FI38" i="8"/>
  <c r="FG38" i="8"/>
  <c r="FJ37" i="8"/>
  <c r="FH37" i="8"/>
  <c r="FI37" i="8"/>
  <c r="FG37" i="8"/>
  <c r="FH35" i="8"/>
  <c r="FI35" i="8"/>
  <c r="FG35" i="8"/>
  <c r="FJ34" i="8"/>
  <c r="FH34" i="8"/>
  <c r="FI34" i="8"/>
  <c r="FG34" i="8"/>
  <c r="FH32" i="8"/>
  <c r="FI32" i="8"/>
  <c r="FG32" i="8"/>
  <c r="FJ32" i="8" s="1"/>
  <c r="FJ31" i="8"/>
  <c r="FH31" i="8"/>
  <c r="FI31" i="8"/>
  <c r="FG31" i="8"/>
  <c r="FH30" i="8"/>
  <c r="FI30" i="8"/>
  <c r="FG30" i="8"/>
  <c r="FJ30" i="8" s="1"/>
  <c r="FH29" i="8"/>
  <c r="FI29" i="8"/>
  <c r="FJ29" i="8" s="1"/>
  <c r="FG29" i="8"/>
  <c r="FH27" i="8"/>
  <c r="FI27" i="8"/>
  <c r="FG27" i="8"/>
  <c r="FJ27" i="8" s="1"/>
  <c r="FH26" i="8"/>
  <c r="FI26" i="8"/>
  <c r="FG26" i="8"/>
  <c r="FJ26" i="8" s="1"/>
  <c r="FH25" i="8"/>
  <c r="FI25" i="8"/>
  <c r="FG25" i="8"/>
  <c r="FJ25" i="8" s="1"/>
  <c r="FJ24" i="8"/>
  <c r="FH24" i="8"/>
  <c r="FI24" i="8"/>
  <c r="FG24" i="8"/>
  <c r="FJ22" i="8"/>
  <c r="FH22" i="8"/>
  <c r="FI22" i="8"/>
  <c r="FG22" i="8"/>
  <c r="FJ21" i="8"/>
  <c r="FH21" i="8"/>
  <c r="FI21" i="8"/>
  <c r="FG21" i="8"/>
  <c r="FH19" i="8"/>
  <c r="FI19" i="8"/>
  <c r="FG19" i="8"/>
  <c r="FH18" i="8"/>
  <c r="FI18" i="8"/>
  <c r="FJ18" i="8" s="1"/>
  <c r="FG18" i="8"/>
  <c r="FH16" i="8"/>
  <c r="FI16" i="8"/>
  <c r="FG16" i="8"/>
  <c r="FJ16" i="8" s="1"/>
  <c r="FJ15" i="8"/>
  <c r="FH15" i="8"/>
  <c r="FI15" i="8"/>
  <c r="FG15" i="8"/>
  <c r="FH14" i="8"/>
  <c r="FI14" i="8"/>
  <c r="FG14" i="8"/>
  <c r="FJ14" i="8" s="1"/>
  <c r="FH13" i="8"/>
  <c r="FI13" i="8"/>
  <c r="FJ13" i="8" s="1"/>
  <c r="FG13" i="8"/>
  <c r="FH12" i="8"/>
  <c r="FI12" i="8"/>
  <c r="FG12" i="8"/>
  <c r="FJ12" i="8" s="1"/>
  <c r="FH11" i="8"/>
  <c r="FI11" i="8"/>
  <c r="FG11" i="8"/>
  <c r="FJ11" i="8" s="1"/>
  <c r="FH9" i="8"/>
  <c r="FI9" i="8"/>
  <c r="FG9" i="8"/>
  <c r="FJ9" i="8" s="1"/>
  <c r="FJ8" i="8"/>
  <c r="FH8" i="8"/>
  <c r="FI8" i="8"/>
  <c r="FG8" i="8"/>
  <c r="FJ6" i="8"/>
  <c r="FH6" i="8"/>
  <c r="FI6" i="8"/>
  <c r="FG6" i="8"/>
  <c r="FJ5" i="8"/>
  <c r="FH5" i="8"/>
  <c r="FI5" i="8"/>
  <c r="FG5" i="8"/>
  <c r="FH4" i="8"/>
  <c r="FI4" i="8"/>
  <c r="FE55" i="8" s="1"/>
  <c r="I15" i="30" s="1"/>
  <c r="FG4" i="8"/>
  <c r="FJ4" i="8" s="1"/>
  <c r="FH3" i="8"/>
  <c r="FI3" i="8"/>
  <c r="FJ3" i="8" s="1"/>
  <c r="FG3" i="8"/>
  <c r="ER61" i="8"/>
  <c r="EP61" i="8"/>
  <c r="EO61" i="8"/>
  <c r="EV49" i="8"/>
  <c r="EW49" i="8"/>
  <c r="EU49" i="8"/>
  <c r="EX49" i="8" s="1"/>
  <c r="EX54" i="8" s="1"/>
  <c r="EX48" i="8"/>
  <c r="EV48" i="8"/>
  <c r="EW48" i="8"/>
  <c r="EU48" i="8"/>
  <c r="EX47" i="8"/>
  <c r="EV47" i="8"/>
  <c r="EW47" i="8"/>
  <c r="EU47" i="8"/>
  <c r="EX46" i="8"/>
  <c r="EV46" i="8"/>
  <c r="EW46" i="8"/>
  <c r="EU46" i="8"/>
  <c r="EV45" i="8"/>
  <c r="EW45" i="8"/>
  <c r="EU45" i="8"/>
  <c r="EV44" i="8"/>
  <c r="EW44" i="8"/>
  <c r="EX44" i="8" s="1"/>
  <c r="EU44" i="8"/>
  <c r="EV42" i="8"/>
  <c r="EW42" i="8"/>
  <c r="EU42" i="8"/>
  <c r="EX42" i="8" s="1"/>
  <c r="EX41" i="8"/>
  <c r="EV41" i="8"/>
  <c r="EW41" i="8"/>
  <c r="EU41" i="8"/>
  <c r="EV40" i="8"/>
  <c r="EW40" i="8"/>
  <c r="EU40" i="8"/>
  <c r="EX40" i="8" s="1"/>
  <c r="EV39" i="8"/>
  <c r="EW39" i="8"/>
  <c r="EX39" i="8" s="1"/>
  <c r="EU39" i="8"/>
  <c r="EV38" i="8"/>
  <c r="EW38" i="8"/>
  <c r="EU38" i="8"/>
  <c r="EX38" i="8" s="1"/>
  <c r="EV36" i="8"/>
  <c r="EW36" i="8"/>
  <c r="EU36" i="8"/>
  <c r="EV35" i="8"/>
  <c r="EW35" i="8"/>
  <c r="EU35" i="8"/>
  <c r="EX35" i="8" s="1"/>
  <c r="EX33" i="8"/>
  <c r="EV33" i="8"/>
  <c r="EW33" i="8"/>
  <c r="EU33" i="8"/>
  <c r="EX32" i="8"/>
  <c r="EV32" i="8"/>
  <c r="EW32" i="8"/>
  <c r="EU32" i="8"/>
  <c r="EX31" i="8"/>
  <c r="EV31" i="8"/>
  <c r="EW31" i="8"/>
  <c r="EU31" i="8"/>
  <c r="EV30" i="8"/>
  <c r="EW30" i="8"/>
  <c r="EU30" i="8"/>
  <c r="EX30" i="8" s="1"/>
  <c r="EV29" i="8"/>
  <c r="EW29" i="8"/>
  <c r="EX29" i="8" s="1"/>
  <c r="EU29" i="8"/>
  <c r="EV27" i="8"/>
  <c r="EW27" i="8"/>
  <c r="EU27" i="8"/>
  <c r="EX27" i="8" s="1"/>
  <c r="EX26" i="8"/>
  <c r="EV26" i="8"/>
  <c r="EW26" i="8"/>
  <c r="EU26" i="8"/>
  <c r="EV25" i="8"/>
  <c r="EW25" i="8"/>
  <c r="EU25" i="8"/>
  <c r="EX25" i="8" s="1"/>
  <c r="EX24" i="8"/>
  <c r="EV24" i="8"/>
  <c r="EW24" i="8"/>
  <c r="EU24" i="8"/>
  <c r="EV22" i="8"/>
  <c r="EW22" i="8"/>
  <c r="EU22" i="8"/>
  <c r="EX22" i="8" s="1"/>
  <c r="EV21" i="8"/>
  <c r="EW21" i="8"/>
  <c r="EU21" i="8"/>
  <c r="EX21" i="8" s="1"/>
  <c r="EV19" i="8"/>
  <c r="EW19" i="8"/>
  <c r="EU19" i="8"/>
  <c r="EX19" i="8" s="1"/>
  <c r="EX18" i="8"/>
  <c r="EV18" i="8"/>
  <c r="EW18" i="8"/>
  <c r="EU18" i="8"/>
  <c r="EX16" i="8"/>
  <c r="EV16" i="8"/>
  <c r="EW16" i="8"/>
  <c r="EU16" i="8"/>
  <c r="EX15" i="8"/>
  <c r="EV15" i="8"/>
  <c r="EW15" i="8"/>
  <c r="EU15" i="8"/>
  <c r="EV14" i="8"/>
  <c r="EW14" i="8"/>
  <c r="EU14" i="8"/>
  <c r="EX14" i="8" s="1"/>
  <c r="EV13" i="8"/>
  <c r="EW13" i="8"/>
  <c r="EX13" i="8" s="1"/>
  <c r="EU13" i="8"/>
  <c r="EV12" i="8"/>
  <c r="EW12" i="8"/>
  <c r="EU12" i="8"/>
  <c r="EX12" i="8" s="1"/>
  <c r="EX10" i="8"/>
  <c r="EV10" i="8"/>
  <c r="EW10" i="8"/>
  <c r="EU10" i="8"/>
  <c r="EV9" i="8"/>
  <c r="EW9" i="8"/>
  <c r="EU9" i="8"/>
  <c r="EX9" i="8" s="1"/>
  <c r="EV7" i="8"/>
  <c r="EW7" i="8"/>
  <c r="EX7" i="8" s="1"/>
  <c r="EU7" i="8"/>
  <c r="EV6" i="8"/>
  <c r="EW6" i="8"/>
  <c r="EU6" i="8"/>
  <c r="EX6" i="8" s="1"/>
  <c r="EV5" i="8"/>
  <c r="EW5" i="8"/>
  <c r="EU5" i="8"/>
  <c r="EX5" i="8" s="1"/>
  <c r="EV4" i="8"/>
  <c r="EW4" i="8"/>
  <c r="EU4" i="8"/>
  <c r="EX3" i="8"/>
  <c r="EV3" i="8"/>
  <c r="EW3" i="8"/>
  <c r="EU3" i="8"/>
  <c r="EF61" i="8"/>
  <c r="ED61" i="8"/>
  <c r="EC61" i="8"/>
  <c r="EJ49" i="8"/>
  <c r="EK49" i="8"/>
  <c r="EI49" i="8"/>
  <c r="EJ48" i="8"/>
  <c r="EK48" i="8"/>
  <c r="EL48" i="8" s="1"/>
  <c r="EI48" i="8"/>
  <c r="EJ47" i="8"/>
  <c r="EK47" i="8"/>
  <c r="EI47" i="8"/>
  <c r="EL47" i="8" s="1"/>
  <c r="EJ46" i="8"/>
  <c r="EK46" i="8"/>
  <c r="EI46" i="8"/>
  <c r="EJ45" i="8"/>
  <c r="EK45" i="8"/>
  <c r="EI45" i="8"/>
  <c r="EL45" i="8" s="1"/>
  <c r="EJ43" i="8"/>
  <c r="EK43" i="8"/>
  <c r="EL43" i="8" s="1"/>
  <c r="EI43" i="8"/>
  <c r="EL42" i="8"/>
  <c r="EJ42" i="8"/>
  <c r="EK42" i="8"/>
  <c r="EI42" i="8"/>
  <c r="EL41" i="8"/>
  <c r="EJ41" i="8"/>
  <c r="EK41" i="8"/>
  <c r="EI41" i="8"/>
  <c r="EJ40" i="8"/>
  <c r="EK40" i="8"/>
  <c r="EI40" i="8"/>
  <c r="EL39" i="8"/>
  <c r="EJ39" i="8"/>
  <c r="EK39" i="8"/>
  <c r="EI39" i="8"/>
  <c r="EJ38" i="8"/>
  <c r="EK38" i="8"/>
  <c r="EI38" i="8"/>
  <c r="EL38" i="8" s="1"/>
  <c r="EL37" i="8"/>
  <c r="EJ37" i="8"/>
  <c r="EK37" i="8"/>
  <c r="EI37" i="8"/>
  <c r="EJ35" i="8"/>
  <c r="EK35" i="8"/>
  <c r="EI35" i="8"/>
  <c r="EJ34" i="8"/>
  <c r="EK34" i="8"/>
  <c r="EL34" i="8" s="1"/>
  <c r="EI34" i="8"/>
  <c r="EJ33" i="8"/>
  <c r="EK33" i="8"/>
  <c r="EI33" i="8"/>
  <c r="EL33" i="8" s="1"/>
  <c r="EJ31" i="8"/>
  <c r="EK31" i="8"/>
  <c r="EI31" i="8"/>
  <c r="EL31" i="8" s="1"/>
  <c r="EJ30" i="8"/>
  <c r="EK30" i="8"/>
  <c r="EI30" i="8"/>
  <c r="EL30" i="8" s="1"/>
  <c r="EJ29" i="8"/>
  <c r="EK29" i="8"/>
  <c r="EL29" i="8" s="1"/>
  <c r="EI29" i="8"/>
  <c r="EL28" i="8"/>
  <c r="EJ28" i="8"/>
  <c r="EK28" i="8"/>
  <c r="EI28" i="8"/>
  <c r="EJ26" i="8"/>
  <c r="EK26" i="8"/>
  <c r="EI26" i="8"/>
  <c r="EL26" i="8" s="1"/>
  <c r="EJ25" i="8"/>
  <c r="EK25" i="8"/>
  <c r="EI25" i="8"/>
  <c r="EL24" i="8"/>
  <c r="EJ24" i="8"/>
  <c r="EK24" i="8"/>
  <c r="EI24" i="8"/>
  <c r="EJ22" i="8"/>
  <c r="EK22" i="8"/>
  <c r="EI22" i="8"/>
  <c r="EL22" i="8" s="1"/>
  <c r="EL21" i="8"/>
  <c r="EJ21" i="8"/>
  <c r="EK21" i="8"/>
  <c r="EI21" i="8"/>
  <c r="EJ19" i="8"/>
  <c r="EK19" i="8"/>
  <c r="EI19" i="8"/>
  <c r="EL18" i="8"/>
  <c r="EJ18" i="8"/>
  <c r="EK18" i="8"/>
  <c r="EI18" i="8"/>
  <c r="EJ16" i="8"/>
  <c r="EK16" i="8"/>
  <c r="EI16" i="8"/>
  <c r="EL16" i="8" s="1"/>
  <c r="EJ15" i="8"/>
  <c r="EK15" i="8"/>
  <c r="EI15" i="8"/>
  <c r="EL15" i="8" s="1"/>
  <c r="EJ14" i="8"/>
  <c r="EK14" i="8"/>
  <c r="EI14" i="8"/>
  <c r="EL14" i="8" s="1"/>
  <c r="EJ13" i="8"/>
  <c r="EK13" i="8"/>
  <c r="EL13" i="8" s="1"/>
  <c r="EI13" i="8"/>
  <c r="EJ12" i="8"/>
  <c r="EK12" i="8"/>
  <c r="EI12" i="8"/>
  <c r="EL12" i="8" s="1"/>
  <c r="EJ11" i="8"/>
  <c r="EK11" i="8"/>
  <c r="EL11" i="8" s="1"/>
  <c r="EI11" i="8"/>
  <c r="EJ9" i="8"/>
  <c r="EK9" i="8"/>
  <c r="EI9" i="8"/>
  <c r="EL9" i="8" s="1"/>
  <c r="EL7" i="8"/>
  <c r="EJ7" i="8"/>
  <c r="EK7" i="8"/>
  <c r="EI7" i="8"/>
  <c r="EL6" i="8"/>
  <c r="EJ6" i="8"/>
  <c r="EK6" i="8"/>
  <c r="EI6" i="8"/>
  <c r="EJ5" i="8"/>
  <c r="EK5" i="8"/>
  <c r="EL5" i="8" s="1"/>
  <c r="EI5" i="8"/>
  <c r="EJ4" i="8"/>
  <c r="EK4" i="8"/>
  <c r="EI4" i="8"/>
  <c r="EL3" i="8"/>
  <c r="EJ3" i="8"/>
  <c r="EK3" i="8"/>
  <c r="EG55" i="8" s="1"/>
  <c r="I13" i="30" s="1"/>
  <c r="EI3" i="8"/>
  <c r="DT61" i="8"/>
  <c r="DR61" i="8"/>
  <c r="DQ61" i="8"/>
  <c r="DX49" i="8"/>
  <c r="DY49" i="8"/>
  <c r="DW49" i="8"/>
  <c r="DX48" i="8"/>
  <c r="DY48" i="8"/>
  <c r="DZ48" i="8" s="1"/>
  <c r="DW48" i="8"/>
  <c r="DX47" i="8"/>
  <c r="DY47" i="8"/>
  <c r="DW47" i="8"/>
  <c r="DZ47" i="8" s="1"/>
  <c r="DZ46" i="8"/>
  <c r="DX46" i="8"/>
  <c r="DY46" i="8"/>
  <c r="DW46" i="8"/>
  <c r="DX45" i="8"/>
  <c r="DY45" i="8"/>
  <c r="DW45" i="8"/>
  <c r="DX43" i="8"/>
  <c r="DY43" i="8"/>
  <c r="DZ43" i="8" s="1"/>
  <c r="DW43" i="8"/>
  <c r="DX42" i="8"/>
  <c r="DY42" i="8"/>
  <c r="DW42" i="8"/>
  <c r="DZ42" i="8" s="1"/>
  <c r="DX41" i="8"/>
  <c r="DY41" i="8"/>
  <c r="DZ41" i="8" s="1"/>
  <c r="DW41" i="8"/>
  <c r="DX40" i="8"/>
  <c r="DY40" i="8"/>
  <c r="DW40" i="8"/>
  <c r="DZ40" i="8" s="1"/>
  <c r="DZ39" i="8"/>
  <c r="DX39" i="8"/>
  <c r="DY39" i="8"/>
  <c r="DW39" i="8"/>
  <c r="DZ38" i="8"/>
  <c r="DX38" i="8"/>
  <c r="DY38" i="8"/>
  <c r="DW38" i="8"/>
  <c r="DX36" i="8"/>
  <c r="DY36" i="8"/>
  <c r="DZ36" i="8" s="1"/>
  <c r="DW36" i="8"/>
  <c r="DX35" i="8"/>
  <c r="DY35" i="8"/>
  <c r="DW35" i="8"/>
  <c r="DZ35" i="8" s="1"/>
  <c r="DZ34" i="8"/>
  <c r="DX34" i="8"/>
  <c r="DY34" i="8"/>
  <c r="DW34" i="8"/>
  <c r="DZ32" i="8"/>
  <c r="DX32" i="8"/>
  <c r="DY32" i="8"/>
  <c r="DW32" i="8"/>
  <c r="DX31" i="8"/>
  <c r="DY31" i="8"/>
  <c r="DZ31" i="8" s="1"/>
  <c r="DW31" i="8"/>
  <c r="DX30" i="8"/>
  <c r="DY30" i="8"/>
  <c r="DW30" i="8"/>
  <c r="DZ29" i="8"/>
  <c r="DX29" i="8"/>
  <c r="DY29" i="8"/>
  <c r="DW29" i="8"/>
  <c r="DX27" i="8"/>
  <c r="DY27" i="8"/>
  <c r="DW27" i="8"/>
  <c r="DZ27" i="8" s="1"/>
  <c r="DX26" i="8"/>
  <c r="DY26" i="8"/>
  <c r="DW26" i="8"/>
  <c r="DZ26" i="8" s="1"/>
  <c r="DX25" i="8"/>
  <c r="DY25" i="8"/>
  <c r="DW25" i="8"/>
  <c r="DZ25" i="8" s="1"/>
  <c r="DX23" i="8"/>
  <c r="DY23" i="8"/>
  <c r="DZ23" i="8" s="1"/>
  <c r="DW23" i="8"/>
  <c r="DZ22" i="8"/>
  <c r="DX22" i="8"/>
  <c r="DY22" i="8"/>
  <c r="DW22" i="8"/>
  <c r="DX20" i="8"/>
  <c r="DY20" i="8"/>
  <c r="DW20" i="8"/>
  <c r="DZ20" i="8" s="1"/>
  <c r="DX19" i="8"/>
  <c r="DY19" i="8"/>
  <c r="DW19" i="8"/>
  <c r="DZ19" i="8" s="1"/>
  <c r="DX17" i="8"/>
  <c r="DY17" i="8"/>
  <c r="DZ17" i="8" s="1"/>
  <c r="DW17" i="8"/>
  <c r="DX16" i="8"/>
  <c r="DY16" i="8"/>
  <c r="DW16" i="8"/>
  <c r="DZ16" i="8" s="1"/>
  <c r="DX15" i="8"/>
  <c r="DY15" i="8"/>
  <c r="DZ15" i="8" s="1"/>
  <c r="DW15" i="8"/>
  <c r="DX14" i="8"/>
  <c r="DY14" i="8"/>
  <c r="DW14" i="8"/>
  <c r="DZ14" i="8" s="1"/>
  <c r="DX13" i="8"/>
  <c r="DY13" i="8"/>
  <c r="DZ13" i="8" s="1"/>
  <c r="DW13" i="8"/>
  <c r="DX12" i="8"/>
  <c r="DY12" i="8"/>
  <c r="DW12" i="8"/>
  <c r="DZ12" i="8" s="1"/>
  <c r="DX10" i="8"/>
  <c r="DY10" i="8"/>
  <c r="DW10" i="8"/>
  <c r="DZ10" i="8" s="1"/>
  <c r="DX9" i="8"/>
  <c r="DY9" i="8"/>
  <c r="DW9" i="8"/>
  <c r="DZ9" i="8" s="1"/>
  <c r="DX8" i="8"/>
  <c r="DY8" i="8"/>
  <c r="DZ8" i="8" s="1"/>
  <c r="DW8" i="8"/>
  <c r="DX6" i="8"/>
  <c r="DY6" i="8"/>
  <c r="DW6" i="8"/>
  <c r="DZ6" i="8" s="1"/>
  <c r="DX5" i="8"/>
  <c r="DY5" i="8"/>
  <c r="DW5" i="8"/>
  <c r="DZ5" i="8" s="1"/>
  <c r="DX4" i="8"/>
  <c r="DY4" i="8"/>
  <c r="DW4" i="8"/>
  <c r="DZ4" i="8" s="1"/>
  <c r="DX3" i="8"/>
  <c r="DY3" i="8"/>
  <c r="DW3" i="8"/>
  <c r="DU54" i="8" s="1"/>
  <c r="DH61" i="8"/>
  <c r="DF61" i="8"/>
  <c r="DE61" i="8"/>
  <c r="DN49" i="8"/>
  <c r="DL49" i="8"/>
  <c r="DM49" i="8"/>
  <c r="DK49" i="8"/>
  <c r="DL48" i="8"/>
  <c r="DM48" i="8"/>
  <c r="DN48" i="8" s="1"/>
  <c r="DK48" i="8"/>
  <c r="DL47" i="8"/>
  <c r="DM47" i="8"/>
  <c r="DK47" i="8"/>
  <c r="DN47" i="8" s="1"/>
  <c r="DL46" i="8"/>
  <c r="DM46" i="8"/>
  <c r="DK46" i="8"/>
  <c r="DN46" i="8" s="1"/>
  <c r="DL44" i="8"/>
  <c r="DM44" i="8"/>
  <c r="DK44" i="8"/>
  <c r="DN44" i="8" s="1"/>
  <c r="DL43" i="8"/>
  <c r="DM43" i="8"/>
  <c r="DK43" i="8"/>
  <c r="DN43" i="8" s="1"/>
  <c r="DN42" i="8"/>
  <c r="DL42" i="8"/>
  <c r="DM42" i="8"/>
  <c r="DK42" i="8"/>
  <c r="DL41" i="8"/>
  <c r="DM41" i="8"/>
  <c r="DN41" i="8" s="1"/>
  <c r="DK41" i="8"/>
  <c r="DL40" i="8"/>
  <c r="DM40" i="8"/>
  <c r="DN40" i="8" s="1"/>
  <c r="DK40" i="8"/>
  <c r="DN39" i="8"/>
  <c r="DL39" i="8"/>
  <c r="DM39" i="8"/>
  <c r="DK39" i="8"/>
  <c r="DL38" i="8"/>
  <c r="DM38" i="8"/>
  <c r="DK38" i="8"/>
  <c r="DN38" i="8" s="1"/>
  <c r="DN36" i="8"/>
  <c r="DL36" i="8"/>
  <c r="DM36" i="8"/>
  <c r="DK36" i="8"/>
  <c r="DN35" i="8"/>
  <c r="DL35" i="8"/>
  <c r="DM35" i="8"/>
  <c r="DK35" i="8"/>
  <c r="DL34" i="8"/>
  <c r="DM34" i="8"/>
  <c r="DN34" i="8" s="1"/>
  <c r="DK34" i="8"/>
  <c r="DL32" i="8"/>
  <c r="DM32" i="8"/>
  <c r="DK32" i="8"/>
  <c r="DN32" i="8" s="1"/>
  <c r="DL31" i="8"/>
  <c r="DM31" i="8"/>
  <c r="DK31" i="8"/>
  <c r="DN31" i="8" s="1"/>
  <c r="DL30" i="8"/>
  <c r="DM30" i="8"/>
  <c r="DK30" i="8"/>
  <c r="DN30" i="8" s="1"/>
  <c r="DL29" i="8"/>
  <c r="DM29" i="8"/>
  <c r="DK29" i="8"/>
  <c r="DN29" i="8" s="1"/>
  <c r="DN28" i="8"/>
  <c r="DL28" i="8"/>
  <c r="DM28" i="8"/>
  <c r="DK28" i="8"/>
  <c r="DL26" i="8"/>
  <c r="DM26" i="8"/>
  <c r="DN26" i="8" s="1"/>
  <c r="DN54" i="8" s="1"/>
  <c r="DK26" i="8"/>
  <c r="DL25" i="8"/>
  <c r="DM25" i="8"/>
  <c r="DN25" i="8" s="1"/>
  <c r="DK25" i="8"/>
  <c r="DN24" i="8"/>
  <c r="DL24" i="8"/>
  <c r="DM24" i="8"/>
  <c r="DK24" i="8"/>
  <c r="DL22" i="8"/>
  <c r="DM22" i="8"/>
  <c r="DK22" i="8"/>
  <c r="DN22" i="8" s="1"/>
  <c r="DN21" i="8"/>
  <c r="DL21" i="8"/>
  <c r="DM21" i="8"/>
  <c r="DK21" i="8"/>
  <c r="DN19" i="8"/>
  <c r="DL19" i="8"/>
  <c r="DM19" i="8"/>
  <c r="DK19" i="8"/>
  <c r="DL18" i="8"/>
  <c r="DM18" i="8"/>
  <c r="DN18" i="8" s="1"/>
  <c r="DK18" i="8"/>
  <c r="DL16" i="8"/>
  <c r="DM16" i="8"/>
  <c r="DK16" i="8"/>
  <c r="DN16" i="8" s="1"/>
  <c r="DL15" i="8"/>
  <c r="DM15" i="8"/>
  <c r="DK15" i="8"/>
  <c r="DN15" i="8" s="1"/>
  <c r="DL14" i="8"/>
  <c r="DM14" i="8"/>
  <c r="DK14" i="8"/>
  <c r="DN14" i="8" s="1"/>
  <c r="DL13" i="8"/>
  <c r="DM13" i="8"/>
  <c r="DK13" i="8"/>
  <c r="DN13" i="8" s="1"/>
  <c r="DN12" i="8"/>
  <c r="DL12" i="8"/>
  <c r="DM12" i="8"/>
  <c r="DK12" i="8"/>
  <c r="DL11" i="8"/>
  <c r="DM11" i="8"/>
  <c r="DN11" i="8" s="1"/>
  <c r="DK11" i="8"/>
  <c r="DL9" i="8"/>
  <c r="DM9" i="8"/>
  <c r="DN9" i="8" s="1"/>
  <c r="DK9" i="8"/>
  <c r="DN7" i="8"/>
  <c r="DL7" i="8"/>
  <c r="DM7" i="8"/>
  <c r="DK7" i="8"/>
  <c r="DL6" i="8"/>
  <c r="DM6" i="8"/>
  <c r="DK6" i="8"/>
  <c r="DN6" i="8" s="1"/>
  <c r="DN5" i="8"/>
  <c r="DL5" i="8"/>
  <c r="DM5" i="8"/>
  <c r="DK5" i="8"/>
  <c r="DN4" i="8"/>
  <c r="DL4" i="8"/>
  <c r="DM4" i="8"/>
  <c r="DK4" i="8"/>
  <c r="DL3" i="8"/>
  <c r="DM3" i="8"/>
  <c r="DI55" i="8" s="1"/>
  <c r="I11" i="30" s="1"/>
  <c r="DK3" i="8"/>
  <c r="CV61" i="8"/>
  <c r="CT61" i="8"/>
  <c r="CS61" i="8"/>
  <c r="CZ49" i="8"/>
  <c r="DA49" i="8"/>
  <c r="DB49" i="8" s="1"/>
  <c r="CY49" i="8"/>
  <c r="DB48" i="8"/>
  <c r="CZ48" i="8"/>
  <c r="DA48" i="8"/>
  <c r="CY48" i="8"/>
  <c r="CZ47" i="8"/>
  <c r="DA47" i="8"/>
  <c r="CY47" i="8"/>
  <c r="DB47" i="8" s="1"/>
  <c r="DB46" i="8"/>
  <c r="CZ46" i="8"/>
  <c r="DA46" i="8"/>
  <c r="CY46" i="8"/>
  <c r="DB45" i="8"/>
  <c r="CZ45" i="8"/>
  <c r="DA45" i="8"/>
  <c r="CY45" i="8"/>
  <c r="CZ43" i="8"/>
  <c r="DA43" i="8"/>
  <c r="DB43" i="8" s="1"/>
  <c r="CY43" i="8"/>
  <c r="CZ42" i="8"/>
  <c r="DA42" i="8"/>
  <c r="CY42" i="8"/>
  <c r="DB42" i="8" s="1"/>
  <c r="CZ41" i="8"/>
  <c r="DA41" i="8"/>
  <c r="CY41" i="8"/>
  <c r="DB41" i="8" s="1"/>
  <c r="CZ40" i="8"/>
  <c r="DA40" i="8"/>
  <c r="CY40" i="8"/>
  <c r="DB40" i="8" s="1"/>
  <c r="CZ39" i="8"/>
  <c r="DA39" i="8"/>
  <c r="CY39" i="8"/>
  <c r="DB39" i="8" s="1"/>
  <c r="DB38" i="8"/>
  <c r="CZ38" i="8"/>
  <c r="DA38" i="8"/>
  <c r="CY38" i="8"/>
  <c r="CZ36" i="8"/>
  <c r="DA36" i="8"/>
  <c r="DB36" i="8" s="1"/>
  <c r="CY36" i="8"/>
  <c r="CZ35" i="8"/>
  <c r="DA35" i="8"/>
  <c r="DB35" i="8" s="1"/>
  <c r="CY35" i="8"/>
  <c r="DB33" i="8"/>
  <c r="CZ33" i="8"/>
  <c r="DA33" i="8"/>
  <c r="CY33" i="8"/>
  <c r="CZ32" i="8"/>
  <c r="DA32" i="8"/>
  <c r="CY32" i="8"/>
  <c r="DB32" i="8" s="1"/>
  <c r="DB31" i="8"/>
  <c r="CZ31" i="8"/>
  <c r="DA31" i="8"/>
  <c r="CY31" i="8"/>
  <c r="DB30" i="8"/>
  <c r="CZ30" i="8"/>
  <c r="DA30" i="8"/>
  <c r="CY30" i="8"/>
  <c r="CZ28" i="8"/>
  <c r="DA28" i="8"/>
  <c r="DB28" i="8" s="1"/>
  <c r="CY28" i="8"/>
  <c r="CZ27" i="8"/>
  <c r="DA27" i="8"/>
  <c r="CY27" i="8"/>
  <c r="DB27" i="8" s="1"/>
  <c r="CZ26" i="8"/>
  <c r="DA26" i="8"/>
  <c r="CY26" i="8"/>
  <c r="DB26" i="8" s="1"/>
  <c r="CZ25" i="8"/>
  <c r="DA25" i="8"/>
  <c r="CY25" i="8"/>
  <c r="DB25" i="8" s="1"/>
  <c r="CZ23" i="8"/>
  <c r="DA23" i="8"/>
  <c r="CY23" i="8"/>
  <c r="DB23" i="8" s="1"/>
  <c r="DB22" i="8"/>
  <c r="CZ22" i="8"/>
  <c r="DA22" i="8"/>
  <c r="CY22" i="8"/>
  <c r="CZ20" i="8"/>
  <c r="DA20" i="8"/>
  <c r="DB20" i="8" s="1"/>
  <c r="CY20" i="8"/>
  <c r="CZ19" i="8"/>
  <c r="DA19" i="8"/>
  <c r="DB19" i="8" s="1"/>
  <c r="CY19" i="8"/>
  <c r="DB17" i="8"/>
  <c r="CZ17" i="8"/>
  <c r="DA17" i="8"/>
  <c r="CY17" i="8"/>
  <c r="CZ16" i="8"/>
  <c r="DA16" i="8"/>
  <c r="CY16" i="8"/>
  <c r="DB16" i="8" s="1"/>
  <c r="DB15" i="8"/>
  <c r="CZ15" i="8"/>
  <c r="DA15" i="8"/>
  <c r="CY15" i="8"/>
  <c r="DB14" i="8"/>
  <c r="CZ14" i="8"/>
  <c r="DA14" i="8"/>
  <c r="CY14" i="8"/>
  <c r="CZ13" i="8"/>
  <c r="DA13" i="8"/>
  <c r="DB13" i="8" s="1"/>
  <c r="CY13" i="8"/>
  <c r="CZ12" i="8"/>
  <c r="DA12" i="8"/>
  <c r="CY12" i="8"/>
  <c r="DB12" i="8" s="1"/>
  <c r="CZ10" i="8"/>
  <c r="DA10" i="8"/>
  <c r="CY10" i="8"/>
  <c r="DB10" i="8" s="1"/>
  <c r="CZ9" i="8"/>
  <c r="DA9" i="8"/>
  <c r="CY9" i="8"/>
  <c r="DB9" i="8" s="1"/>
  <c r="CZ7" i="8"/>
  <c r="DA7" i="8"/>
  <c r="CY7" i="8"/>
  <c r="DB7" i="8" s="1"/>
  <c r="DB6" i="8"/>
  <c r="CZ6" i="8"/>
  <c r="DA6" i="8"/>
  <c r="CY6" i="8"/>
  <c r="CZ5" i="8"/>
  <c r="DA5" i="8"/>
  <c r="DB5" i="8" s="1"/>
  <c r="CY5" i="8"/>
  <c r="CZ4" i="8"/>
  <c r="DA4" i="8"/>
  <c r="DB4" i="8" s="1"/>
  <c r="CY4" i="8"/>
  <c r="DB3" i="8"/>
  <c r="CZ3" i="8"/>
  <c r="DA3" i="8"/>
  <c r="CY3" i="8"/>
  <c r="CJ61" i="8"/>
  <c r="CH61" i="8"/>
  <c r="CG61" i="8"/>
  <c r="CN49" i="8"/>
  <c r="CO49" i="8"/>
  <c r="CM49" i="8"/>
  <c r="CP49" i="8" s="1"/>
  <c r="CN48" i="8"/>
  <c r="CO48" i="8"/>
  <c r="CM48" i="8"/>
  <c r="CP48" i="8" s="1"/>
  <c r="CP47" i="8"/>
  <c r="CN47" i="8"/>
  <c r="CO47" i="8"/>
  <c r="CM47" i="8"/>
  <c r="CN46" i="8"/>
  <c r="CO46" i="8"/>
  <c r="CP46" i="8" s="1"/>
  <c r="CM46" i="8"/>
  <c r="CN45" i="8"/>
  <c r="CO45" i="8"/>
  <c r="CP45" i="8" s="1"/>
  <c r="CM45" i="8"/>
  <c r="CP43" i="8"/>
  <c r="CN43" i="8"/>
  <c r="CO43" i="8"/>
  <c r="CM43" i="8"/>
  <c r="CN42" i="8"/>
  <c r="CO42" i="8"/>
  <c r="CM42" i="8"/>
  <c r="CP42" i="8" s="1"/>
  <c r="CP41" i="8"/>
  <c r="CN41" i="8"/>
  <c r="CO41" i="8"/>
  <c r="CM41" i="8"/>
  <c r="CP40" i="8"/>
  <c r="CN40" i="8"/>
  <c r="CO40" i="8"/>
  <c r="CM40" i="8"/>
  <c r="CN39" i="8"/>
  <c r="CO39" i="8"/>
  <c r="CP39" i="8" s="1"/>
  <c r="CM39" i="8"/>
  <c r="CN37" i="8"/>
  <c r="CO37" i="8"/>
  <c r="CM37" i="8"/>
  <c r="CP37" i="8" s="1"/>
  <c r="CN36" i="8"/>
  <c r="CO36" i="8"/>
  <c r="CM36" i="8"/>
  <c r="CP36" i="8" s="1"/>
  <c r="CN35" i="8"/>
  <c r="CO35" i="8"/>
  <c r="CM35" i="8"/>
  <c r="CP35" i="8" s="1"/>
  <c r="CN34" i="8"/>
  <c r="CO34" i="8"/>
  <c r="CM34" i="8"/>
  <c r="CP34" i="8" s="1"/>
  <c r="CP32" i="8"/>
  <c r="CN32" i="8"/>
  <c r="CO32" i="8"/>
  <c r="CM32" i="8"/>
  <c r="CN31" i="8"/>
  <c r="CO31" i="8"/>
  <c r="CP31" i="8" s="1"/>
  <c r="CM31" i="8"/>
  <c r="CP30" i="8"/>
  <c r="CN30" i="8"/>
  <c r="CO30" i="8"/>
  <c r="CM30" i="8"/>
  <c r="CP29" i="8"/>
  <c r="CN29" i="8"/>
  <c r="CO29" i="8"/>
  <c r="CM29" i="8"/>
  <c r="CN27" i="8"/>
  <c r="CO27" i="8"/>
  <c r="CM27" i="8"/>
  <c r="CP26" i="8"/>
  <c r="CN26" i="8"/>
  <c r="CO26" i="8"/>
  <c r="CM26" i="8"/>
  <c r="CP25" i="8"/>
  <c r="CN25" i="8"/>
  <c r="CO25" i="8"/>
  <c r="CM25" i="8"/>
  <c r="CN23" i="8"/>
  <c r="CO23" i="8"/>
  <c r="CP23" i="8" s="1"/>
  <c r="CM23" i="8"/>
  <c r="CN22" i="8"/>
  <c r="CO22" i="8"/>
  <c r="CM22" i="8"/>
  <c r="CP22" i="8" s="1"/>
  <c r="CN20" i="8"/>
  <c r="CO20" i="8"/>
  <c r="CM20" i="8"/>
  <c r="CP20" i="8" s="1"/>
  <c r="CN19" i="8"/>
  <c r="CO19" i="8"/>
  <c r="CM19" i="8"/>
  <c r="CP19" i="8" s="1"/>
  <c r="CN17" i="8"/>
  <c r="CO17" i="8"/>
  <c r="CM17" i="8"/>
  <c r="CP17" i="8" s="1"/>
  <c r="CP16" i="8"/>
  <c r="CN16" i="8"/>
  <c r="CO16" i="8"/>
  <c r="CM16" i="8"/>
  <c r="CN15" i="8"/>
  <c r="CO15" i="8"/>
  <c r="CP15" i="8" s="1"/>
  <c r="CM15" i="8"/>
  <c r="CP14" i="8"/>
  <c r="CN14" i="8"/>
  <c r="CO14" i="8"/>
  <c r="CM14" i="8"/>
  <c r="CP13" i="8"/>
  <c r="CN13" i="8"/>
  <c r="CO13" i="8"/>
  <c r="CM13" i="8"/>
  <c r="CN12" i="8"/>
  <c r="CO12" i="8"/>
  <c r="CM12" i="8"/>
  <c r="CP12" i="8" s="1"/>
  <c r="CP10" i="8"/>
  <c r="CN10" i="8"/>
  <c r="CO10" i="8"/>
  <c r="CM10" i="8"/>
  <c r="CP9" i="8"/>
  <c r="CN9" i="8"/>
  <c r="CO9" i="8"/>
  <c r="CM9" i="8"/>
  <c r="CN7" i="8"/>
  <c r="CO7" i="8"/>
  <c r="CP7" i="8" s="1"/>
  <c r="CM7" i="8"/>
  <c r="CN6" i="8"/>
  <c r="CO6" i="8"/>
  <c r="CM6" i="8"/>
  <c r="CP6" i="8" s="1"/>
  <c r="CN5" i="8"/>
  <c r="CO5" i="8"/>
  <c r="CM5" i="8"/>
  <c r="CP5" i="8" s="1"/>
  <c r="CN4" i="8"/>
  <c r="CO4" i="8"/>
  <c r="CM4" i="8"/>
  <c r="CP4" i="8" s="1"/>
  <c r="CN3" i="8"/>
  <c r="CO3" i="8"/>
  <c r="CM3" i="8"/>
  <c r="BX61" i="8"/>
  <c r="BV61" i="8"/>
  <c r="BU61" i="8"/>
  <c r="CD49" i="8"/>
  <c r="CB49" i="8"/>
  <c r="CC49" i="8"/>
  <c r="CA49" i="8"/>
  <c r="CB48" i="8"/>
  <c r="CC48" i="8"/>
  <c r="CD48" i="8" s="1"/>
  <c r="CA48" i="8"/>
  <c r="CB47" i="8"/>
  <c r="CC47" i="8"/>
  <c r="CA47" i="8"/>
  <c r="CD47" i="8" s="1"/>
  <c r="CB46" i="8"/>
  <c r="CC46" i="8"/>
  <c r="CA46" i="8"/>
  <c r="CD46" i="8" s="1"/>
  <c r="CB44" i="8"/>
  <c r="CC44" i="8"/>
  <c r="CA44" i="8"/>
  <c r="CD44" i="8" s="1"/>
  <c r="CB43" i="8"/>
  <c r="CC43" i="8"/>
  <c r="CA43" i="8"/>
  <c r="CD43" i="8" s="1"/>
  <c r="CD42" i="8"/>
  <c r="CB42" i="8"/>
  <c r="CC42" i="8"/>
  <c r="CA42" i="8"/>
  <c r="CB41" i="8"/>
  <c r="CC41" i="8"/>
  <c r="CD41" i="8" s="1"/>
  <c r="CA41" i="8"/>
  <c r="CB40" i="8"/>
  <c r="CC40" i="8"/>
  <c r="CD40" i="8" s="1"/>
  <c r="CA40" i="8"/>
  <c r="CD39" i="8"/>
  <c r="CB39" i="8"/>
  <c r="CC39" i="8"/>
  <c r="CA39" i="8"/>
  <c r="CB37" i="8"/>
  <c r="CC37" i="8"/>
  <c r="CA37" i="8"/>
  <c r="CD37" i="8" s="1"/>
  <c r="CD36" i="8"/>
  <c r="CB36" i="8"/>
  <c r="CC36" i="8"/>
  <c r="CA36" i="8"/>
  <c r="CD35" i="8"/>
  <c r="CB35" i="8"/>
  <c r="CC35" i="8"/>
  <c r="CA35" i="8"/>
  <c r="CB34" i="8"/>
  <c r="CC34" i="8"/>
  <c r="CD34" i="8" s="1"/>
  <c r="CA34" i="8"/>
  <c r="CB32" i="8"/>
  <c r="CC32" i="8"/>
  <c r="CA32" i="8"/>
  <c r="CD32" i="8" s="1"/>
  <c r="CB31" i="8"/>
  <c r="CC31" i="8"/>
  <c r="CA31" i="8"/>
  <c r="CD31" i="8" s="1"/>
  <c r="CB30" i="8"/>
  <c r="CC30" i="8"/>
  <c r="CA30" i="8"/>
  <c r="CD30" i="8" s="1"/>
  <c r="CB29" i="8"/>
  <c r="CC29" i="8"/>
  <c r="CA29" i="8"/>
  <c r="CD29" i="8" s="1"/>
  <c r="CD27" i="8"/>
  <c r="CB27" i="8"/>
  <c r="CC27" i="8"/>
  <c r="CA27" i="8"/>
  <c r="CB26" i="8"/>
  <c r="CC26" i="8"/>
  <c r="CD26" i="8" s="1"/>
  <c r="CD54" i="8" s="1"/>
  <c r="CA26" i="8"/>
  <c r="CB25" i="8"/>
  <c r="CC25" i="8"/>
  <c r="CA25" i="8"/>
  <c r="CD25" i="8" s="1"/>
  <c r="CD24" i="8"/>
  <c r="CB24" i="8"/>
  <c r="CC24" i="8"/>
  <c r="CA24" i="8"/>
  <c r="CB22" i="8"/>
  <c r="CC22" i="8"/>
  <c r="CA22" i="8"/>
  <c r="CD22" i="8" s="1"/>
  <c r="CD21" i="8"/>
  <c r="CB21" i="8"/>
  <c r="CC21" i="8"/>
  <c r="CA21" i="8"/>
  <c r="CD19" i="8"/>
  <c r="CB19" i="8"/>
  <c r="CC19" i="8"/>
  <c r="CA19" i="8"/>
  <c r="CB18" i="8"/>
  <c r="CC18" i="8"/>
  <c r="CD18" i="8" s="1"/>
  <c r="CA18" i="8"/>
  <c r="CB16" i="8"/>
  <c r="CC16" i="8"/>
  <c r="CA16" i="8"/>
  <c r="CD16" i="8" s="1"/>
  <c r="CB15" i="8"/>
  <c r="CC15" i="8"/>
  <c r="CA15" i="8"/>
  <c r="CD15" i="8" s="1"/>
  <c r="CB14" i="8"/>
  <c r="CC14" i="8"/>
  <c r="CA14" i="8"/>
  <c r="CD14" i="8" s="1"/>
  <c r="CB13" i="8"/>
  <c r="CC13" i="8"/>
  <c r="CA13" i="8"/>
  <c r="CD13" i="8" s="1"/>
  <c r="CB12" i="8"/>
  <c r="CC12" i="8"/>
  <c r="CA12" i="8"/>
  <c r="CD12" i="8" s="1"/>
  <c r="CB11" i="8"/>
  <c r="CC11" i="8"/>
  <c r="CD11" i="8" s="1"/>
  <c r="CA11" i="8"/>
  <c r="CD9" i="8"/>
  <c r="CB9" i="8"/>
  <c r="CC9" i="8"/>
  <c r="CA9" i="8"/>
  <c r="CD7" i="8"/>
  <c r="CB7" i="8"/>
  <c r="CC7" i="8"/>
  <c r="CA7" i="8"/>
  <c r="CB6" i="8"/>
  <c r="CC6" i="8"/>
  <c r="CA6" i="8"/>
  <c r="CD6" i="8" s="1"/>
  <c r="CD5" i="8"/>
  <c r="CB5" i="8"/>
  <c r="CC5" i="8"/>
  <c r="CA5" i="8"/>
  <c r="CD4" i="8"/>
  <c r="CB4" i="8"/>
  <c r="CC4" i="8"/>
  <c r="CA4" i="8"/>
  <c r="CB3" i="8"/>
  <c r="CC3" i="8"/>
  <c r="CA3" i="8"/>
  <c r="BL61" i="8"/>
  <c r="BJ61" i="8"/>
  <c r="BI61" i="8"/>
  <c r="BP49" i="8"/>
  <c r="BQ49" i="8"/>
  <c r="BO49" i="8"/>
  <c r="BR49" i="8" s="1"/>
  <c r="BR48" i="8"/>
  <c r="BP48" i="8"/>
  <c r="BQ48" i="8"/>
  <c r="BO48" i="8"/>
  <c r="BP47" i="8"/>
  <c r="BQ47" i="8"/>
  <c r="BO47" i="8"/>
  <c r="BR47" i="8" s="1"/>
  <c r="BR46" i="8"/>
  <c r="BP46" i="8"/>
  <c r="BQ46" i="8"/>
  <c r="BO46" i="8"/>
  <c r="BR45" i="8"/>
  <c r="BP45" i="8"/>
  <c r="BQ45" i="8"/>
  <c r="BO45" i="8"/>
  <c r="BR44" i="8"/>
  <c r="BP44" i="8"/>
  <c r="BQ44" i="8"/>
  <c r="BO44" i="8"/>
  <c r="BP42" i="8"/>
  <c r="BQ42" i="8"/>
  <c r="BO42" i="8"/>
  <c r="BR42" i="8" s="1"/>
  <c r="BP41" i="8"/>
  <c r="BQ41" i="8"/>
  <c r="BO41" i="8"/>
  <c r="BP40" i="8"/>
  <c r="BQ40" i="8"/>
  <c r="BO40" i="8"/>
  <c r="BR40" i="8" s="1"/>
  <c r="BR39" i="8"/>
  <c r="BP39" i="8"/>
  <c r="BQ39" i="8"/>
  <c r="BO39" i="8"/>
  <c r="BR38" i="8"/>
  <c r="BP38" i="8"/>
  <c r="BQ38" i="8"/>
  <c r="BO38" i="8"/>
  <c r="BP36" i="8"/>
  <c r="BQ36" i="8"/>
  <c r="BR36" i="8" s="1"/>
  <c r="BO36" i="8"/>
  <c r="BR35" i="8"/>
  <c r="BP35" i="8"/>
  <c r="BQ35" i="8"/>
  <c r="BO35" i="8"/>
  <c r="BR34" i="8"/>
  <c r="BP34" i="8"/>
  <c r="BQ34" i="8"/>
  <c r="BO34" i="8"/>
  <c r="BP32" i="8"/>
  <c r="BQ32" i="8"/>
  <c r="BO32" i="8"/>
  <c r="BR31" i="8"/>
  <c r="BP31" i="8"/>
  <c r="BQ31" i="8"/>
  <c r="BO31" i="8"/>
  <c r="BR30" i="8"/>
  <c r="BP30" i="8"/>
  <c r="BQ30" i="8"/>
  <c r="BO30" i="8"/>
  <c r="BR29" i="8"/>
  <c r="BP29" i="8"/>
  <c r="BQ29" i="8"/>
  <c r="BO29" i="8"/>
  <c r="BP27" i="8"/>
  <c r="BQ27" i="8"/>
  <c r="BO27" i="8"/>
  <c r="BR27" i="8" s="1"/>
  <c r="BP26" i="8"/>
  <c r="BQ26" i="8"/>
  <c r="BO26" i="8"/>
  <c r="BP25" i="8"/>
  <c r="BQ25" i="8"/>
  <c r="BO25" i="8"/>
  <c r="BR25" i="8" s="1"/>
  <c r="BP24" i="8"/>
  <c r="BQ24" i="8"/>
  <c r="BO24" i="8"/>
  <c r="BR24" i="8" s="1"/>
  <c r="BR23" i="8"/>
  <c r="BP23" i="8"/>
  <c r="BQ23" i="8"/>
  <c r="BO23" i="8"/>
  <c r="BP21" i="8"/>
  <c r="BQ21" i="8"/>
  <c r="BR21" i="8" s="1"/>
  <c r="BO21" i="8"/>
  <c r="BP19" i="8"/>
  <c r="BQ19" i="8"/>
  <c r="BO19" i="8"/>
  <c r="BR19" i="8" s="1"/>
  <c r="BR18" i="8"/>
  <c r="BP18" i="8"/>
  <c r="BQ18" i="8"/>
  <c r="BO18" i="8"/>
  <c r="BP16" i="8"/>
  <c r="BQ16" i="8"/>
  <c r="BO16" i="8"/>
  <c r="BP15" i="8"/>
  <c r="BQ15" i="8"/>
  <c r="BR15" i="8" s="1"/>
  <c r="BO15" i="8"/>
  <c r="BR14" i="8"/>
  <c r="BP14" i="8"/>
  <c r="BQ14" i="8"/>
  <c r="BO14" i="8"/>
  <c r="BP13" i="8"/>
  <c r="BQ13" i="8"/>
  <c r="BR13" i="8" s="1"/>
  <c r="BO13" i="8"/>
  <c r="BP12" i="8"/>
  <c r="BQ12" i="8"/>
  <c r="BO12" i="8"/>
  <c r="BR12" i="8" s="1"/>
  <c r="BP11" i="8"/>
  <c r="BQ11" i="8"/>
  <c r="BO11" i="8"/>
  <c r="BR11" i="8" s="1"/>
  <c r="BP9" i="8"/>
  <c r="BQ9" i="8"/>
  <c r="BO9" i="8"/>
  <c r="BR9" i="8" s="1"/>
  <c r="BP7" i="8"/>
  <c r="BQ7" i="8"/>
  <c r="BO7" i="8"/>
  <c r="BR7" i="8" s="1"/>
  <c r="BP6" i="8"/>
  <c r="BQ6" i="8"/>
  <c r="BO6" i="8"/>
  <c r="BR6" i="8" s="1"/>
  <c r="BP5" i="8"/>
  <c r="BQ5" i="8"/>
  <c r="BR5" i="8" s="1"/>
  <c r="BO5" i="8"/>
  <c r="BP4" i="8"/>
  <c r="BQ4" i="8"/>
  <c r="BM55" i="8" s="1"/>
  <c r="I7" i="30" s="1"/>
  <c r="BO4" i="8"/>
  <c r="BM54" i="8" s="1"/>
  <c r="BR3" i="8"/>
  <c r="BP3" i="8"/>
  <c r="BQ3" i="8"/>
  <c r="BO3" i="8"/>
  <c r="AZ61" i="8"/>
  <c r="AX61" i="8"/>
  <c r="AW61" i="8"/>
  <c r="BD49" i="8"/>
  <c r="BE49" i="8"/>
  <c r="BC49" i="8"/>
  <c r="BF49" i="8" s="1"/>
  <c r="BD48" i="8"/>
  <c r="BE48" i="8"/>
  <c r="BC48" i="8"/>
  <c r="BF48" i="8" s="1"/>
  <c r="BD47" i="8"/>
  <c r="BE47" i="8"/>
  <c r="BC47" i="8"/>
  <c r="BF47" i="8" s="1"/>
  <c r="BD46" i="8"/>
  <c r="BE46" i="8"/>
  <c r="BC46" i="8"/>
  <c r="BF46" i="8" s="1"/>
  <c r="BD45" i="8"/>
  <c r="BE45" i="8"/>
  <c r="BC45" i="8"/>
  <c r="BF45" i="8" s="1"/>
  <c r="BF44" i="8"/>
  <c r="BD44" i="8"/>
  <c r="BE44" i="8"/>
  <c r="BC44" i="8"/>
  <c r="BD43" i="8"/>
  <c r="BE43" i="8"/>
  <c r="BC43" i="8"/>
  <c r="BF43" i="8" s="1"/>
  <c r="BD41" i="8"/>
  <c r="BE41" i="8"/>
  <c r="BF41" i="8" s="1"/>
  <c r="BC41" i="8"/>
  <c r="BF40" i="8"/>
  <c r="BD40" i="8"/>
  <c r="BE40" i="8"/>
  <c r="BC40" i="8"/>
  <c r="BF39" i="8"/>
  <c r="BD39" i="8"/>
  <c r="BE39" i="8"/>
  <c r="BC39" i="8"/>
  <c r="BD38" i="8"/>
  <c r="BE38" i="8"/>
  <c r="BC38" i="8"/>
  <c r="BD37" i="8"/>
  <c r="BE37" i="8"/>
  <c r="BC37" i="8"/>
  <c r="BF37" i="8" s="1"/>
  <c r="BD36" i="8"/>
  <c r="BE36" i="8"/>
  <c r="BC36" i="8"/>
  <c r="BF36" i="8" s="1"/>
  <c r="BF34" i="8"/>
  <c r="BD34" i="8"/>
  <c r="BE34" i="8"/>
  <c r="BC34" i="8"/>
  <c r="BF33" i="8"/>
  <c r="BD33" i="8"/>
  <c r="BE33" i="8"/>
  <c r="BC33" i="8"/>
  <c r="BD32" i="8"/>
  <c r="BE32" i="8"/>
  <c r="BC32" i="8"/>
  <c r="BF32" i="8" s="1"/>
  <c r="BD30" i="8"/>
  <c r="BE30" i="8"/>
  <c r="BF30" i="8" s="1"/>
  <c r="BC30" i="8"/>
  <c r="BD29" i="8"/>
  <c r="BE29" i="8"/>
  <c r="BC29" i="8"/>
  <c r="BF29" i="8" s="1"/>
  <c r="BD28" i="8"/>
  <c r="BE28" i="8"/>
  <c r="BC28" i="8"/>
  <c r="BF28" i="8" s="1"/>
  <c r="BF26" i="8"/>
  <c r="BD26" i="8"/>
  <c r="BE26" i="8"/>
  <c r="BC26" i="8"/>
  <c r="BF25" i="8"/>
  <c r="BD25" i="8"/>
  <c r="BE25" i="8"/>
  <c r="BC25" i="8"/>
  <c r="BD24" i="8"/>
  <c r="BE24" i="8"/>
  <c r="BF24" i="8" s="1"/>
  <c r="BC24" i="8"/>
  <c r="BD22" i="8"/>
  <c r="BE22" i="8"/>
  <c r="BC22" i="8"/>
  <c r="BF22" i="8" s="1"/>
  <c r="BD21" i="8"/>
  <c r="BE21" i="8"/>
  <c r="BC21" i="8"/>
  <c r="BF21" i="8" s="1"/>
  <c r="BD19" i="8"/>
  <c r="BE19" i="8"/>
  <c r="BC19" i="8"/>
  <c r="BF19" i="8" s="1"/>
  <c r="BF18" i="8"/>
  <c r="BD18" i="8"/>
  <c r="BE18" i="8"/>
  <c r="BC18" i="8"/>
  <c r="BF16" i="8"/>
  <c r="BD16" i="8"/>
  <c r="BE16" i="8"/>
  <c r="BC16" i="8"/>
  <c r="BD15" i="8"/>
  <c r="BE15" i="8"/>
  <c r="BC15" i="8"/>
  <c r="BF15" i="8" s="1"/>
  <c r="BF14" i="8"/>
  <c r="BD14" i="8"/>
  <c r="BE14" i="8"/>
  <c r="BC14" i="8"/>
  <c r="BD13" i="8"/>
  <c r="BE13" i="8"/>
  <c r="BC13" i="8"/>
  <c r="BF13" i="8" s="1"/>
  <c r="BD12" i="8"/>
  <c r="BE12" i="8"/>
  <c r="BC12" i="8"/>
  <c r="BF12" i="8" s="1"/>
  <c r="BD11" i="8"/>
  <c r="BE11" i="8"/>
  <c r="BF11" i="8" s="1"/>
  <c r="BC11" i="8"/>
  <c r="BF9" i="8"/>
  <c r="BD9" i="8"/>
  <c r="BE9" i="8"/>
  <c r="BC9" i="8"/>
  <c r="BD7" i="8"/>
  <c r="BE7" i="8"/>
  <c r="BF7" i="8" s="1"/>
  <c r="BC7" i="8"/>
  <c r="BD6" i="8"/>
  <c r="BE6" i="8"/>
  <c r="BC6" i="8"/>
  <c r="BD5" i="8"/>
  <c r="BE5" i="8"/>
  <c r="BC5" i="8"/>
  <c r="BD4" i="8"/>
  <c r="BE4" i="8"/>
  <c r="BC4" i="8"/>
  <c r="BF4" i="8" s="1"/>
  <c r="BD3" i="8"/>
  <c r="BE3" i="8"/>
  <c r="BC3" i="8"/>
  <c r="AN61" i="8"/>
  <c r="AL61" i="8"/>
  <c r="AK61" i="8"/>
  <c r="AT49" i="8"/>
  <c r="AR49" i="8"/>
  <c r="AS49" i="8"/>
  <c r="AQ49" i="8"/>
  <c r="AR48" i="8"/>
  <c r="AS48" i="8"/>
  <c r="AT48" i="8" s="1"/>
  <c r="AQ48" i="8"/>
  <c r="AR47" i="8"/>
  <c r="AS47" i="8"/>
  <c r="AQ47" i="8"/>
  <c r="AT47" i="8" s="1"/>
  <c r="AR46" i="8"/>
  <c r="AS46" i="8"/>
  <c r="AQ46" i="8"/>
  <c r="AT46" i="8" s="1"/>
  <c r="AR44" i="8"/>
  <c r="AS44" i="8"/>
  <c r="AQ44" i="8"/>
  <c r="AT44" i="8" s="1"/>
  <c r="AT43" i="8"/>
  <c r="AR43" i="8"/>
  <c r="AS43" i="8"/>
  <c r="AQ43" i="8"/>
  <c r="AT42" i="8"/>
  <c r="AR42" i="8"/>
  <c r="AS42" i="8"/>
  <c r="AQ42" i="8"/>
  <c r="AR41" i="8"/>
  <c r="AS41" i="8"/>
  <c r="AT41" i="8" s="1"/>
  <c r="AQ41" i="8"/>
  <c r="AR40" i="8"/>
  <c r="AS40" i="8"/>
  <c r="AQ40" i="8"/>
  <c r="AT40" i="8" s="1"/>
  <c r="AT39" i="8"/>
  <c r="AR39" i="8"/>
  <c r="AS39" i="8"/>
  <c r="AQ39" i="8"/>
  <c r="AR38" i="8"/>
  <c r="AS38" i="8"/>
  <c r="AT38" i="8" s="1"/>
  <c r="AQ38" i="8"/>
  <c r="AR36" i="8"/>
  <c r="AS36" i="8"/>
  <c r="AT36" i="8" s="1"/>
  <c r="AQ36" i="8"/>
  <c r="AR35" i="8"/>
  <c r="AS35" i="8"/>
  <c r="AQ35" i="8"/>
  <c r="AT35" i="8" s="1"/>
  <c r="AR34" i="8"/>
  <c r="AS34" i="8"/>
  <c r="AT34" i="8" s="1"/>
  <c r="AQ34" i="8"/>
  <c r="AR33" i="8"/>
  <c r="AS33" i="8"/>
  <c r="AQ33" i="8"/>
  <c r="AT33" i="8" s="1"/>
  <c r="AT31" i="8"/>
  <c r="AR31" i="8"/>
  <c r="AS31" i="8"/>
  <c r="AQ31" i="8"/>
  <c r="AR30" i="8"/>
  <c r="AS30" i="8"/>
  <c r="AQ30" i="8"/>
  <c r="AR29" i="8"/>
  <c r="AS29" i="8"/>
  <c r="AQ29" i="8"/>
  <c r="AT29" i="8" s="1"/>
  <c r="AR27" i="8"/>
  <c r="AS27" i="8"/>
  <c r="AQ27" i="8"/>
  <c r="AT27" i="8" s="1"/>
  <c r="AR26" i="8"/>
  <c r="AS26" i="8"/>
  <c r="AQ26" i="8"/>
  <c r="AT26" i="8" s="1"/>
  <c r="AT54" i="8" s="1"/>
  <c r="AT25" i="8"/>
  <c r="AR25" i="8"/>
  <c r="AS25" i="8"/>
  <c r="AQ25" i="8"/>
  <c r="AT23" i="8"/>
  <c r="AR23" i="8"/>
  <c r="AS23" i="8"/>
  <c r="AQ23" i="8"/>
  <c r="AR22" i="8"/>
  <c r="AS22" i="8"/>
  <c r="AQ22" i="8"/>
  <c r="AT22" i="8" s="1"/>
  <c r="AR20" i="8"/>
  <c r="AS20" i="8"/>
  <c r="AQ20" i="8"/>
  <c r="AT20" i="8" s="1"/>
  <c r="AR19" i="8"/>
  <c r="AS19" i="8"/>
  <c r="AQ19" i="8"/>
  <c r="AT19" i="8" s="1"/>
  <c r="AR17" i="8"/>
  <c r="AS17" i="8"/>
  <c r="AQ17" i="8"/>
  <c r="AT17" i="8" s="1"/>
  <c r="AT16" i="8"/>
  <c r="AR16" i="8"/>
  <c r="AS16" i="8"/>
  <c r="AQ16" i="8"/>
  <c r="AR15" i="8"/>
  <c r="AS15" i="8"/>
  <c r="AT15" i="8" s="1"/>
  <c r="AQ15" i="8"/>
  <c r="AR14" i="8"/>
  <c r="AS14" i="8"/>
  <c r="AT14" i="8" s="1"/>
  <c r="AQ14" i="8"/>
  <c r="AR13" i="8"/>
  <c r="AS13" i="8"/>
  <c r="AQ13" i="8"/>
  <c r="AT13" i="8" s="1"/>
  <c r="AR12" i="8"/>
  <c r="AS12" i="8"/>
  <c r="AQ12" i="8"/>
  <c r="AT12" i="8" s="1"/>
  <c r="AR10" i="8"/>
  <c r="AS10" i="8"/>
  <c r="AQ10" i="8"/>
  <c r="AT10" i="8" s="1"/>
  <c r="AT9" i="8"/>
  <c r="AR9" i="8"/>
  <c r="AS9" i="8"/>
  <c r="AQ9" i="8"/>
  <c r="AT7" i="8"/>
  <c r="AR7" i="8"/>
  <c r="AS7" i="8"/>
  <c r="AQ7" i="8"/>
  <c r="AR6" i="8"/>
  <c r="AS6" i="8"/>
  <c r="AQ6" i="8"/>
  <c r="AT6" i="8" s="1"/>
  <c r="AR5" i="8"/>
  <c r="AS5" i="8"/>
  <c r="AQ5" i="8"/>
  <c r="AT5" i="8" s="1"/>
  <c r="AR4" i="8"/>
  <c r="AS4" i="8"/>
  <c r="AQ4" i="8"/>
  <c r="AT4" i="8" s="1"/>
  <c r="AR3" i="8"/>
  <c r="AS3" i="8"/>
  <c r="AQ3" i="8"/>
  <c r="AB61" i="8"/>
  <c r="Z61" i="8"/>
  <c r="Y61" i="8"/>
  <c r="AH49" i="8"/>
  <c r="AF49" i="8"/>
  <c r="AG49" i="8"/>
  <c r="AE49" i="8"/>
  <c r="AH48" i="8"/>
  <c r="AF48" i="8"/>
  <c r="AG48" i="8"/>
  <c r="AE48" i="8"/>
  <c r="AF47" i="8"/>
  <c r="AG47" i="8"/>
  <c r="AE47" i="8"/>
  <c r="AH47" i="8" s="1"/>
  <c r="AF46" i="8"/>
  <c r="AG46" i="8"/>
  <c r="AE46" i="8"/>
  <c r="AH46" i="8" s="1"/>
  <c r="AF44" i="8"/>
  <c r="AG44" i="8"/>
  <c r="AE44" i="8"/>
  <c r="AH44" i="8" s="1"/>
  <c r="AF43" i="8"/>
  <c r="AG43" i="8"/>
  <c r="AE43" i="8"/>
  <c r="AH43" i="8" s="1"/>
  <c r="AH42" i="8"/>
  <c r="AF42" i="8"/>
  <c r="AG42" i="8"/>
  <c r="AE42" i="8"/>
  <c r="AF41" i="8"/>
  <c r="AG41" i="8"/>
  <c r="AH41" i="8" s="1"/>
  <c r="AE41" i="8"/>
  <c r="AF40" i="8"/>
  <c r="AG40" i="8"/>
  <c r="AH40" i="8" s="1"/>
  <c r="AE40" i="8"/>
  <c r="AH39" i="8"/>
  <c r="AF39" i="8"/>
  <c r="AG39" i="8"/>
  <c r="AE39" i="8"/>
  <c r="AF38" i="8"/>
  <c r="AG38" i="8"/>
  <c r="AE38" i="8"/>
  <c r="AH38" i="8" s="1"/>
  <c r="AF36" i="8"/>
  <c r="AG36" i="8"/>
  <c r="AE36" i="8"/>
  <c r="AH36" i="8" s="1"/>
  <c r="AH35" i="8"/>
  <c r="AF35" i="8"/>
  <c r="AG35" i="8"/>
  <c r="AE35" i="8"/>
  <c r="AH34" i="8"/>
  <c r="AF34" i="8"/>
  <c r="AG34" i="8"/>
  <c r="AE34" i="8"/>
  <c r="AF32" i="8"/>
  <c r="AG32" i="8"/>
  <c r="AE32" i="8"/>
  <c r="AH32" i="8" s="1"/>
  <c r="AF31" i="8"/>
  <c r="AG31" i="8"/>
  <c r="AE31" i="8"/>
  <c r="AH31" i="8" s="1"/>
  <c r="AF30" i="8"/>
  <c r="AG30" i="8"/>
  <c r="AE30" i="8"/>
  <c r="AH30" i="8" s="1"/>
  <c r="AF29" i="8"/>
  <c r="AG29" i="8"/>
  <c r="AE29" i="8"/>
  <c r="AH29" i="8" s="1"/>
  <c r="AH27" i="8"/>
  <c r="AF27" i="8"/>
  <c r="AG27" i="8"/>
  <c r="AE27" i="8"/>
  <c r="AF26" i="8"/>
  <c r="AG26" i="8"/>
  <c r="AH26" i="8" s="1"/>
  <c r="AE26" i="8"/>
  <c r="AF25" i="8"/>
  <c r="AG25" i="8"/>
  <c r="AH25" i="8" s="1"/>
  <c r="AE25" i="8"/>
  <c r="AH23" i="8"/>
  <c r="AF23" i="8"/>
  <c r="AG23" i="8"/>
  <c r="AE23" i="8"/>
  <c r="AF22" i="8"/>
  <c r="AG22" i="8"/>
  <c r="AE22" i="8"/>
  <c r="AH22" i="8" s="1"/>
  <c r="AF20" i="8"/>
  <c r="AG20" i="8"/>
  <c r="AE20" i="8"/>
  <c r="AH20" i="8" s="1"/>
  <c r="AH19" i="8"/>
  <c r="AF19" i="8"/>
  <c r="AG19" i="8"/>
  <c r="AE19" i="8"/>
  <c r="AH17" i="8"/>
  <c r="AF17" i="8"/>
  <c r="AG17" i="8"/>
  <c r="AE17" i="8"/>
  <c r="AF16" i="8"/>
  <c r="AG16" i="8"/>
  <c r="AE16" i="8"/>
  <c r="AH16" i="8" s="1"/>
  <c r="AF15" i="8"/>
  <c r="AG15" i="8"/>
  <c r="AE15" i="8"/>
  <c r="AH15" i="8" s="1"/>
  <c r="AF14" i="8"/>
  <c r="AG14" i="8"/>
  <c r="AE14" i="8"/>
  <c r="AH14" i="8" s="1"/>
  <c r="AF13" i="8"/>
  <c r="AG13" i="8"/>
  <c r="AE13" i="8"/>
  <c r="AH13" i="8" s="1"/>
  <c r="AH12" i="8"/>
  <c r="AF12" i="8"/>
  <c r="AG12" i="8"/>
  <c r="AE12" i="8"/>
  <c r="AF10" i="8"/>
  <c r="AG10" i="8"/>
  <c r="AH10" i="8" s="1"/>
  <c r="AE10" i="8"/>
  <c r="AF9" i="8"/>
  <c r="AG9" i="8"/>
  <c r="AH9" i="8" s="1"/>
  <c r="AE9" i="8"/>
  <c r="AH7" i="8"/>
  <c r="AF7" i="8"/>
  <c r="AG7" i="8"/>
  <c r="AE7" i="8"/>
  <c r="AF6" i="8"/>
  <c r="AG6" i="8"/>
  <c r="AE6" i="8"/>
  <c r="AH6" i="8" s="1"/>
  <c r="AF5" i="8"/>
  <c r="AG5" i="8"/>
  <c r="AE5" i="8"/>
  <c r="AH5" i="8" s="1"/>
  <c r="AH4" i="8"/>
  <c r="AF4" i="8"/>
  <c r="AG4" i="8"/>
  <c r="AE4" i="8"/>
  <c r="AH3" i="8"/>
  <c r="AF3" i="8"/>
  <c r="AG3" i="8"/>
  <c r="AC55" i="8" s="1"/>
  <c r="I4" i="30" s="1"/>
  <c r="AE3" i="8"/>
  <c r="AC54" i="8" s="1"/>
  <c r="P61" i="8"/>
  <c r="N61" i="8"/>
  <c r="M61" i="8"/>
  <c r="T49" i="8"/>
  <c r="U49" i="8"/>
  <c r="V49" i="8" s="1"/>
  <c r="S49" i="8"/>
  <c r="V48" i="8"/>
  <c r="T48" i="8"/>
  <c r="U48" i="8"/>
  <c r="S48" i="8"/>
  <c r="T47" i="8"/>
  <c r="U47" i="8"/>
  <c r="S47" i="8"/>
  <c r="V47" i="8" s="1"/>
  <c r="T46" i="8"/>
  <c r="U46" i="8"/>
  <c r="S46" i="8"/>
  <c r="V46" i="8" s="1"/>
  <c r="V44" i="8"/>
  <c r="T44" i="8"/>
  <c r="U44" i="8"/>
  <c r="S44" i="8"/>
  <c r="V43" i="8"/>
  <c r="T43" i="8"/>
  <c r="U43" i="8"/>
  <c r="S43" i="8"/>
  <c r="T42" i="8"/>
  <c r="U42" i="8"/>
  <c r="S42" i="8"/>
  <c r="V42" i="8" s="1"/>
  <c r="T41" i="8"/>
  <c r="U41" i="8"/>
  <c r="S41" i="8"/>
  <c r="V41" i="8" s="1"/>
  <c r="T40" i="8"/>
  <c r="U40" i="8"/>
  <c r="S40" i="8"/>
  <c r="V40" i="8" s="1"/>
  <c r="T39" i="8"/>
  <c r="U39" i="8"/>
  <c r="S39" i="8"/>
  <c r="V39" i="8" s="1"/>
  <c r="V38" i="8"/>
  <c r="T38" i="8"/>
  <c r="U38" i="8"/>
  <c r="S38" i="8"/>
  <c r="T36" i="8"/>
  <c r="U36" i="8"/>
  <c r="V36" i="8" s="1"/>
  <c r="S36" i="8"/>
  <c r="T35" i="8"/>
  <c r="U35" i="8"/>
  <c r="V35" i="8" s="1"/>
  <c r="S35" i="8"/>
  <c r="V34" i="8"/>
  <c r="T34" i="8"/>
  <c r="U34" i="8"/>
  <c r="S34" i="8"/>
  <c r="T32" i="8"/>
  <c r="U32" i="8"/>
  <c r="S32" i="8"/>
  <c r="V32" i="8" s="1"/>
  <c r="T31" i="8"/>
  <c r="U31" i="8"/>
  <c r="S31" i="8"/>
  <c r="V31" i="8" s="1"/>
  <c r="V30" i="8"/>
  <c r="T30" i="8"/>
  <c r="U30" i="8"/>
  <c r="S30" i="8"/>
  <c r="V29" i="8"/>
  <c r="T29" i="8"/>
  <c r="U29" i="8"/>
  <c r="S29" i="8"/>
  <c r="T27" i="8"/>
  <c r="U27" i="8"/>
  <c r="S27" i="8"/>
  <c r="V27" i="8" s="1"/>
  <c r="T26" i="8"/>
  <c r="U26" i="8"/>
  <c r="S26" i="8"/>
  <c r="V26" i="8" s="1"/>
  <c r="T25" i="8"/>
  <c r="U25" i="8"/>
  <c r="S25" i="8"/>
  <c r="V25" i="8" s="1"/>
  <c r="T24" i="8"/>
  <c r="U24" i="8"/>
  <c r="S24" i="8"/>
  <c r="V24" i="8" s="1"/>
  <c r="V22" i="8"/>
  <c r="T22" i="8"/>
  <c r="U22" i="8"/>
  <c r="S22" i="8"/>
  <c r="T20" i="8"/>
  <c r="U20" i="8"/>
  <c r="V20" i="8" s="1"/>
  <c r="S20" i="8"/>
  <c r="T19" i="8"/>
  <c r="U19" i="8"/>
  <c r="V19" i="8" s="1"/>
  <c r="S19" i="8"/>
  <c r="V17" i="8"/>
  <c r="T17" i="8"/>
  <c r="U17" i="8"/>
  <c r="S17" i="8"/>
  <c r="T16" i="8"/>
  <c r="U16" i="8"/>
  <c r="S16" i="8"/>
  <c r="V16" i="8" s="1"/>
  <c r="T15" i="8"/>
  <c r="U15" i="8"/>
  <c r="S15" i="8"/>
  <c r="V15" i="8" s="1"/>
  <c r="V14" i="8"/>
  <c r="T14" i="8"/>
  <c r="U14" i="8"/>
  <c r="S14" i="8"/>
  <c r="V13" i="8"/>
  <c r="T13" i="8"/>
  <c r="U13" i="8"/>
  <c r="S13" i="8"/>
  <c r="T12" i="8"/>
  <c r="U12" i="8"/>
  <c r="S12" i="8"/>
  <c r="V12" i="8" s="1"/>
  <c r="T10" i="8"/>
  <c r="U10" i="8"/>
  <c r="S10" i="8"/>
  <c r="V10" i="8" s="1"/>
  <c r="T9" i="8"/>
  <c r="U9" i="8"/>
  <c r="S9" i="8"/>
  <c r="V9" i="8" s="1"/>
  <c r="T7" i="8"/>
  <c r="U7" i="8"/>
  <c r="S7" i="8"/>
  <c r="V7" i="8" s="1"/>
  <c r="V6" i="8"/>
  <c r="T6" i="8"/>
  <c r="U6" i="8"/>
  <c r="S6" i="8"/>
  <c r="T5" i="8"/>
  <c r="U5" i="8"/>
  <c r="V5" i="8" s="1"/>
  <c r="S5" i="8"/>
  <c r="T4" i="8"/>
  <c r="U4" i="8"/>
  <c r="Q55" i="8" s="1"/>
  <c r="I3" i="30" s="1"/>
  <c r="S4" i="8"/>
  <c r="V3" i="8"/>
  <c r="T3" i="8"/>
  <c r="U3" i="8"/>
  <c r="S3" i="8"/>
  <c r="Q54" i="8" s="1"/>
  <c r="D61" i="8"/>
  <c r="B61" i="8"/>
  <c r="A61" i="8"/>
  <c r="H49" i="8"/>
  <c r="I49" i="8"/>
  <c r="G49" i="8"/>
  <c r="J49" i="8" s="1"/>
  <c r="J48" i="8"/>
  <c r="H48" i="8"/>
  <c r="I48" i="8"/>
  <c r="G48" i="8"/>
  <c r="J47" i="8"/>
  <c r="H47" i="8"/>
  <c r="I47" i="8"/>
  <c r="G47" i="8"/>
  <c r="H46" i="8"/>
  <c r="I46" i="8"/>
  <c r="J46" i="8" s="1"/>
  <c r="G46" i="8"/>
  <c r="H45" i="8"/>
  <c r="I45" i="8"/>
  <c r="J45" i="8" s="1"/>
  <c r="G45" i="8"/>
  <c r="J43" i="8"/>
  <c r="H43" i="8"/>
  <c r="I43" i="8"/>
  <c r="G43" i="8"/>
  <c r="H42" i="8"/>
  <c r="I42" i="8"/>
  <c r="G42" i="8"/>
  <c r="J42" i="8" s="1"/>
  <c r="H41" i="8"/>
  <c r="I41" i="8"/>
  <c r="G41" i="8"/>
  <c r="J41" i="8" s="1"/>
  <c r="J40" i="8"/>
  <c r="H40" i="8"/>
  <c r="I40" i="8"/>
  <c r="G40" i="8"/>
  <c r="J39" i="8"/>
  <c r="H39" i="8"/>
  <c r="I39" i="8"/>
  <c r="G39" i="8"/>
  <c r="H37" i="8"/>
  <c r="I37" i="8"/>
  <c r="G37" i="8"/>
  <c r="J37" i="8" s="1"/>
  <c r="H36" i="8"/>
  <c r="I36" i="8"/>
  <c r="G36" i="8"/>
  <c r="J36" i="8" s="1"/>
  <c r="H35" i="8"/>
  <c r="I35" i="8"/>
  <c r="G35" i="8"/>
  <c r="J35" i="8" s="1"/>
  <c r="J34" i="8"/>
  <c r="H34" i="8"/>
  <c r="I34" i="8"/>
  <c r="G34" i="8"/>
  <c r="J32" i="8"/>
  <c r="H32" i="8"/>
  <c r="I32" i="8"/>
  <c r="G32" i="8"/>
  <c r="H31" i="8"/>
  <c r="I31" i="8"/>
  <c r="J31" i="8" s="1"/>
  <c r="G31" i="8"/>
  <c r="H30" i="8"/>
  <c r="I30" i="8"/>
  <c r="J30" i="8" s="1"/>
  <c r="G30" i="8"/>
  <c r="J29" i="8"/>
  <c r="H29" i="8"/>
  <c r="I29" i="8"/>
  <c r="G29" i="8"/>
  <c r="H28" i="8"/>
  <c r="I28" i="8"/>
  <c r="G28" i="8"/>
  <c r="J28" i="8" s="1"/>
  <c r="H26" i="8"/>
  <c r="I26" i="8"/>
  <c r="J26" i="8" s="1"/>
  <c r="G26" i="8"/>
  <c r="J25" i="8"/>
  <c r="H25" i="8"/>
  <c r="I25" i="8"/>
  <c r="G25" i="8"/>
  <c r="J24" i="8"/>
  <c r="H24" i="8"/>
  <c r="I24" i="8"/>
  <c r="G24" i="8"/>
  <c r="H22" i="8"/>
  <c r="I22" i="8"/>
  <c r="G22" i="8"/>
  <c r="J22" i="8" s="1"/>
  <c r="H21" i="8"/>
  <c r="I21" i="8"/>
  <c r="G21" i="8"/>
  <c r="J21" i="8" s="1"/>
  <c r="H19" i="8"/>
  <c r="I19" i="8"/>
  <c r="G19" i="8"/>
  <c r="J19" i="8" s="1"/>
  <c r="J18" i="8"/>
  <c r="H18" i="8"/>
  <c r="I18" i="8"/>
  <c r="G18" i="8"/>
  <c r="J16" i="8"/>
  <c r="H16" i="8"/>
  <c r="I16" i="8"/>
  <c r="G16" i="8"/>
  <c r="H15" i="8"/>
  <c r="I15" i="8"/>
  <c r="J15" i="8" s="1"/>
  <c r="G15" i="8"/>
  <c r="H14" i="8"/>
  <c r="I14" i="8"/>
  <c r="J14" i="8" s="1"/>
  <c r="G14" i="8"/>
  <c r="J13" i="8"/>
  <c r="H13" i="8"/>
  <c r="I13" i="8"/>
  <c r="G13" i="8"/>
  <c r="H12" i="8"/>
  <c r="I12" i="8"/>
  <c r="G12" i="8"/>
  <c r="J12" i="8" s="1"/>
  <c r="H10" i="8"/>
  <c r="I10" i="8"/>
  <c r="J10" i="8" s="1"/>
  <c r="G10" i="8"/>
  <c r="J9" i="8"/>
  <c r="H9" i="8"/>
  <c r="I9" i="8"/>
  <c r="G9" i="8"/>
  <c r="J7" i="8"/>
  <c r="H7" i="8"/>
  <c r="I7" i="8"/>
  <c r="G7" i="8"/>
  <c r="H6" i="8"/>
  <c r="I6" i="8"/>
  <c r="G6" i="8"/>
  <c r="J6" i="8" s="1"/>
  <c r="H5" i="8"/>
  <c r="I5" i="8"/>
  <c r="G5" i="8"/>
  <c r="J5" i="8" s="1"/>
  <c r="H4" i="8"/>
  <c r="I4" i="8"/>
  <c r="E55" i="8" s="1"/>
  <c r="I2" i="30" s="1"/>
  <c r="G4" i="8"/>
  <c r="J4" i="8" s="1"/>
  <c r="J3" i="8"/>
  <c r="H3" i="8"/>
  <c r="I3" i="8"/>
  <c r="G3" i="8"/>
  <c r="E54" i="8" s="1"/>
  <c r="A599" i="12"/>
  <c r="A586" i="12"/>
  <c r="A580" i="12"/>
  <c r="A565" i="12"/>
  <c r="A561" i="12"/>
  <c r="A546" i="12"/>
  <c r="A531" i="12"/>
  <c r="A524" i="12"/>
  <c r="A508" i="12"/>
  <c r="A493" i="12"/>
  <c r="A480" i="12"/>
  <c r="A465" i="12"/>
  <c r="A451" i="12"/>
  <c r="A448" i="12"/>
  <c r="A444" i="12"/>
  <c r="A441" i="12"/>
  <c r="A435" i="12"/>
  <c r="A420" i="12"/>
  <c r="A408" i="12"/>
  <c r="A405" i="12"/>
  <c r="A401" i="12"/>
  <c r="A387" i="12"/>
  <c r="A372" i="12"/>
  <c r="A367" i="12"/>
  <c r="A354" i="12"/>
  <c r="A340" i="12"/>
  <c r="A336" i="12"/>
  <c r="A321" i="12"/>
  <c r="A317" i="12"/>
  <c r="A302" i="12"/>
  <c r="A287" i="12"/>
  <c r="A281" i="12"/>
  <c r="A266" i="12"/>
  <c r="A262" i="12"/>
  <c r="A246" i="12"/>
  <c r="A231" i="12"/>
  <c r="A216" i="12"/>
  <c r="A202" i="12"/>
  <c r="A188" i="12"/>
  <c r="A174" i="12"/>
  <c r="A159" i="12"/>
  <c r="A145" i="12"/>
  <c r="A130" i="12"/>
  <c r="A115" i="12"/>
  <c r="A100" i="12"/>
  <c r="A88" i="12"/>
  <c r="A74" i="12"/>
  <c r="A59" i="12"/>
  <c r="A45" i="12"/>
  <c r="A30" i="12"/>
  <c r="A15" i="12"/>
  <c r="GK62" i="8"/>
  <c r="DE62" i="8"/>
  <c r="DQ62" i="8"/>
  <c r="CG62" i="8"/>
  <c r="FY62" i="8"/>
  <c r="Y62" i="8"/>
  <c r="HI62" i="8"/>
  <c r="HU62" i="8"/>
  <c r="BI62" i="8"/>
  <c r="BU62" i="8"/>
  <c r="CS62" i="8"/>
  <c r="AK62" i="8"/>
  <c r="GW62" i="8"/>
  <c r="M62" i="8"/>
  <c r="AW62" i="8"/>
  <c r="EC62" i="8"/>
  <c r="FM62" i="8"/>
  <c r="FA62" i="8"/>
  <c r="A62" i="8"/>
  <c r="EO62" i="8"/>
  <c r="K1" i="22"/>
  <c r="J1" i="22"/>
  <c r="HX799" i="8"/>
  <c r="HV799" i="8"/>
  <c r="HU799" i="8"/>
  <c r="HL799" i="8"/>
  <c r="HJ799" i="8"/>
  <c r="HI799" i="8"/>
  <c r="GZ799" i="8"/>
  <c r="GX799" i="8"/>
  <c r="GW799" i="8"/>
  <c r="GN799" i="8"/>
  <c r="GL799" i="8"/>
  <c r="GK799" i="8"/>
  <c r="GB799" i="8"/>
  <c r="FZ799" i="8"/>
  <c r="FY799" i="8"/>
  <c r="FP799" i="8"/>
  <c r="FN799" i="8"/>
  <c r="FM799" i="8"/>
  <c r="FD799" i="8"/>
  <c r="FB799" i="8"/>
  <c r="FA799" i="8"/>
  <c r="ER799" i="8"/>
  <c r="EP799" i="8"/>
  <c r="EO799" i="8"/>
  <c r="EF799" i="8"/>
  <c r="ED799" i="8"/>
  <c r="EC799" i="8"/>
  <c r="DT799" i="8"/>
  <c r="DR799" i="8"/>
  <c r="DQ799" i="8"/>
  <c r="DH799" i="8"/>
  <c r="DF799" i="8"/>
  <c r="DE799" i="8"/>
  <c r="CV799" i="8"/>
  <c r="CT799" i="8"/>
  <c r="CS799" i="8"/>
  <c r="CJ799" i="8"/>
  <c r="CH799" i="8"/>
  <c r="CG799" i="8"/>
  <c r="BX799" i="8"/>
  <c r="BV799" i="8"/>
  <c r="BU799" i="8"/>
  <c r="BL799" i="8"/>
  <c r="BJ799" i="8"/>
  <c r="BI799" i="8"/>
  <c r="AZ799" i="8"/>
  <c r="AX799" i="8"/>
  <c r="AW799" i="8"/>
  <c r="AN799" i="8"/>
  <c r="AL799" i="8"/>
  <c r="AK799" i="8"/>
  <c r="AB799" i="8"/>
  <c r="Z799" i="8"/>
  <c r="Y799" i="8"/>
  <c r="P799" i="8"/>
  <c r="N799" i="8"/>
  <c r="M799" i="8"/>
  <c r="D799" i="8"/>
  <c r="B799" i="8"/>
  <c r="A799" i="8"/>
  <c r="AE381" i="3"/>
  <c r="AD381" i="3"/>
  <c r="AC381" i="3"/>
  <c r="AE380" i="3"/>
  <c r="AD380" i="3"/>
  <c r="AC380" i="3"/>
  <c r="AE379" i="3"/>
  <c r="AD379" i="3"/>
  <c r="AC379" i="3"/>
  <c r="AE378" i="3"/>
  <c r="AD378" i="3"/>
  <c r="AC378" i="3"/>
  <c r="AE377" i="3"/>
  <c r="AD377" i="3"/>
  <c r="AC377" i="3"/>
  <c r="AE376" i="3"/>
  <c r="AD376" i="3"/>
  <c r="AC376" i="3"/>
  <c r="AE375" i="3"/>
  <c r="AD375" i="3"/>
  <c r="AC375" i="3"/>
  <c r="AE374" i="3"/>
  <c r="AD374" i="3"/>
  <c r="AC374" i="3"/>
  <c r="AE373" i="3"/>
  <c r="AD373" i="3"/>
  <c r="AC373" i="3"/>
  <c r="AE372" i="3"/>
  <c r="AD372" i="3"/>
  <c r="AC372" i="3"/>
  <c r="AE371" i="3"/>
  <c r="AD371" i="3"/>
  <c r="AC371" i="3"/>
  <c r="AE370" i="3"/>
  <c r="AD370" i="3"/>
  <c r="AC370" i="3"/>
  <c r="AE369" i="3"/>
  <c r="AD369" i="3"/>
  <c r="AC369" i="3"/>
  <c r="AE368" i="3"/>
  <c r="AD368" i="3"/>
  <c r="AC368" i="3"/>
  <c r="AE367" i="3"/>
  <c r="AD367" i="3"/>
  <c r="AC367" i="3"/>
  <c r="AE366" i="3"/>
  <c r="AD366" i="3"/>
  <c r="AC366" i="3"/>
  <c r="AE365" i="3"/>
  <c r="AD365" i="3"/>
  <c r="AC365" i="3"/>
  <c r="AE364" i="3"/>
  <c r="AD364" i="3"/>
  <c r="AC364" i="3"/>
  <c r="AE363" i="3"/>
  <c r="AD363" i="3"/>
  <c r="AC363" i="3"/>
  <c r="AE362" i="3"/>
  <c r="AD362" i="3"/>
  <c r="AC362" i="3"/>
  <c r="AE361" i="3"/>
  <c r="AD361" i="3"/>
  <c r="AC361" i="3"/>
  <c r="AE360" i="3"/>
  <c r="AD360" i="3"/>
  <c r="AC360" i="3"/>
  <c r="AE359" i="3"/>
  <c r="AD359" i="3"/>
  <c r="AC359" i="3"/>
  <c r="AE358" i="3"/>
  <c r="AD358" i="3"/>
  <c r="AC358" i="3"/>
  <c r="AE357" i="3"/>
  <c r="AD357" i="3"/>
  <c r="AC357" i="3"/>
  <c r="AE356" i="3"/>
  <c r="AD356" i="3"/>
  <c r="AC356" i="3"/>
  <c r="AE355" i="3"/>
  <c r="AD355" i="3"/>
  <c r="AC355" i="3"/>
  <c r="AE354" i="3"/>
  <c r="AD354" i="3"/>
  <c r="AC354" i="3"/>
  <c r="AE353" i="3"/>
  <c r="AD353" i="3"/>
  <c r="AC353" i="3"/>
  <c r="AE352" i="3"/>
  <c r="AD352" i="3"/>
  <c r="AC352" i="3"/>
  <c r="AE351" i="3"/>
  <c r="AD351" i="3"/>
  <c r="AC351" i="3"/>
  <c r="AE350" i="3"/>
  <c r="AD350" i="3"/>
  <c r="AC350" i="3"/>
  <c r="AE349" i="3"/>
  <c r="AD349" i="3"/>
  <c r="AC349" i="3"/>
  <c r="AE348" i="3"/>
  <c r="AD348" i="3"/>
  <c r="AC348" i="3"/>
  <c r="AE347" i="3"/>
  <c r="AD347" i="3"/>
  <c r="AC347" i="3"/>
  <c r="AE346" i="3"/>
  <c r="AD346" i="3"/>
  <c r="AC346" i="3"/>
  <c r="AE345" i="3"/>
  <c r="AD345" i="3"/>
  <c r="AC345" i="3"/>
  <c r="AE344" i="3"/>
  <c r="AD344" i="3"/>
  <c r="AC344" i="3"/>
  <c r="AE343" i="3"/>
  <c r="AD343" i="3"/>
  <c r="AC343" i="3"/>
  <c r="AE342" i="3"/>
  <c r="AD342" i="3"/>
  <c r="AC342" i="3"/>
  <c r="AE341" i="3"/>
  <c r="AD341" i="3"/>
  <c r="AC341" i="3"/>
  <c r="AE340" i="3"/>
  <c r="AD340" i="3"/>
  <c r="AC340" i="3"/>
  <c r="AE339" i="3"/>
  <c r="AD339" i="3"/>
  <c r="AC339" i="3"/>
  <c r="AE338" i="3"/>
  <c r="AD338" i="3"/>
  <c r="AC338" i="3"/>
  <c r="AE337" i="3"/>
  <c r="AD337" i="3"/>
  <c r="AC337" i="3"/>
  <c r="AE336" i="3"/>
  <c r="AD336" i="3"/>
  <c r="AC336" i="3"/>
  <c r="AE335" i="3"/>
  <c r="AD335" i="3"/>
  <c r="AC335" i="3"/>
  <c r="AE334" i="3"/>
  <c r="AD334" i="3"/>
  <c r="AC334" i="3"/>
  <c r="AE333" i="3"/>
  <c r="AD333" i="3"/>
  <c r="AC333" i="3"/>
  <c r="AE332" i="3"/>
  <c r="AD332" i="3"/>
  <c r="AC332" i="3"/>
  <c r="AE331" i="3"/>
  <c r="AD331" i="3"/>
  <c r="AC331" i="3"/>
  <c r="AE330" i="3"/>
  <c r="AD330" i="3"/>
  <c r="AC330" i="3"/>
  <c r="AE329" i="3"/>
  <c r="AD329" i="3"/>
  <c r="AC329" i="3"/>
  <c r="AE328" i="3"/>
  <c r="AD328" i="3"/>
  <c r="AC328" i="3"/>
  <c r="AE327" i="3"/>
  <c r="AD327" i="3"/>
  <c r="AC327" i="3"/>
  <c r="AE326" i="3"/>
  <c r="AD326" i="3"/>
  <c r="AC326" i="3"/>
  <c r="AE325" i="3"/>
  <c r="AD325" i="3"/>
  <c r="AC325" i="3"/>
  <c r="AE324" i="3"/>
  <c r="AD324" i="3"/>
  <c r="AC324" i="3"/>
  <c r="AE323" i="3"/>
  <c r="AD323" i="3"/>
  <c r="AC323" i="3"/>
  <c r="AE322" i="3"/>
  <c r="AD322" i="3"/>
  <c r="AC322" i="3"/>
  <c r="AE321" i="3"/>
  <c r="AD321" i="3"/>
  <c r="AC321" i="3"/>
  <c r="AE320" i="3"/>
  <c r="AD320" i="3"/>
  <c r="AC320" i="3"/>
  <c r="AE319" i="3"/>
  <c r="AD319" i="3"/>
  <c r="AC319" i="3"/>
  <c r="AE318" i="3"/>
  <c r="AD318" i="3"/>
  <c r="AC318" i="3"/>
  <c r="AE317" i="3"/>
  <c r="AD317" i="3"/>
  <c r="AC317" i="3"/>
  <c r="AE316" i="3"/>
  <c r="AD316" i="3"/>
  <c r="AC316" i="3"/>
  <c r="AE315" i="3"/>
  <c r="AD315" i="3"/>
  <c r="AC315" i="3"/>
  <c r="AE314" i="3"/>
  <c r="AD314" i="3"/>
  <c r="AC314" i="3"/>
  <c r="AE313" i="3"/>
  <c r="AD313" i="3"/>
  <c r="AC313" i="3"/>
  <c r="AE312" i="3"/>
  <c r="AD312" i="3"/>
  <c r="AC312" i="3"/>
  <c r="AE311" i="3"/>
  <c r="AD311" i="3"/>
  <c r="AC311" i="3"/>
  <c r="AE310" i="3"/>
  <c r="AD310" i="3"/>
  <c r="AC310" i="3"/>
  <c r="AE309" i="3"/>
  <c r="AD309" i="3"/>
  <c r="AC309" i="3"/>
  <c r="AE308" i="3"/>
  <c r="AD308" i="3"/>
  <c r="AC308" i="3"/>
  <c r="AE307" i="3"/>
  <c r="AD307" i="3"/>
  <c r="AC307" i="3"/>
  <c r="AE306" i="3"/>
  <c r="AD306" i="3"/>
  <c r="AC306" i="3"/>
  <c r="AE305" i="3"/>
  <c r="AD305" i="3"/>
  <c r="AC305" i="3"/>
  <c r="AE304" i="3"/>
  <c r="AD304" i="3"/>
  <c r="AC304" i="3"/>
  <c r="AE303" i="3"/>
  <c r="AD303" i="3"/>
  <c r="AC303" i="3"/>
  <c r="AE302" i="3"/>
  <c r="AD302" i="3"/>
  <c r="AC302" i="3"/>
  <c r="AE301" i="3"/>
  <c r="AD301" i="3"/>
  <c r="AC301" i="3"/>
  <c r="AE300" i="3"/>
  <c r="AD300" i="3"/>
  <c r="AC300" i="3"/>
  <c r="AE299" i="3"/>
  <c r="AD299" i="3"/>
  <c r="AC299" i="3"/>
  <c r="AE298" i="3"/>
  <c r="AD298" i="3"/>
  <c r="AC298" i="3"/>
  <c r="AE297" i="3"/>
  <c r="AD297" i="3"/>
  <c r="AC297" i="3"/>
  <c r="AE296" i="3"/>
  <c r="AD296" i="3"/>
  <c r="AC296" i="3"/>
  <c r="AE295" i="3"/>
  <c r="AD295" i="3"/>
  <c r="AC295" i="3"/>
  <c r="AE294" i="3"/>
  <c r="AD294" i="3"/>
  <c r="AC294" i="3"/>
  <c r="AE293" i="3"/>
  <c r="AD293" i="3"/>
  <c r="AC293" i="3"/>
  <c r="AE292" i="3"/>
  <c r="AD292" i="3"/>
  <c r="AC292" i="3"/>
  <c r="AE291" i="3"/>
  <c r="AD291" i="3"/>
  <c r="AC291" i="3"/>
  <c r="AE290" i="3"/>
  <c r="AD290" i="3"/>
  <c r="AC290" i="3"/>
  <c r="AE289" i="3"/>
  <c r="AD289" i="3"/>
  <c r="AC289" i="3"/>
  <c r="AE288" i="3"/>
  <c r="AD288" i="3"/>
  <c r="AC288" i="3"/>
  <c r="AE287" i="3"/>
  <c r="AD287" i="3"/>
  <c r="AC287" i="3"/>
  <c r="AE286" i="3"/>
  <c r="AD286" i="3"/>
  <c r="AC286" i="3"/>
  <c r="AE285" i="3"/>
  <c r="AD285" i="3"/>
  <c r="AC285" i="3"/>
  <c r="AE284" i="3"/>
  <c r="AD284" i="3"/>
  <c r="AC284" i="3"/>
  <c r="AE283" i="3"/>
  <c r="AD283" i="3"/>
  <c r="AC283" i="3"/>
  <c r="AE282" i="3"/>
  <c r="AD282" i="3"/>
  <c r="AC282" i="3"/>
  <c r="AE281" i="3"/>
  <c r="AD281" i="3"/>
  <c r="AC281" i="3"/>
  <c r="AE280" i="3"/>
  <c r="AD280" i="3"/>
  <c r="AC280" i="3"/>
  <c r="AE279" i="3"/>
  <c r="AD279" i="3"/>
  <c r="AC279" i="3"/>
  <c r="AE278" i="3"/>
  <c r="AD278" i="3"/>
  <c r="AC278" i="3"/>
  <c r="AE277" i="3"/>
  <c r="AD277" i="3"/>
  <c r="AC277" i="3"/>
  <c r="AE276" i="3"/>
  <c r="AD276" i="3"/>
  <c r="AC276" i="3"/>
  <c r="AE275" i="3"/>
  <c r="AD275" i="3"/>
  <c r="AC275" i="3"/>
  <c r="AE274" i="3"/>
  <c r="AD274" i="3"/>
  <c r="AC274" i="3"/>
  <c r="AE273" i="3"/>
  <c r="AD273" i="3"/>
  <c r="AC273" i="3"/>
  <c r="AE272" i="3"/>
  <c r="AD272" i="3"/>
  <c r="AC272" i="3"/>
  <c r="AE271" i="3"/>
  <c r="AD271" i="3"/>
  <c r="AC271" i="3"/>
  <c r="AE270" i="3"/>
  <c r="AD270" i="3"/>
  <c r="AC270" i="3"/>
  <c r="AE269" i="3"/>
  <c r="AD269" i="3"/>
  <c r="AC269" i="3"/>
  <c r="AE268" i="3"/>
  <c r="AD268" i="3"/>
  <c r="AC268" i="3"/>
  <c r="AE267" i="3"/>
  <c r="AD267" i="3"/>
  <c r="AC267" i="3"/>
  <c r="AE266" i="3"/>
  <c r="AD266" i="3"/>
  <c r="AC266" i="3"/>
  <c r="AE265" i="3"/>
  <c r="AD265" i="3"/>
  <c r="AC265" i="3"/>
  <c r="AE264" i="3"/>
  <c r="AD264" i="3"/>
  <c r="AC264" i="3"/>
  <c r="AE263" i="3"/>
  <c r="AD263" i="3"/>
  <c r="AC263" i="3"/>
  <c r="AE262" i="3"/>
  <c r="AD262" i="3"/>
  <c r="AC262" i="3"/>
  <c r="AE261" i="3"/>
  <c r="AD261" i="3"/>
  <c r="AC261" i="3"/>
  <c r="AE260" i="3"/>
  <c r="AD260" i="3"/>
  <c r="AC260" i="3"/>
  <c r="AE259" i="3"/>
  <c r="AD259" i="3"/>
  <c r="AC259" i="3"/>
  <c r="AE258" i="3"/>
  <c r="AD258" i="3"/>
  <c r="AC258" i="3"/>
  <c r="AE257" i="3"/>
  <c r="AD257" i="3"/>
  <c r="AC257" i="3"/>
  <c r="AE256" i="3"/>
  <c r="AD256" i="3"/>
  <c r="AC256" i="3"/>
  <c r="AE255" i="3"/>
  <c r="AD255" i="3"/>
  <c r="AC255" i="3"/>
  <c r="AE254" i="3"/>
  <c r="AD254" i="3"/>
  <c r="AC254" i="3"/>
  <c r="AE253" i="3"/>
  <c r="AD253" i="3"/>
  <c r="AC253" i="3"/>
  <c r="AE252" i="3"/>
  <c r="AD252" i="3"/>
  <c r="AC252" i="3"/>
  <c r="AE249" i="3"/>
  <c r="AD249" i="3"/>
  <c r="AC249" i="3"/>
  <c r="AE248" i="3"/>
  <c r="AD248" i="3"/>
  <c r="AC248" i="3"/>
  <c r="AE247" i="3"/>
  <c r="AD247" i="3"/>
  <c r="AC247" i="3"/>
  <c r="AE251" i="3"/>
  <c r="AD251" i="3"/>
  <c r="AC251" i="3"/>
  <c r="AE250" i="3"/>
  <c r="AD250" i="3"/>
  <c r="AC250" i="3"/>
  <c r="AE246" i="3"/>
  <c r="AD246" i="3"/>
  <c r="AC246" i="3"/>
  <c r="AE245" i="3"/>
  <c r="AD245" i="3"/>
  <c r="AC245" i="3"/>
  <c r="AE244" i="3"/>
  <c r="AD244" i="3"/>
  <c r="AC244" i="3"/>
  <c r="AE243" i="3"/>
  <c r="AD243" i="3"/>
  <c r="AC243" i="3"/>
  <c r="AE242" i="3"/>
  <c r="AD242" i="3"/>
  <c r="AC242" i="3"/>
  <c r="AE239" i="3"/>
  <c r="AD239" i="3"/>
  <c r="AC239" i="3"/>
  <c r="AE238" i="3"/>
  <c r="AD238" i="3"/>
  <c r="AC238" i="3"/>
  <c r="AE237" i="3"/>
  <c r="AD237" i="3"/>
  <c r="AC237" i="3"/>
  <c r="AE236" i="3"/>
  <c r="AD236" i="3"/>
  <c r="AC236" i="3"/>
  <c r="AE235" i="3"/>
  <c r="AD235" i="3"/>
  <c r="AC235" i="3"/>
  <c r="AE241" i="3"/>
  <c r="AD241" i="3"/>
  <c r="AC241" i="3"/>
  <c r="AE240" i="3"/>
  <c r="AD240" i="3"/>
  <c r="AC240" i="3"/>
  <c r="AE234" i="3"/>
  <c r="AD234" i="3"/>
  <c r="AC234" i="3"/>
  <c r="AE233" i="3"/>
  <c r="AD233" i="3"/>
  <c r="AC233" i="3"/>
  <c r="AE232" i="3"/>
  <c r="AD232" i="3"/>
  <c r="AC232" i="3"/>
  <c r="AE231" i="3"/>
  <c r="AD231" i="3"/>
  <c r="AC231" i="3"/>
  <c r="AE230" i="3"/>
  <c r="AD230" i="3"/>
  <c r="AC230" i="3"/>
  <c r="AE229" i="3"/>
  <c r="AD229" i="3"/>
  <c r="AC229" i="3"/>
  <c r="AE228" i="3"/>
  <c r="AD228" i="3"/>
  <c r="AC228" i="3"/>
  <c r="AE227" i="3"/>
  <c r="AD227" i="3"/>
  <c r="AC227" i="3"/>
  <c r="AE226" i="3"/>
  <c r="AD226" i="3"/>
  <c r="AC226" i="3"/>
  <c r="AE225" i="3"/>
  <c r="AD225" i="3"/>
  <c r="AC225" i="3"/>
  <c r="AE224" i="3"/>
  <c r="AD224" i="3"/>
  <c r="AC224" i="3"/>
  <c r="AE223" i="3"/>
  <c r="AD223" i="3"/>
  <c r="AC223" i="3"/>
  <c r="AE222" i="3"/>
  <c r="AD222" i="3"/>
  <c r="AC222" i="3"/>
  <c r="AE221" i="3"/>
  <c r="AD221" i="3"/>
  <c r="AC221" i="3"/>
  <c r="AE220" i="3"/>
  <c r="AD220" i="3"/>
  <c r="AC220" i="3"/>
  <c r="AE219" i="3"/>
  <c r="AD219" i="3"/>
  <c r="AC219" i="3"/>
  <c r="AE218" i="3"/>
  <c r="AD218" i="3"/>
  <c r="AC218" i="3"/>
  <c r="AE217" i="3"/>
  <c r="AD217" i="3"/>
  <c r="AC217" i="3"/>
  <c r="AE216" i="3"/>
  <c r="AD216" i="3"/>
  <c r="AC216" i="3"/>
  <c r="AE215" i="3"/>
  <c r="AD215" i="3"/>
  <c r="AC215" i="3"/>
  <c r="AE214" i="3"/>
  <c r="AD214" i="3"/>
  <c r="AC214" i="3"/>
  <c r="AE213" i="3"/>
  <c r="AD213" i="3"/>
  <c r="AC213" i="3"/>
  <c r="AE212" i="3"/>
  <c r="AD212" i="3"/>
  <c r="AC212" i="3"/>
  <c r="AE211" i="3"/>
  <c r="AD211" i="3"/>
  <c r="AC211" i="3"/>
  <c r="AE210" i="3"/>
  <c r="AD210" i="3"/>
  <c r="AC210" i="3"/>
  <c r="AE209" i="3"/>
  <c r="AD209" i="3"/>
  <c r="AC209" i="3"/>
  <c r="AE208" i="3"/>
  <c r="AD208" i="3"/>
  <c r="AC208" i="3"/>
  <c r="AE207" i="3"/>
  <c r="AD207" i="3"/>
  <c r="AC207" i="3"/>
  <c r="AE206" i="3"/>
  <c r="AD206" i="3"/>
  <c r="AC206" i="3"/>
  <c r="AE205" i="3"/>
  <c r="AD205" i="3"/>
  <c r="AC205" i="3"/>
  <c r="AE204" i="3"/>
  <c r="AD204" i="3"/>
  <c r="AC204" i="3"/>
  <c r="AE203" i="3"/>
  <c r="AD203" i="3"/>
  <c r="AC203" i="3"/>
  <c r="AE202" i="3"/>
  <c r="AD202" i="3"/>
  <c r="AC202" i="3"/>
  <c r="AE201" i="3"/>
  <c r="AD201" i="3"/>
  <c r="AC201" i="3"/>
  <c r="AE200" i="3"/>
  <c r="AD200" i="3"/>
  <c r="AC200" i="3"/>
  <c r="AE199" i="3"/>
  <c r="AD199" i="3"/>
  <c r="AC199" i="3"/>
  <c r="AE198" i="3"/>
  <c r="AD198" i="3"/>
  <c r="AC198" i="3"/>
  <c r="AE197" i="3"/>
  <c r="AD197" i="3"/>
  <c r="AC197" i="3"/>
  <c r="AE196" i="3"/>
  <c r="AD196" i="3"/>
  <c r="AC196" i="3"/>
  <c r="AE195" i="3"/>
  <c r="AD195" i="3"/>
  <c r="AC195" i="3"/>
  <c r="AE194" i="3"/>
  <c r="AD194" i="3"/>
  <c r="AC194" i="3"/>
  <c r="AE193" i="3"/>
  <c r="AD193" i="3"/>
  <c r="AC193" i="3"/>
  <c r="AE192" i="3"/>
  <c r="AD192" i="3"/>
  <c r="AC192" i="3"/>
  <c r="AE191" i="3"/>
  <c r="AD191" i="3"/>
  <c r="AC191" i="3"/>
  <c r="AE190" i="3"/>
  <c r="AD190" i="3"/>
  <c r="AC190" i="3"/>
  <c r="AE189" i="3"/>
  <c r="AD189" i="3"/>
  <c r="AC189" i="3"/>
  <c r="AE188" i="3"/>
  <c r="AD188" i="3"/>
  <c r="AC188" i="3"/>
  <c r="AE187" i="3"/>
  <c r="AD187" i="3"/>
  <c r="AC187" i="3"/>
  <c r="AE186" i="3"/>
  <c r="AD186" i="3"/>
  <c r="AC186" i="3"/>
  <c r="AE185" i="3"/>
  <c r="AD185" i="3"/>
  <c r="AC185" i="3"/>
  <c r="AE184" i="3"/>
  <c r="AD184" i="3"/>
  <c r="AC184" i="3"/>
  <c r="AE183" i="3"/>
  <c r="AD183" i="3"/>
  <c r="AC183" i="3"/>
  <c r="AE182" i="3"/>
  <c r="AD182" i="3"/>
  <c r="AC182" i="3"/>
  <c r="AE181" i="3"/>
  <c r="AD181" i="3"/>
  <c r="AC181" i="3"/>
  <c r="AE178" i="3"/>
  <c r="AD178" i="3"/>
  <c r="AC178" i="3"/>
  <c r="AE177" i="3"/>
  <c r="AD177" i="3"/>
  <c r="AC177" i="3"/>
  <c r="AE176" i="3"/>
  <c r="AD176" i="3"/>
  <c r="AC176" i="3"/>
  <c r="AE175" i="3"/>
  <c r="AD175" i="3"/>
  <c r="AC175" i="3"/>
  <c r="AE174" i="3"/>
  <c r="AD174" i="3"/>
  <c r="AC174" i="3"/>
  <c r="AE173" i="3"/>
  <c r="AD173" i="3"/>
  <c r="AC173" i="3"/>
  <c r="AE180" i="3"/>
  <c r="AD180" i="3"/>
  <c r="AC180" i="3"/>
  <c r="AE179" i="3"/>
  <c r="AD179" i="3"/>
  <c r="AC179" i="3"/>
  <c r="AE172" i="3"/>
  <c r="AD172" i="3"/>
  <c r="AC172" i="3"/>
  <c r="AE171" i="3"/>
  <c r="AD171" i="3"/>
  <c r="AC171" i="3"/>
  <c r="AE170" i="3"/>
  <c r="AD170" i="3"/>
  <c r="AC170" i="3"/>
  <c r="AE166" i="3"/>
  <c r="AD166" i="3"/>
  <c r="AC166" i="3"/>
  <c r="AE168" i="3"/>
  <c r="AD168" i="3"/>
  <c r="AC168" i="3"/>
  <c r="AE165" i="3"/>
  <c r="AD165" i="3"/>
  <c r="AC165" i="3"/>
  <c r="AE164" i="3"/>
  <c r="AD164" i="3"/>
  <c r="AC164" i="3"/>
  <c r="AE169" i="3"/>
  <c r="AD169" i="3"/>
  <c r="AC169" i="3"/>
  <c r="AE167" i="3"/>
  <c r="AD167" i="3"/>
  <c r="AC167" i="3"/>
  <c r="AE163" i="3"/>
  <c r="AD163" i="3"/>
  <c r="AC163" i="3"/>
  <c r="AE162" i="3"/>
  <c r="AD162" i="3"/>
  <c r="AC162" i="3"/>
  <c r="AE161" i="3"/>
  <c r="AD161" i="3"/>
  <c r="AC161" i="3"/>
  <c r="AE160" i="3"/>
  <c r="AD160" i="3"/>
  <c r="AC160" i="3"/>
  <c r="AE159" i="3"/>
  <c r="AD159" i="3"/>
  <c r="AC159" i="3"/>
  <c r="AE158" i="3"/>
  <c r="AD158" i="3"/>
  <c r="AC158" i="3"/>
  <c r="AE157" i="3"/>
  <c r="AD157" i="3"/>
  <c r="AC157" i="3"/>
  <c r="AE156" i="3"/>
  <c r="AD156" i="3"/>
  <c r="AC156" i="3"/>
  <c r="AE155" i="3"/>
  <c r="AD155" i="3"/>
  <c r="AC155" i="3"/>
  <c r="AE154" i="3"/>
  <c r="AD154" i="3"/>
  <c r="AC154" i="3"/>
  <c r="AE153" i="3"/>
  <c r="AD153" i="3"/>
  <c r="AC153" i="3"/>
  <c r="AE152" i="3"/>
  <c r="AD152" i="3"/>
  <c r="AC152" i="3"/>
  <c r="AE151" i="3"/>
  <c r="AD151" i="3"/>
  <c r="AC151" i="3"/>
  <c r="AE150" i="3"/>
  <c r="AD150" i="3"/>
  <c r="AC150" i="3"/>
  <c r="AE149" i="3"/>
  <c r="AD149" i="3"/>
  <c r="AC149" i="3"/>
  <c r="AE148" i="3"/>
  <c r="AD148" i="3"/>
  <c r="AC148" i="3"/>
  <c r="AE147" i="3"/>
  <c r="AD147" i="3"/>
  <c r="AC147" i="3"/>
  <c r="AE146" i="3"/>
  <c r="AD146" i="3"/>
  <c r="AC146" i="3"/>
  <c r="AE145" i="3"/>
  <c r="AD145" i="3"/>
  <c r="AC145" i="3"/>
  <c r="AE144" i="3"/>
  <c r="AD144" i="3"/>
  <c r="AC144" i="3"/>
  <c r="AE143" i="3"/>
  <c r="AD143" i="3"/>
  <c r="AC143" i="3"/>
  <c r="AE142" i="3"/>
  <c r="AD142" i="3"/>
  <c r="AC142" i="3"/>
  <c r="AE141" i="3"/>
  <c r="AD141" i="3"/>
  <c r="AC141" i="3"/>
  <c r="AE140" i="3"/>
  <c r="AD140" i="3"/>
  <c r="AC140" i="3"/>
  <c r="AE139" i="3"/>
  <c r="AD139" i="3"/>
  <c r="AC139" i="3"/>
  <c r="AE138" i="3"/>
  <c r="AD138" i="3"/>
  <c r="AC138" i="3"/>
  <c r="AE137" i="3"/>
  <c r="AD137" i="3"/>
  <c r="AC137" i="3"/>
  <c r="AE136" i="3"/>
  <c r="AD136" i="3"/>
  <c r="AC136" i="3"/>
  <c r="AE135" i="3"/>
  <c r="AD135" i="3"/>
  <c r="AC135" i="3"/>
  <c r="AE134" i="3"/>
  <c r="AD134" i="3"/>
  <c r="AC134" i="3"/>
  <c r="AE133" i="3"/>
  <c r="AD133" i="3"/>
  <c r="AC133" i="3"/>
  <c r="AE132" i="3"/>
  <c r="AD132" i="3"/>
  <c r="AC132" i="3"/>
  <c r="AE131" i="3"/>
  <c r="AD131" i="3"/>
  <c r="AC131" i="3"/>
  <c r="AE130" i="3"/>
  <c r="AD130" i="3"/>
  <c r="AC130" i="3"/>
  <c r="AE129" i="3"/>
  <c r="AD129" i="3"/>
  <c r="AC129" i="3"/>
  <c r="AE128" i="3"/>
  <c r="AD128" i="3"/>
  <c r="AC128" i="3"/>
  <c r="AE127" i="3"/>
  <c r="AD127" i="3"/>
  <c r="AC127" i="3"/>
  <c r="AE126" i="3"/>
  <c r="AD126" i="3"/>
  <c r="AC126" i="3"/>
  <c r="AE125" i="3"/>
  <c r="AD125" i="3"/>
  <c r="AC125" i="3"/>
  <c r="AE124" i="3"/>
  <c r="AD124" i="3"/>
  <c r="AC124" i="3"/>
  <c r="AE123" i="3"/>
  <c r="AD123" i="3"/>
  <c r="AC123" i="3"/>
  <c r="AE122" i="3"/>
  <c r="AD122" i="3"/>
  <c r="AC122" i="3"/>
  <c r="AE121" i="3"/>
  <c r="AD121" i="3"/>
  <c r="AC121" i="3"/>
  <c r="AE120" i="3"/>
  <c r="AD120" i="3"/>
  <c r="AC120" i="3"/>
  <c r="AE119" i="3"/>
  <c r="AD119" i="3"/>
  <c r="AC119" i="3"/>
  <c r="AE118" i="3"/>
  <c r="AD118" i="3"/>
  <c r="AC118" i="3"/>
  <c r="AE117" i="3"/>
  <c r="AD117" i="3"/>
  <c r="AC117" i="3"/>
  <c r="AE116" i="3"/>
  <c r="AD116" i="3"/>
  <c r="AC116" i="3"/>
  <c r="AE115" i="3"/>
  <c r="AD115" i="3"/>
  <c r="AC115" i="3"/>
  <c r="AE114" i="3"/>
  <c r="AD114" i="3"/>
  <c r="AC114" i="3"/>
  <c r="AE113" i="3"/>
  <c r="AD113" i="3"/>
  <c r="AC113" i="3"/>
  <c r="AE112" i="3"/>
  <c r="AD112" i="3"/>
  <c r="AC112" i="3"/>
  <c r="AE111" i="3"/>
  <c r="AD111" i="3"/>
  <c r="AC111" i="3"/>
  <c r="AE110" i="3"/>
  <c r="AD110" i="3"/>
  <c r="AC110" i="3"/>
  <c r="AE109" i="3"/>
  <c r="AD109" i="3"/>
  <c r="AC109" i="3"/>
  <c r="AE108" i="3"/>
  <c r="AD108" i="3"/>
  <c r="AC108" i="3"/>
  <c r="AE107" i="3"/>
  <c r="AD107" i="3"/>
  <c r="AC107" i="3"/>
  <c r="AE106" i="3"/>
  <c r="AD106" i="3"/>
  <c r="AC106" i="3"/>
  <c r="AE105" i="3"/>
  <c r="AD105" i="3"/>
  <c r="AC105" i="3"/>
  <c r="AE104" i="3"/>
  <c r="AD104" i="3"/>
  <c r="AC104" i="3"/>
  <c r="AE103" i="3"/>
  <c r="AD103" i="3"/>
  <c r="AC103" i="3"/>
  <c r="AE102" i="3"/>
  <c r="AD102" i="3"/>
  <c r="AC102" i="3"/>
  <c r="AE101" i="3"/>
  <c r="AD101" i="3"/>
  <c r="AC101" i="3"/>
  <c r="AE100" i="3"/>
  <c r="AD100" i="3"/>
  <c r="AC100" i="3"/>
  <c r="AE99" i="3"/>
  <c r="AD99" i="3"/>
  <c r="AC99" i="3"/>
  <c r="AE98" i="3"/>
  <c r="AD98" i="3"/>
  <c r="AC98" i="3"/>
  <c r="AE97" i="3"/>
  <c r="AD97" i="3"/>
  <c r="AC97" i="3"/>
  <c r="AE96" i="3"/>
  <c r="AD96" i="3"/>
  <c r="AC96" i="3"/>
  <c r="AE95" i="3"/>
  <c r="AD95" i="3"/>
  <c r="AC95" i="3"/>
  <c r="AE94" i="3"/>
  <c r="AD94" i="3"/>
  <c r="AC94" i="3"/>
  <c r="AE93" i="3"/>
  <c r="AD93" i="3"/>
  <c r="AC93" i="3"/>
  <c r="AE92" i="3"/>
  <c r="AD92" i="3"/>
  <c r="AC92" i="3"/>
  <c r="AE91" i="3"/>
  <c r="AD91" i="3"/>
  <c r="AC91" i="3"/>
  <c r="AE90" i="3"/>
  <c r="AD90" i="3"/>
  <c r="AC90" i="3"/>
  <c r="AE89" i="3"/>
  <c r="AD89" i="3"/>
  <c r="AC89" i="3"/>
  <c r="AE88" i="3"/>
  <c r="AD88" i="3"/>
  <c r="AC88" i="3"/>
  <c r="AE87" i="3"/>
  <c r="AD87" i="3"/>
  <c r="AC87" i="3"/>
  <c r="AE86" i="3"/>
  <c r="AD86" i="3"/>
  <c r="AC86" i="3"/>
  <c r="AE85" i="3"/>
  <c r="AD85" i="3"/>
  <c r="AC85" i="3"/>
  <c r="AE84" i="3"/>
  <c r="AD84" i="3"/>
  <c r="AC84" i="3"/>
  <c r="AE83" i="3"/>
  <c r="AD83" i="3"/>
  <c r="AC83" i="3"/>
  <c r="AE82" i="3"/>
  <c r="AD82" i="3"/>
  <c r="AC82" i="3"/>
  <c r="AE81" i="3"/>
  <c r="AD81" i="3"/>
  <c r="AC81" i="3"/>
  <c r="AE80" i="3"/>
  <c r="AD80" i="3"/>
  <c r="AC80" i="3"/>
  <c r="AE79" i="3"/>
  <c r="AD79" i="3"/>
  <c r="AC79" i="3"/>
  <c r="AE78" i="3"/>
  <c r="AD78" i="3"/>
  <c r="AC78" i="3"/>
  <c r="AE77" i="3"/>
  <c r="AD77" i="3"/>
  <c r="AC77" i="3"/>
  <c r="AE76" i="3"/>
  <c r="AD76" i="3"/>
  <c r="AC76" i="3"/>
  <c r="AE75" i="3"/>
  <c r="AD75" i="3"/>
  <c r="AC75" i="3"/>
  <c r="AE74" i="3"/>
  <c r="AD74" i="3"/>
  <c r="AC74" i="3"/>
  <c r="AE73" i="3"/>
  <c r="AD73" i="3"/>
  <c r="AC73" i="3"/>
  <c r="AE72" i="3"/>
  <c r="AD72" i="3"/>
  <c r="AC72" i="3"/>
  <c r="AE71" i="3"/>
  <c r="AD71" i="3"/>
  <c r="AC71" i="3"/>
  <c r="AE70" i="3"/>
  <c r="AD70" i="3"/>
  <c r="AC70" i="3"/>
  <c r="AE69" i="3"/>
  <c r="AD69" i="3"/>
  <c r="AC69" i="3"/>
  <c r="AE68" i="3"/>
  <c r="AD68" i="3"/>
  <c r="AC68" i="3"/>
  <c r="AE67" i="3"/>
  <c r="AD67" i="3"/>
  <c r="AC67" i="3"/>
  <c r="AE66" i="3"/>
  <c r="AD66" i="3"/>
  <c r="AC66" i="3"/>
  <c r="AE65" i="3"/>
  <c r="AD65" i="3"/>
  <c r="AC65" i="3"/>
  <c r="AE64" i="3"/>
  <c r="AD64" i="3"/>
  <c r="AC64" i="3"/>
  <c r="AE63" i="3"/>
  <c r="AD63" i="3"/>
  <c r="AC63" i="3"/>
  <c r="AE62" i="3"/>
  <c r="AD62" i="3"/>
  <c r="AC62" i="3"/>
  <c r="AE61" i="3"/>
  <c r="AD61" i="3"/>
  <c r="AC61" i="3"/>
  <c r="AE60" i="3"/>
  <c r="AD60" i="3"/>
  <c r="AC60" i="3"/>
  <c r="AE59" i="3"/>
  <c r="AD59" i="3"/>
  <c r="AC59" i="3"/>
  <c r="AE58" i="3"/>
  <c r="AD58" i="3"/>
  <c r="AC58" i="3"/>
  <c r="AE57" i="3"/>
  <c r="AD57" i="3"/>
  <c r="AC57" i="3"/>
  <c r="AE56" i="3"/>
  <c r="AD56" i="3"/>
  <c r="AC56" i="3"/>
  <c r="AE55" i="3"/>
  <c r="AD55" i="3"/>
  <c r="AC55" i="3"/>
  <c r="AE54" i="3"/>
  <c r="AD54" i="3"/>
  <c r="AC54" i="3"/>
  <c r="AE53" i="3"/>
  <c r="AD53" i="3"/>
  <c r="AC53" i="3"/>
  <c r="AE52" i="3"/>
  <c r="AD52" i="3"/>
  <c r="AC52" i="3"/>
  <c r="AE51" i="3"/>
  <c r="AD51" i="3"/>
  <c r="AC51" i="3"/>
  <c r="AE50" i="3"/>
  <c r="AD50" i="3"/>
  <c r="AC50" i="3"/>
  <c r="AE49" i="3"/>
  <c r="AD49" i="3"/>
  <c r="AC49" i="3"/>
  <c r="AE48" i="3"/>
  <c r="AD48" i="3"/>
  <c r="AC48" i="3"/>
  <c r="AE47" i="3"/>
  <c r="AD47" i="3"/>
  <c r="AC47" i="3"/>
  <c r="AE46" i="3"/>
  <c r="AD46" i="3"/>
  <c r="AC46" i="3"/>
  <c r="AE45" i="3"/>
  <c r="AD45" i="3"/>
  <c r="AC45" i="3"/>
  <c r="AE44" i="3"/>
  <c r="AD44" i="3"/>
  <c r="AC44" i="3"/>
  <c r="AE43" i="3"/>
  <c r="AD43" i="3"/>
  <c r="AC43" i="3"/>
  <c r="AE42" i="3"/>
  <c r="AD42" i="3"/>
  <c r="AC42" i="3"/>
  <c r="AE41" i="3"/>
  <c r="AD41" i="3"/>
  <c r="AC41" i="3"/>
  <c r="AE40" i="3"/>
  <c r="AD40" i="3"/>
  <c r="AC40" i="3"/>
  <c r="AE39" i="3"/>
  <c r="AD39" i="3"/>
  <c r="AC39" i="3"/>
  <c r="AE38" i="3"/>
  <c r="AD38" i="3"/>
  <c r="AC38" i="3"/>
  <c r="AE37" i="3"/>
  <c r="AD37" i="3"/>
  <c r="AC37" i="3"/>
  <c r="AE36" i="3"/>
  <c r="AD36" i="3"/>
  <c r="AC36" i="3"/>
  <c r="AE35" i="3"/>
  <c r="AD35" i="3"/>
  <c r="AC35" i="3"/>
  <c r="AE34" i="3"/>
  <c r="AD34" i="3"/>
  <c r="AC34" i="3"/>
  <c r="AE33" i="3"/>
  <c r="AD33" i="3"/>
  <c r="AC33" i="3"/>
  <c r="AE32" i="3"/>
  <c r="AD32" i="3"/>
  <c r="AC32" i="3"/>
  <c r="AE31" i="3"/>
  <c r="AD31" i="3"/>
  <c r="AC31" i="3"/>
  <c r="AE30" i="3"/>
  <c r="AD30" i="3"/>
  <c r="AC30" i="3"/>
  <c r="AE29" i="3"/>
  <c r="AD29" i="3"/>
  <c r="AC29" i="3"/>
  <c r="AE28" i="3"/>
  <c r="AD28" i="3"/>
  <c r="AC28" i="3"/>
  <c r="AE27" i="3"/>
  <c r="AD27" i="3"/>
  <c r="AC27" i="3"/>
  <c r="AE26" i="3"/>
  <c r="AD26" i="3"/>
  <c r="AC26" i="3"/>
  <c r="AE25" i="3"/>
  <c r="AD25" i="3"/>
  <c r="AC25" i="3"/>
  <c r="AE24" i="3"/>
  <c r="AD24" i="3"/>
  <c r="AC24" i="3"/>
  <c r="AE23" i="3"/>
  <c r="AD23" i="3"/>
  <c r="AC23" i="3"/>
  <c r="AE22" i="3"/>
  <c r="AD22" i="3"/>
  <c r="AC22" i="3"/>
  <c r="AE21" i="3"/>
  <c r="AD21" i="3"/>
  <c r="AC21" i="3"/>
  <c r="AE20" i="3"/>
  <c r="AD20" i="3"/>
  <c r="AC20" i="3"/>
  <c r="AE19" i="3"/>
  <c r="AD19" i="3"/>
  <c r="AC19" i="3"/>
  <c r="AE18" i="3"/>
  <c r="AD18" i="3"/>
  <c r="AC18" i="3"/>
  <c r="AE17" i="3"/>
  <c r="AD17" i="3"/>
  <c r="AC17" i="3"/>
  <c r="AE16" i="3"/>
  <c r="AD16" i="3"/>
  <c r="AC16" i="3"/>
  <c r="AE15" i="3"/>
  <c r="AD15" i="3"/>
  <c r="AC15" i="3"/>
  <c r="AE14" i="3"/>
  <c r="AD14" i="3"/>
  <c r="AC14" i="3"/>
  <c r="AE13" i="3"/>
  <c r="AD13" i="3"/>
  <c r="AC13" i="3"/>
  <c r="AE12" i="3"/>
  <c r="AD12" i="3"/>
  <c r="AC12" i="3"/>
  <c r="AE11" i="3"/>
  <c r="AD11" i="3"/>
  <c r="AC11" i="3"/>
  <c r="AE10" i="3"/>
  <c r="AD10" i="3"/>
  <c r="AC10" i="3"/>
  <c r="AE9" i="3"/>
  <c r="AD9" i="3"/>
  <c r="AC9" i="3"/>
  <c r="AE8" i="3"/>
  <c r="AD8" i="3"/>
  <c r="AC8" i="3"/>
  <c r="AE7" i="3"/>
  <c r="AD7" i="3"/>
  <c r="AC7" i="3"/>
  <c r="AE6" i="3"/>
  <c r="AD6" i="3"/>
  <c r="AC6" i="3"/>
  <c r="AE5" i="3"/>
  <c r="AD5" i="3"/>
  <c r="AC5" i="3"/>
  <c r="AE4" i="3"/>
  <c r="AD4" i="3"/>
  <c r="AC4" i="3"/>
  <c r="AE3" i="3"/>
  <c r="AD3" i="3"/>
  <c r="AC3" i="3"/>
  <c r="AE2" i="3"/>
  <c r="AD2" i="3"/>
  <c r="AC2" i="3"/>
  <c r="A474" i="12"/>
  <c r="A237" i="12"/>
  <c r="A22" i="12"/>
  <c r="FC32" i="8"/>
  <c r="GY14" i="8"/>
  <c r="CU32" i="8"/>
  <c r="AA35" i="8"/>
  <c r="A571" i="12"/>
  <c r="A332" i="12"/>
  <c r="A109" i="12"/>
  <c r="FO35" i="8"/>
  <c r="EE34" i="8"/>
  <c r="DG35" i="8"/>
  <c r="CU13" i="8"/>
  <c r="C21" i="8"/>
  <c r="A491" i="12"/>
  <c r="A252" i="12"/>
  <c r="A37" i="12"/>
  <c r="GM47" i="8"/>
  <c r="EQ44" i="8"/>
  <c r="FO14" i="8"/>
  <c r="BK32" i="8"/>
  <c r="BK12" i="8"/>
  <c r="AY33" i="8"/>
  <c r="AM23" i="8"/>
  <c r="GA30" i="8"/>
  <c r="A390" i="12"/>
  <c r="A163" i="12"/>
  <c r="GA46" i="8"/>
  <c r="FC35" i="8"/>
  <c r="HK10" i="8"/>
  <c r="EE49" i="8"/>
  <c r="A320" i="12"/>
  <c r="A454" i="12"/>
  <c r="A211" i="12"/>
  <c r="HW27" i="8"/>
  <c r="GM26" i="8"/>
  <c r="CU3" i="8"/>
  <c r="FO5" i="8"/>
  <c r="AA47" i="8"/>
  <c r="BK23" i="8"/>
  <c r="A450" i="12"/>
  <c r="A210" i="12"/>
  <c r="HW12" i="8"/>
  <c r="GM10" i="8"/>
  <c r="CI43" i="8"/>
  <c r="FC9" i="8"/>
  <c r="AA32" i="8"/>
  <c r="AM7" i="8"/>
  <c r="BW14" i="8"/>
  <c r="A63" i="12"/>
  <c r="A447" i="12"/>
  <c r="A209" i="12"/>
  <c r="HK38" i="8"/>
  <c r="GA36" i="8"/>
  <c r="CI29" i="8"/>
  <c r="EQ4" i="8"/>
  <c r="AM36" i="8"/>
  <c r="A579" i="12"/>
  <c r="A345" i="12"/>
  <c r="A120" i="12"/>
  <c r="GM30" i="8"/>
  <c r="FC29" i="8"/>
  <c r="EQ26" i="8"/>
  <c r="DG48" i="8"/>
  <c r="A423" i="12"/>
  <c r="A191" i="12"/>
  <c r="FO16" i="8"/>
  <c r="HW19" i="8"/>
  <c r="FC15" i="8"/>
  <c r="BW46" i="8"/>
  <c r="AY16" i="8"/>
  <c r="AA27" i="8"/>
  <c r="A594" i="12"/>
  <c r="A357" i="12"/>
  <c r="A133" i="12"/>
  <c r="HK40" i="8"/>
  <c r="GA39" i="8"/>
  <c r="BW11" i="8"/>
  <c r="AY45" i="8"/>
  <c r="BK6" i="8"/>
  <c r="DG31" i="8"/>
  <c r="O16" i="8"/>
  <c r="A439" i="12"/>
  <c r="DS27" i="8"/>
  <c r="AA23" i="8"/>
  <c r="HK32" i="8"/>
  <c r="A42" i="12"/>
  <c r="FO6" i="8"/>
  <c r="A8" i="12"/>
  <c r="DS5" i="8"/>
  <c r="HK41" i="8"/>
  <c r="FC27" i="8"/>
  <c r="AM31" i="8"/>
  <c r="GY20" i="8"/>
  <c r="O12" i="8"/>
  <c r="DG28" i="8"/>
  <c r="BW7" i="8"/>
  <c r="DS10" i="8"/>
  <c r="A286" i="12"/>
  <c r="A458" i="12"/>
  <c r="A219" i="12"/>
  <c r="A6" i="12"/>
  <c r="GY46" i="8"/>
  <c r="DG7" i="8"/>
  <c r="GM15" i="8"/>
  <c r="C42" i="8"/>
  <c r="A551" i="12"/>
  <c r="A312" i="12"/>
  <c r="A92" i="12"/>
  <c r="HK34" i="8"/>
  <c r="GY27" i="8"/>
  <c r="BW4" i="8"/>
  <c r="CU22" i="8"/>
  <c r="A576" i="12"/>
  <c r="A472" i="12"/>
  <c r="A234" i="12"/>
  <c r="A20" i="12"/>
  <c r="EQ42" i="8"/>
  <c r="GM31" i="8"/>
  <c r="CI42" i="8"/>
  <c r="O3" i="8"/>
  <c r="O4" i="8"/>
  <c r="AM6" i="8"/>
  <c r="AY3" i="8"/>
  <c r="DS34" i="8"/>
  <c r="A370" i="12"/>
  <c r="A143" i="12"/>
  <c r="EE41" i="8"/>
  <c r="HK7" i="8"/>
  <c r="CU36" i="8"/>
  <c r="C43" i="8"/>
  <c r="A187" i="12"/>
  <c r="A427" i="12"/>
  <c r="A195" i="12"/>
  <c r="GA22" i="8"/>
  <c r="EQ21" i="8"/>
  <c r="AY29" i="8"/>
  <c r="CU10" i="8"/>
  <c r="BW36" i="8"/>
  <c r="C35" i="8"/>
  <c r="A426" i="12"/>
  <c r="A194" i="12"/>
  <c r="GA6" i="8"/>
  <c r="EQ5" i="8"/>
  <c r="AY13" i="8"/>
  <c r="CI36" i="8"/>
  <c r="BK13" i="8"/>
  <c r="AY18" i="8"/>
  <c r="C36" i="8"/>
  <c r="FC37" i="8"/>
  <c r="A425" i="12"/>
  <c r="A193" i="12"/>
  <c r="FO47" i="8"/>
  <c r="HW49" i="8"/>
  <c r="AM39" i="8"/>
  <c r="CI20" i="8"/>
  <c r="AA48" i="8"/>
  <c r="A558" i="12"/>
  <c r="A325" i="12"/>
  <c r="A103" i="12"/>
  <c r="EQ40" i="8"/>
  <c r="HW22" i="8"/>
  <c r="CI40" i="8"/>
  <c r="CI26" i="8"/>
  <c r="A398" i="12"/>
  <c r="A171" i="12"/>
  <c r="HK15" i="8"/>
  <c r="GA44" i="8"/>
  <c r="CI37" i="8"/>
  <c r="GY30" i="8"/>
  <c r="C12" i="8"/>
  <c r="AM4" i="8"/>
  <c r="A573" i="12"/>
  <c r="A335" i="12"/>
  <c r="A112" i="12"/>
  <c r="GA9" i="8"/>
  <c r="EQ7" i="8"/>
  <c r="DS38" i="8"/>
  <c r="CU43" i="8"/>
  <c r="O24" i="8"/>
  <c r="EE47" i="8"/>
  <c r="CU46" i="8"/>
  <c r="A240" i="12"/>
  <c r="GM25" i="8"/>
  <c r="C9" i="8"/>
  <c r="BK19" i="8"/>
  <c r="EQ18" i="8"/>
  <c r="DS17" i="8"/>
  <c r="GM9" i="8"/>
  <c r="A395" i="12"/>
  <c r="BK9" i="8"/>
  <c r="A432" i="12"/>
  <c r="A200" i="12"/>
  <c r="GM42" i="8"/>
  <c r="FC41" i="8"/>
  <c r="BK34" i="8"/>
  <c r="BK26" i="8"/>
  <c r="O19" i="8"/>
  <c r="A534" i="12"/>
  <c r="A294" i="12"/>
  <c r="A73" i="12"/>
  <c r="GA3" i="8"/>
  <c r="FC22" i="8"/>
  <c r="EE12" i="8"/>
  <c r="FO30" i="8"/>
  <c r="A343" i="12"/>
  <c r="A456" i="12"/>
  <c r="A214" i="12"/>
  <c r="A3" i="12"/>
  <c r="GY15" i="8"/>
  <c r="CU33" i="8"/>
  <c r="GA10" i="8"/>
  <c r="AM22" i="8"/>
  <c r="AM42" i="8"/>
  <c r="DS42" i="8"/>
  <c r="C4" i="8"/>
  <c r="A590" i="12"/>
  <c r="A349" i="12"/>
  <c r="A125" i="12"/>
  <c r="GY35" i="8"/>
  <c r="FO34" i="8"/>
  <c r="AY46" i="8"/>
  <c r="O20" i="8"/>
  <c r="A9" i="12"/>
  <c r="A407" i="12"/>
  <c r="A179" i="12"/>
  <c r="HW20" i="8"/>
  <c r="GM49" i="8"/>
  <c r="DG16" i="8"/>
  <c r="AY5" i="8"/>
  <c r="O5" i="8"/>
  <c r="EE6" i="8"/>
  <c r="A404" i="12"/>
  <c r="A178" i="12"/>
  <c r="HW5" i="8"/>
  <c r="GM35" i="8"/>
  <c r="CU42" i="8"/>
  <c r="AM46" i="8"/>
  <c r="C46" i="8"/>
  <c r="AM48" i="8"/>
  <c r="C32" i="8"/>
  <c r="HW4" i="8"/>
  <c r="A400" i="12"/>
  <c r="A177" i="12"/>
  <c r="HK46" i="8"/>
  <c r="GM19" i="8"/>
  <c r="CU27" i="8"/>
  <c r="HW46" i="8"/>
  <c r="EE16" i="8"/>
  <c r="A541" i="12"/>
  <c r="A305" i="12"/>
  <c r="A82" i="12"/>
  <c r="GM39" i="8"/>
  <c r="GA32" i="8"/>
  <c r="AY9" i="8"/>
  <c r="C40" i="8"/>
  <c r="A380" i="12"/>
  <c r="A154" i="12"/>
  <c r="FO10" i="8"/>
  <c r="EQ14" i="8"/>
  <c r="DS45" i="8"/>
  <c r="DG9" i="8"/>
  <c r="AM43" i="8"/>
  <c r="AY11" i="8"/>
  <c r="A553" i="12"/>
  <c r="A315" i="12"/>
  <c r="A95" i="12"/>
  <c r="HW7" i="8"/>
  <c r="HK16" i="8"/>
  <c r="BW35" i="8"/>
  <c r="DG12" i="8"/>
  <c r="BK15" i="8"/>
  <c r="AY30" i="8"/>
  <c r="O35" i="8"/>
  <c r="A98" i="12"/>
  <c r="CU35" i="8"/>
  <c r="A498" i="12"/>
  <c r="AA25" i="8"/>
  <c r="GY24" i="8"/>
  <c r="A477" i="12"/>
  <c r="CI9" i="8"/>
  <c r="C37" i="8"/>
  <c r="O47" i="8"/>
  <c r="GM40" i="8"/>
  <c r="A169" i="12"/>
  <c r="CI23" i="8"/>
  <c r="HK29" i="8"/>
  <c r="A137" i="12"/>
  <c r="GM43" i="8"/>
  <c r="CI15" i="8"/>
  <c r="BK35" i="8"/>
  <c r="A538" i="12"/>
  <c r="A536" i="12"/>
  <c r="A297" i="12"/>
  <c r="GA34" i="8"/>
  <c r="FO12" i="8"/>
  <c r="GA35" i="8"/>
  <c r="O32" i="8"/>
  <c r="O13" i="8"/>
  <c r="GY41" i="8"/>
  <c r="EE21" i="8"/>
  <c r="A278" i="12"/>
  <c r="EE19" i="8"/>
  <c r="DS26" i="8"/>
  <c r="BK42" i="8"/>
  <c r="AA12" i="8"/>
  <c r="GY26" i="8"/>
  <c r="CU7" i="8"/>
  <c r="O6" i="8"/>
  <c r="FO22" i="8"/>
  <c r="GA48" i="8"/>
  <c r="A24" i="12"/>
  <c r="O43" i="8"/>
  <c r="BW15" i="8"/>
  <c r="A521" i="12"/>
  <c r="DS41" i="8"/>
  <c r="A295" i="12"/>
  <c r="HW39" i="8"/>
  <c r="A415" i="12"/>
  <c r="A183" i="12"/>
  <c r="EQ38" i="8"/>
  <c r="HK14" i="8"/>
  <c r="DS31" i="8"/>
  <c r="CU4" i="8"/>
  <c r="O25" i="8"/>
  <c r="A512" i="12"/>
  <c r="A274" i="12"/>
  <c r="A56" i="12"/>
  <c r="EE29" i="8"/>
  <c r="GM34" i="8"/>
  <c r="CI34" i="8"/>
  <c r="DG14" i="8"/>
  <c r="A170" i="12"/>
  <c r="A429" i="12"/>
  <c r="A198" i="12"/>
  <c r="GM12" i="8"/>
  <c r="FC11" i="8"/>
  <c r="BK3" i="8"/>
  <c r="CU41" i="8"/>
  <c r="EE42" i="8"/>
  <c r="C7" i="8"/>
  <c r="CI39" i="8"/>
  <c r="BW27" i="8"/>
  <c r="A569" i="12"/>
  <c r="A329" i="12"/>
  <c r="A107" i="12"/>
  <c r="FO4" i="8"/>
  <c r="EE3" i="8"/>
  <c r="DG4" i="8"/>
  <c r="C18" i="8"/>
  <c r="HK27" i="8"/>
  <c r="A386" i="12"/>
  <c r="A162" i="12"/>
  <c r="GA31" i="8"/>
  <c r="FC19" i="8"/>
  <c r="GY44" i="8"/>
  <c r="DS22" i="8"/>
  <c r="BW48" i="8"/>
  <c r="AA43" i="8"/>
  <c r="A384" i="12"/>
  <c r="A158" i="12"/>
  <c r="GA15" i="8"/>
  <c r="FC4" i="8"/>
  <c r="GY36" i="8"/>
  <c r="DS12" i="8"/>
  <c r="BK46" i="8"/>
  <c r="C19" i="8"/>
  <c r="AM44" i="8"/>
  <c r="FO7" i="8"/>
  <c r="A383" i="12"/>
  <c r="A157" i="12"/>
  <c r="FO41" i="8"/>
  <c r="EQ45" i="8"/>
  <c r="FC6" i="8"/>
  <c r="DG40" i="8"/>
  <c r="AY43" i="8"/>
  <c r="A519" i="12"/>
  <c r="A284" i="12"/>
  <c r="A65" i="12"/>
  <c r="FC8" i="8"/>
  <c r="DG29" i="8"/>
  <c r="A597" i="12"/>
  <c r="A361" i="12"/>
  <c r="HW44" i="8"/>
  <c r="C25" i="8"/>
  <c r="A78" i="12"/>
  <c r="EQ9" i="8"/>
  <c r="CU38" i="8"/>
  <c r="A62" i="12"/>
  <c r="A239" i="12"/>
  <c r="A135" i="12"/>
  <c r="AY12" i="8"/>
  <c r="AM5" i="8"/>
  <c r="FO27" i="8"/>
  <c r="DG42" i="8"/>
  <c r="EQ47" i="8"/>
  <c r="DS14" i="8"/>
  <c r="EE35" i="8"/>
  <c r="A259" i="12"/>
  <c r="FO15" i="8"/>
  <c r="FC31" i="8"/>
  <c r="A77" i="12"/>
  <c r="A393" i="12"/>
  <c r="A167" i="12"/>
  <c r="GM36" i="8"/>
  <c r="FO25" i="8"/>
  <c r="BW32" i="8"/>
  <c r="CU28" i="8"/>
  <c r="DG21" i="8"/>
  <c r="A492" i="12"/>
  <c r="A253" i="12"/>
  <c r="A38" i="12"/>
  <c r="GY6" i="8"/>
  <c r="FC3" i="8"/>
  <c r="FO45" i="8"/>
  <c r="BK40" i="8"/>
  <c r="GY47" i="8"/>
  <c r="A413" i="12"/>
  <c r="A181" i="12"/>
  <c r="EQ6" i="8"/>
  <c r="GY25" i="8"/>
  <c r="DG47" i="8"/>
  <c r="AY37" i="8"/>
  <c r="O36" i="8"/>
  <c r="C10" i="8"/>
  <c r="AA4" i="8"/>
  <c r="O42" i="8"/>
  <c r="A549" i="12"/>
  <c r="A310" i="12"/>
  <c r="A87" i="12"/>
  <c r="HK3" i="8"/>
  <c r="GM37" i="8"/>
  <c r="BK30" i="8"/>
  <c r="O41" i="8"/>
  <c r="HK47" i="8"/>
  <c r="A366" i="12"/>
  <c r="A142" i="12"/>
  <c r="EE26" i="8"/>
  <c r="GY48" i="8"/>
  <c r="CU20" i="8"/>
  <c r="BW40" i="8"/>
  <c r="O44" i="8"/>
  <c r="AM19" i="8"/>
  <c r="A364" i="12"/>
  <c r="A141" i="12"/>
  <c r="EE11" i="8"/>
  <c r="GY33" i="8"/>
  <c r="CU5" i="8"/>
  <c r="BW25" i="8"/>
  <c r="O30" i="8"/>
  <c r="EE25" i="8"/>
  <c r="AM13" i="8"/>
  <c r="CI22" i="8"/>
  <c r="A363" i="12"/>
  <c r="A140" i="12"/>
  <c r="DS36" i="8"/>
  <c r="GY17" i="8"/>
  <c r="CI46" i="8"/>
  <c r="BW9" i="8"/>
  <c r="BK27" i="8"/>
  <c r="A502" i="12"/>
  <c r="A261" i="12"/>
  <c r="A49" i="12"/>
  <c r="HW16" i="8"/>
  <c r="FO39" i="8"/>
  <c r="BK39" i="8"/>
  <c r="A577" i="12"/>
  <c r="A344" i="12"/>
  <c r="A119" i="12"/>
  <c r="GM14" i="8"/>
  <c r="FC13" i="8"/>
  <c r="EE45" i="8"/>
  <c r="DG34" i="8"/>
  <c r="AA29" i="8"/>
  <c r="A397" i="12"/>
  <c r="A515" i="12"/>
  <c r="A276" i="12"/>
  <c r="A58" i="12"/>
  <c r="EQ3" i="8"/>
  <c r="GY7" i="8"/>
  <c r="DG44" i="8"/>
  <c r="GA4" i="8"/>
  <c r="AM25" i="8"/>
  <c r="HW25" i="8"/>
  <c r="HW43" i="8"/>
  <c r="AA44" i="8"/>
  <c r="BK11" i="8"/>
  <c r="CI41" i="8"/>
  <c r="A48" i="12"/>
  <c r="BK48" i="8"/>
  <c r="CI10" i="8"/>
  <c r="GA17" i="8"/>
  <c r="A376" i="12"/>
  <c r="A149" i="12"/>
  <c r="EQ46" i="8"/>
  <c r="HW13" i="8"/>
  <c r="DG41" i="8"/>
  <c r="DG30" i="8"/>
  <c r="A596" i="12"/>
  <c r="A473" i="12"/>
  <c r="A235" i="12"/>
  <c r="A21" i="12"/>
  <c r="FC16" i="8"/>
  <c r="GY5" i="8"/>
  <c r="CU16" i="8"/>
  <c r="O17" i="8"/>
  <c r="HK37" i="8"/>
  <c r="A391" i="12"/>
  <c r="A164" i="12"/>
  <c r="GM5" i="8"/>
  <c r="FC49" i="8"/>
  <c r="HK19" i="8"/>
  <c r="EE4" i="8"/>
  <c r="DG5" i="8"/>
  <c r="O9" i="8"/>
  <c r="AY28" i="8"/>
  <c r="CU15" i="8"/>
  <c r="A528" i="12"/>
  <c r="A292" i="12"/>
  <c r="A70" i="12"/>
  <c r="FO29" i="8"/>
  <c r="HW34" i="8"/>
  <c r="DS19" i="8"/>
  <c r="AM30" i="8"/>
  <c r="A589" i="12"/>
  <c r="A348" i="12"/>
  <c r="A124" i="12"/>
  <c r="GY19" i="8"/>
  <c r="FO17" i="8"/>
  <c r="AY32" i="8"/>
  <c r="DS49" i="8"/>
  <c r="AM47" i="8"/>
  <c r="A585" i="12"/>
  <c r="A347" i="12"/>
  <c r="A122" i="12"/>
  <c r="GY4" i="8"/>
  <c r="FO3" i="8"/>
  <c r="AY15" i="8"/>
  <c r="DS32" i="8"/>
  <c r="AM17" i="8"/>
  <c r="CI35" i="8"/>
  <c r="C15" i="8"/>
  <c r="A583" i="12"/>
  <c r="A346" i="12"/>
  <c r="A121" i="12"/>
  <c r="GM44" i="8"/>
  <c r="FC44" i="8"/>
  <c r="AM41" i="8"/>
  <c r="DS8" i="8"/>
  <c r="A556" i="12"/>
  <c r="A485" i="12"/>
  <c r="A242" i="12"/>
  <c r="A29" i="12"/>
  <c r="GA12" i="8"/>
  <c r="EE7" i="8"/>
  <c r="DS15" i="8"/>
  <c r="A557" i="12"/>
  <c r="A324" i="12"/>
  <c r="A99" i="12"/>
  <c r="EQ25" i="8"/>
  <c r="HW6" i="8"/>
  <c r="CI25" i="8"/>
  <c r="DS46" i="8"/>
  <c r="CI7" i="8"/>
  <c r="A279" i="12"/>
  <c r="A497" i="12"/>
  <c r="A256" i="12"/>
  <c r="A41" i="12"/>
  <c r="GY37" i="8"/>
  <c r="FC34" i="8"/>
  <c r="GA49" i="8"/>
  <c r="CU31" i="8"/>
  <c r="AM10" i="8"/>
  <c r="BK44" i="8"/>
  <c r="AA10" i="8"/>
  <c r="EE40" i="8"/>
  <c r="C47" i="8"/>
  <c r="DG6" i="8"/>
  <c r="BW26" i="8"/>
  <c r="DG18" i="8"/>
  <c r="HK12" i="8"/>
  <c r="BW3" i="8"/>
  <c r="A186" i="12"/>
  <c r="CU23" i="8"/>
  <c r="AM15" i="8"/>
  <c r="A595" i="12"/>
  <c r="A359" i="12"/>
  <c r="A313" i="12"/>
  <c r="HK48" i="8"/>
  <c r="BW19" i="8"/>
  <c r="A414" i="12"/>
  <c r="EQ22" i="8"/>
  <c r="A570" i="12"/>
  <c r="FO19" i="8"/>
  <c r="HK35" i="8"/>
  <c r="AY34" i="8"/>
  <c r="A230" i="12"/>
  <c r="EQ27" i="8"/>
  <c r="CI19" i="8"/>
  <c r="A291" i="12"/>
  <c r="HW17" i="8"/>
  <c r="AA20" i="8"/>
  <c r="A68" i="12"/>
  <c r="DS3" i="8"/>
  <c r="FC24" i="8"/>
  <c r="DN55" i="8"/>
  <c r="FO33" i="8"/>
  <c r="CI5" i="8"/>
  <c r="FO23" i="8"/>
  <c r="C5" i="8"/>
  <c r="A201" i="12"/>
  <c r="DG46" i="8"/>
  <c r="AA26" i="8"/>
  <c r="A79" i="12"/>
  <c r="HW15" i="8"/>
  <c r="HW14" i="8"/>
  <c r="FC38" i="8"/>
  <c r="A165" i="12"/>
  <c r="A593" i="12"/>
  <c r="A353" i="12"/>
  <c r="A129" i="12"/>
  <c r="HK25" i="8"/>
  <c r="GA24" i="8"/>
  <c r="BK36" i="8"/>
  <c r="BK16" i="8"/>
  <c r="A360" i="12"/>
  <c r="A457" i="12"/>
  <c r="A215" i="12"/>
  <c r="A5" i="12"/>
  <c r="GY31" i="8"/>
  <c r="CU48" i="8"/>
  <c r="GA41" i="8"/>
  <c r="AY49" i="8"/>
  <c r="GY39" i="8"/>
  <c r="A371" i="12"/>
  <c r="A144" i="12"/>
  <c r="EQ15" i="8"/>
  <c r="HK23" i="8"/>
  <c r="DG11" i="8"/>
  <c r="CI30" i="8"/>
  <c r="AA19" i="8"/>
  <c r="CI27" i="8"/>
  <c r="AM40" i="8"/>
  <c r="AA34" i="8"/>
  <c r="A507" i="12"/>
  <c r="A272" i="12"/>
  <c r="A53" i="12"/>
  <c r="DS39" i="8"/>
  <c r="GM3" i="8"/>
  <c r="CI3" i="8"/>
  <c r="C49" i="8"/>
  <c r="A568" i="12"/>
  <c r="A328" i="12"/>
  <c r="A106" i="12"/>
  <c r="FC45" i="8"/>
  <c r="DS43" i="8"/>
  <c r="CU45" i="8"/>
  <c r="EQ32" i="8"/>
  <c r="C3" i="8"/>
  <c r="A564" i="12"/>
  <c r="A327" i="12"/>
  <c r="A105" i="12"/>
  <c r="FC30" i="8"/>
  <c r="DS29" i="8"/>
  <c r="CU30" i="8"/>
  <c r="EQ19" i="8"/>
  <c r="AM33" i="8"/>
  <c r="AM29" i="8"/>
  <c r="AA38" i="8"/>
  <c r="A560" i="12"/>
  <c r="A326" i="12"/>
  <c r="A104" i="12"/>
  <c r="FC14" i="8"/>
  <c r="HW37" i="8"/>
  <c r="CU14" i="8"/>
  <c r="BW42" i="8"/>
  <c r="A379" i="12"/>
  <c r="A464" i="12"/>
  <c r="A224" i="12"/>
  <c r="A12" i="12"/>
  <c r="HW26" i="8"/>
  <c r="EE28" i="8"/>
  <c r="BW6" i="8"/>
  <c r="A540" i="12"/>
  <c r="A301" i="12"/>
  <c r="A81" i="12"/>
  <c r="GM23" i="8"/>
  <c r="GA16" i="8"/>
  <c r="AM49" i="8"/>
  <c r="HW9" i="8"/>
  <c r="AA22" i="8"/>
  <c r="A136" i="12"/>
  <c r="A476" i="12"/>
  <c r="A238" i="12"/>
  <c r="A23" i="12"/>
  <c r="FC47" i="8"/>
  <c r="HW40" i="8"/>
  <c r="CU47" i="8"/>
  <c r="O48" i="8"/>
  <c r="O49" i="8"/>
  <c r="O34" i="8"/>
  <c r="C41" i="8"/>
  <c r="DS16" i="8"/>
  <c r="CD55" i="8"/>
  <c r="BK4" i="8"/>
  <c r="AA7" i="8"/>
  <c r="BW12" i="8"/>
  <c r="FC48" i="8"/>
  <c r="A438" i="12"/>
  <c r="FO31" i="8"/>
  <c r="AM20" i="8"/>
  <c r="O38" i="8"/>
  <c r="A378" i="12"/>
  <c r="CI6" i="8"/>
  <c r="A552" i="12"/>
  <c r="GY42" i="8"/>
  <c r="O7" i="8"/>
  <c r="A182" i="12"/>
  <c r="GY40" i="8"/>
  <c r="A330" i="12"/>
  <c r="EE18" i="8"/>
  <c r="C34" i="8"/>
  <c r="A258" i="12"/>
  <c r="A19" i="12"/>
  <c r="GA26" i="8"/>
  <c r="A527" i="12"/>
  <c r="FO13" i="8"/>
  <c r="EE46" i="8"/>
  <c r="A290" i="12"/>
  <c r="HW3" i="8"/>
  <c r="A67" i="12"/>
  <c r="DG43" i="8"/>
  <c r="A424" i="12"/>
  <c r="HW35" i="8"/>
  <c r="A501" i="12"/>
  <c r="BK24" i="8"/>
  <c r="HW30" i="8"/>
  <c r="GY16" i="8"/>
  <c r="C22" i="8"/>
  <c r="BW18" i="8"/>
  <c r="AA3" i="8"/>
  <c r="BW31" i="8"/>
  <c r="FC21" i="8"/>
  <c r="EE30" i="8"/>
  <c r="A392" i="12"/>
  <c r="A572" i="12"/>
  <c r="A333" i="12"/>
  <c r="A111" i="12"/>
  <c r="FO49" i="8"/>
  <c r="EE48" i="8"/>
  <c r="DG49" i="8"/>
  <c r="C26" i="8"/>
  <c r="A206" i="12"/>
  <c r="A431" i="12"/>
  <c r="A199" i="12"/>
  <c r="GM27" i="8"/>
  <c r="FC26" i="8"/>
  <c r="BK18" i="8"/>
  <c r="DG15" i="8"/>
  <c r="O31" i="8"/>
  <c r="A591" i="12"/>
  <c r="A350" i="12"/>
  <c r="A126" i="12"/>
  <c r="GY49" i="8"/>
  <c r="FO48" i="8"/>
  <c r="BK5" i="8"/>
  <c r="HC54" i="8"/>
  <c r="BK31" i="8"/>
  <c r="DS40" i="8"/>
  <c r="AY47" i="8"/>
  <c r="A461" i="12"/>
  <c r="A489" i="12"/>
  <c r="A251" i="12"/>
  <c r="A36" i="12"/>
  <c r="GM32" i="8"/>
  <c r="EQ29" i="8"/>
  <c r="FC40" i="8"/>
  <c r="AM16" i="8"/>
  <c r="A545" i="12"/>
  <c r="A309" i="12"/>
  <c r="A86" i="12"/>
  <c r="GY43" i="8"/>
  <c r="GM22" i="8"/>
  <c r="BK14" i="8"/>
  <c r="CI32" i="8"/>
  <c r="AM34" i="8"/>
  <c r="A544" i="12"/>
  <c r="A308" i="12"/>
  <c r="A84" i="12"/>
  <c r="GY28" i="8"/>
  <c r="GM6" i="8"/>
  <c r="AY40" i="8"/>
  <c r="CI16" i="8"/>
  <c r="AM27" i="8"/>
  <c r="AA16" i="8"/>
  <c r="AA42" i="8"/>
  <c r="A543" i="12"/>
  <c r="A307" i="12"/>
  <c r="A83" i="12"/>
  <c r="GY13" i="8"/>
  <c r="GA47" i="8"/>
  <c r="AY25" i="8"/>
  <c r="EE31" i="8"/>
  <c r="A222" i="12"/>
  <c r="A443" i="12"/>
  <c r="A208" i="12"/>
  <c r="HK22" i="8"/>
  <c r="GA20" i="8"/>
  <c r="CI13" i="8"/>
  <c r="EE37" i="8"/>
  <c r="A518" i="12"/>
  <c r="A280" i="12"/>
  <c r="A64" i="12"/>
  <c r="EQ48" i="8"/>
  <c r="HK13" i="8"/>
  <c r="DG13" i="8"/>
  <c r="DS25" i="8"/>
  <c r="AY41" i="8"/>
  <c r="A26" i="12"/>
  <c r="A459" i="12"/>
  <c r="A220" i="12"/>
  <c r="A7" i="12"/>
  <c r="HK5" i="8"/>
  <c r="DG24" i="8"/>
  <c r="GM46" i="8"/>
  <c r="BK25" i="8"/>
  <c r="BK38" i="8"/>
  <c r="C6" i="8"/>
  <c r="AY24" i="8"/>
  <c r="A537" i="12"/>
  <c r="A298" i="12"/>
  <c r="C16" i="8"/>
  <c r="AA9" i="8"/>
  <c r="AA13" i="8"/>
  <c r="EE15" i="8"/>
  <c r="A205" i="12"/>
  <c r="HK49" i="8"/>
  <c r="A114" i="12"/>
  <c r="A575" i="12"/>
  <c r="A152" i="12"/>
  <c r="BW21" i="8"/>
  <c r="A94" i="12"/>
  <c r="A44" i="12"/>
  <c r="DS6" i="8"/>
  <c r="A108" i="12"/>
  <c r="DG19" i="8"/>
  <c r="CI14" i="8"/>
  <c r="A471" i="12"/>
  <c r="FO37" i="8"/>
  <c r="A69" i="12"/>
  <c r="DS9" i="8"/>
  <c r="A523" i="12"/>
  <c r="FC39" i="8"/>
  <c r="A517" i="12"/>
  <c r="HK43" i="8"/>
  <c r="A80" i="12"/>
  <c r="A192" i="12"/>
  <c r="HW31" i="8"/>
  <c r="HK42" i="8"/>
  <c r="CI4" i="8"/>
  <c r="A434" i="12"/>
  <c r="O29" i="8"/>
  <c r="A316" i="12"/>
  <c r="GY32" i="8"/>
  <c r="A554" i="12"/>
  <c r="A535" i="12"/>
  <c r="AA46" i="8"/>
  <c r="A57" i="12"/>
  <c r="A375" i="12"/>
  <c r="BK21" i="8"/>
  <c r="A273" i="12"/>
  <c r="CI17" i="8"/>
  <c r="BW34" i="8"/>
  <c r="HW36" i="8"/>
  <c r="A500" i="12"/>
  <c r="EQ12" i="8"/>
  <c r="C30" i="8"/>
  <c r="EE38" i="8"/>
  <c r="C14" i="8"/>
  <c r="A225" i="12"/>
  <c r="BW22" i="8"/>
  <c r="A138" i="12"/>
  <c r="BK49" i="8"/>
  <c r="GA5" i="8"/>
  <c r="AA17" i="8"/>
  <c r="FC5" i="8"/>
  <c r="AM9" i="8"/>
  <c r="EQ24" i="8"/>
  <c r="BW5" i="8"/>
  <c r="A417" i="12"/>
  <c r="A455" i="12"/>
  <c r="A244" i="12"/>
  <c r="A40" i="12"/>
  <c r="A352" i="12"/>
  <c r="EE33" i="8"/>
  <c r="A91" i="12"/>
  <c r="CU6" i="8"/>
  <c r="A118" i="12"/>
  <c r="GM41" i="8"/>
  <c r="A506" i="12"/>
  <c r="GA43" i="8"/>
  <c r="A505" i="12"/>
  <c r="GA29" i="8"/>
  <c r="AY39" i="8"/>
  <c r="A50" i="12"/>
  <c r="C31" i="8"/>
  <c r="HK31" i="8"/>
  <c r="A483" i="12"/>
  <c r="DS48" i="8"/>
  <c r="FO46" i="8"/>
  <c r="HK30" i="8"/>
  <c r="O22" i="8"/>
  <c r="GM7" i="8"/>
  <c r="BK29" i="8"/>
  <c r="DS4" i="8"/>
  <c r="AM3" i="8"/>
  <c r="A463" i="12"/>
  <c r="DS35" i="8"/>
  <c r="FO42" i="8"/>
  <c r="FO40" i="8"/>
  <c r="BW41" i="8"/>
  <c r="A221" i="12"/>
  <c r="A339" i="12"/>
  <c r="AT55" i="8"/>
  <c r="BK7" i="8"/>
  <c r="GM48" i="8"/>
  <c r="GM20" i="8"/>
  <c r="HK17" i="8"/>
  <c r="AY19" i="8"/>
  <c r="CU17" i="8"/>
  <c r="A271" i="12"/>
  <c r="BW29" i="8"/>
  <c r="A419" i="12"/>
  <c r="HW32" i="8"/>
  <c r="GM4" i="8"/>
  <c r="A241" i="12"/>
  <c r="A416" i="12"/>
  <c r="EE9" i="8"/>
  <c r="AA30" i="8"/>
  <c r="GA14" i="8"/>
  <c r="CU19" i="8"/>
  <c r="HK45" i="8"/>
  <c r="A275" i="12"/>
  <c r="C45" i="8"/>
  <c r="O26" i="8"/>
  <c r="O10" i="8"/>
  <c r="A173" i="12"/>
  <c r="FO38" i="8"/>
  <c r="FC12" i="8"/>
  <c r="DG3" i="8"/>
  <c r="A592" i="12"/>
  <c r="DS47" i="8"/>
  <c r="GM16" i="8"/>
  <c r="GA42" i="8"/>
  <c r="EE22" i="8"/>
  <c r="DG25" i="8"/>
  <c r="O15" i="8"/>
  <c r="O46" i="8"/>
  <c r="O39" i="8"/>
  <c r="EE43" i="8"/>
  <c r="A148" i="12"/>
  <c r="CI45" i="8"/>
  <c r="A71" i="12"/>
  <c r="EQ10" i="8"/>
  <c r="FC42" i="8"/>
  <c r="EQ36" i="8"/>
  <c r="A488" i="12"/>
  <c r="EQ13" i="8"/>
  <c r="A487" i="12"/>
  <c r="EE39" i="8"/>
  <c r="O14" i="8"/>
  <c r="A33" i="12"/>
  <c r="FO26" i="8"/>
  <c r="AA14" i="8"/>
  <c r="A460" i="12"/>
  <c r="BW43" i="8"/>
  <c r="EQ39" i="8"/>
  <c r="AM14" i="8"/>
  <c r="GY22" i="8"/>
  <c r="A127" i="12"/>
  <c r="AY14" i="8"/>
  <c r="A54" i="12"/>
  <c r="CU40" i="8"/>
  <c r="EQ33" i="8"/>
  <c r="GY9" i="8"/>
  <c r="A470" i="12"/>
  <c r="FO20" i="8"/>
  <c r="A469" i="12"/>
  <c r="FC46" i="8"/>
  <c r="DG36" i="8"/>
  <c r="A13" i="12"/>
  <c r="AM12" i="8"/>
  <c r="DS20" i="8"/>
  <c r="A440" i="12"/>
  <c r="BW39" i="8"/>
  <c r="BW24" i="8"/>
  <c r="HW29" i="8"/>
  <c r="DG22" i="8"/>
  <c r="C48" i="8"/>
  <c r="A269" i="12"/>
  <c r="GA40" i="8"/>
  <c r="DG38" i="8"/>
  <c r="AA49" i="8"/>
  <c r="HK20" i="8"/>
  <c r="BW13" i="8"/>
  <c r="A293" i="12"/>
  <c r="FC18" i="8"/>
  <c r="EQ31" i="8"/>
  <c r="AA31" i="8"/>
  <c r="FO43" i="8"/>
  <c r="C28" i="8"/>
  <c r="A428" i="12"/>
  <c r="AY44" i="8"/>
  <c r="A249" i="12"/>
  <c r="EQ49" i="8"/>
  <c r="A245" i="12"/>
  <c r="EQ16" i="8"/>
  <c r="A299" i="12"/>
  <c r="GA27" i="8"/>
  <c r="GM29" i="8"/>
  <c r="EQ30" i="8"/>
  <c r="A223" i="12"/>
  <c r="BK47" i="8"/>
  <c r="A394" i="12"/>
  <c r="BW47" i="8"/>
  <c r="AM26" i="8"/>
  <c r="C39" i="8"/>
  <c r="DG39" i="8"/>
  <c r="EQ35" i="8"/>
  <c r="HK9" i="8"/>
  <c r="C24" i="8"/>
  <c r="EE13" i="8"/>
  <c r="AA15" i="8"/>
  <c r="A411" i="12"/>
  <c r="DG32" i="8"/>
  <c r="A228" i="12"/>
  <c r="CI12" i="8"/>
  <c r="A227" i="12"/>
  <c r="BW37" i="8"/>
  <c r="A153" i="12"/>
  <c r="HW41" i="8"/>
  <c r="A598" i="12"/>
  <c r="GY3" i="8"/>
  <c r="A207" i="12"/>
  <c r="DS30" i="8"/>
  <c r="A377" i="12"/>
  <c r="DS13" i="8"/>
  <c r="AY48" i="8"/>
  <c r="A516" i="12"/>
  <c r="BW49" i="8"/>
  <c r="CU39" i="8"/>
  <c r="A511" i="12"/>
  <c r="HW42" i="8"/>
  <c r="CI48" i="8"/>
  <c r="A311" i="12"/>
  <c r="A96" i="12"/>
  <c r="GA38" i="8"/>
  <c r="GA19" i="8"/>
  <c r="FO9" i="8"/>
  <c r="A550" i="12"/>
  <c r="GY12" i="8"/>
  <c r="HK26" i="8"/>
  <c r="A212" i="12"/>
  <c r="CU26" i="8"/>
  <c r="A52" i="12"/>
  <c r="CU9" i="8"/>
  <c r="A51" i="12"/>
  <c r="CI49" i="8"/>
  <c r="A503" i="12"/>
  <c r="GA13" i="8"/>
  <c r="A399" i="12"/>
  <c r="CU12" i="8"/>
  <c r="A27" i="12"/>
  <c r="AA39" i="8"/>
  <c r="A184" i="12"/>
  <c r="BK41" i="8"/>
  <c r="AY26" i="8"/>
  <c r="GA25" i="8"/>
  <c r="AM38" i="8"/>
  <c r="GM13" i="8"/>
  <c r="A257" i="12"/>
  <c r="AY36" i="8"/>
  <c r="DG26" i="8"/>
  <c r="A513" i="12"/>
  <c r="AY38" i="8"/>
  <c r="HK39" i="8"/>
  <c r="A530" i="12"/>
  <c r="HW48" i="8"/>
  <c r="CI47" i="8"/>
  <c r="A197" i="12"/>
  <c r="AY21" i="8"/>
  <c r="A35" i="12"/>
  <c r="AY6" i="8"/>
  <c r="A34" i="12"/>
  <c r="AM35" i="8"/>
  <c r="A486" i="12"/>
  <c r="EE24" i="8"/>
  <c r="A381" i="12"/>
  <c r="EE5" i="8"/>
  <c r="A10" i="12"/>
  <c r="BW44" i="8"/>
  <c r="A168" i="12"/>
  <c r="EQ41" i="8"/>
  <c r="AA5" i="8"/>
  <c r="A479" i="12"/>
  <c r="AA6" i="8"/>
  <c r="FV55" i="8"/>
  <c r="A496" i="12"/>
  <c r="O40" i="8"/>
  <c r="GA7" i="8"/>
  <c r="GM17" i="8"/>
  <c r="CU25" i="8"/>
  <c r="A180" i="12"/>
  <c r="EE14" i="8"/>
  <c r="A18" i="12"/>
  <c r="C29" i="8"/>
  <c r="A14" i="12"/>
  <c r="C13" i="8"/>
  <c r="A468" i="12"/>
  <c r="FC25" i="8"/>
  <c r="A362" i="12"/>
  <c r="CI31" i="8"/>
  <c r="HK6" i="8"/>
  <c r="O27" i="8"/>
  <c r="A151" i="12"/>
  <c r="AY22" i="8"/>
  <c r="BW16" i="8"/>
  <c r="BK45" i="8"/>
  <c r="DS23" i="8"/>
  <c r="HW47" i="8"/>
  <c r="A265" i="12"/>
  <c r="HK4" i="8"/>
  <c r="AA40" i="8"/>
  <c r="AA41" i="8"/>
  <c r="CU49" i="8"/>
  <c r="A254" i="12"/>
  <c r="BW30" i="8"/>
  <c r="AY7" i="8"/>
  <c r="AY4" i="8"/>
  <c r="A155" i="12"/>
  <c r="HW10" i="8"/>
  <c r="GY10" i="8"/>
  <c r="HW23" i="8"/>
  <c r="AA36" i="8"/>
  <c r="P19" i="30" l="1"/>
  <c r="BM56" i="8"/>
  <c r="J7" i="30" s="1"/>
  <c r="H7" i="30"/>
  <c r="Z56" i="8"/>
  <c r="AC56" i="8"/>
  <c r="J4" i="30" s="1"/>
  <c r="H4" i="30"/>
  <c r="E56" i="8"/>
  <c r="J2" i="30" s="1"/>
  <c r="H2" i="30"/>
  <c r="Q56" i="8"/>
  <c r="J3" i="30" s="1"/>
  <c r="H3" i="30"/>
  <c r="V54" i="8"/>
  <c r="AH54" i="8"/>
  <c r="Z58" i="8"/>
  <c r="G4" i="30" s="1"/>
  <c r="B58" i="8"/>
  <c r="G2" i="30" s="1"/>
  <c r="J54" i="8"/>
  <c r="N58" i="8"/>
  <c r="G3" i="30" s="1"/>
  <c r="AT30" i="8"/>
  <c r="BF38" i="8"/>
  <c r="BF54" i="8" s="1"/>
  <c r="BR41" i="8"/>
  <c r="DI54" i="8"/>
  <c r="ID10" i="8"/>
  <c r="HY54" i="8"/>
  <c r="BJ58" i="8"/>
  <c r="G7" i="30" s="1"/>
  <c r="Z57" i="8"/>
  <c r="F4" i="30" s="1"/>
  <c r="H19" i="30"/>
  <c r="AO54" i="8"/>
  <c r="BY55" i="8"/>
  <c r="I8" i="30" s="1"/>
  <c r="CK54" i="8"/>
  <c r="CP3" i="8"/>
  <c r="CW55" i="8"/>
  <c r="I10" i="30" s="1"/>
  <c r="DU55" i="8"/>
  <c r="I12" i="30" s="1"/>
  <c r="AO55" i="8"/>
  <c r="I5" i="30" s="1"/>
  <c r="CK55" i="8"/>
  <c r="I9" i="30" s="1"/>
  <c r="V4" i="8"/>
  <c r="N56" i="8" s="1"/>
  <c r="B56" i="8"/>
  <c r="BF5" i="8"/>
  <c r="BR4" i="8"/>
  <c r="BJ56" i="8" s="1"/>
  <c r="CD3" i="8"/>
  <c r="B57" i="8"/>
  <c r="F2" i="30" s="1"/>
  <c r="AT3" i="8"/>
  <c r="DB54" i="8"/>
  <c r="EL4" i="8"/>
  <c r="EG54" i="8"/>
  <c r="BR16" i="8"/>
  <c r="BY54" i="8"/>
  <c r="CT58" i="8"/>
  <c r="G10" i="30" s="1"/>
  <c r="BA54" i="8"/>
  <c r="BF6" i="8"/>
  <c r="BR32" i="8"/>
  <c r="CW54" i="8"/>
  <c r="H12" i="30"/>
  <c r="HY55" i="8"/>
  <c r="I21" i="30" s="1"/>
  <c r="BA55" i="8"/>
  <c r="I6" i="30" s="1"/>
  <c r="CP54" i="8"/>
  <c r="HR54" i="8"/>
  <c r="N57" i="8"/>
  <c r="F3" i="30" s="1"/>
  <c r="BF3" i="8"/>
  <c r="BR26" i="8"/>
  <c r="BR54" i="8" s="1"/>
  <c r="CP27" i="8"/>
  <c r="DZ49" i="8"/>
  <c r="DZ54" i="8" s="1"/>
  <c r="FJ54" i="8"/>
  <c r="FJ35" i="8"/>
  <c r="HF25" i="8"/>
  <c r="ID19" i="8"/>
  <c r="ID49" i="8"/>
  <c r="DN3" i="8"/>
  <c r="DZ30" i="8"/>
  <c r="EL40" i="8"/>
  <c r="ES54" i="8"/>
  <c r="EX4" i="8"/>
  <c r="EP56" i="8" s="1"/>
  <c r="HA55" i="8"/>
  <c r="I19" i="30" s="1"/>
  <c r="HF3" i="8"/>
  <c r="HR45" i="8"/>
  <c r="GO54" i="8"/>
  <c r="HR14" i="8"/>
  <c r="EL19" i="8"/>
  <c r="ED58" i="8" s="1"/>
  <c r="G13" i="30" s="1"/>
  <c r="FJ19" i="8"/>
  <c r="HF40" i="8"/>
  <c r="HV57" i="8"/>
  <c r="F21" i="30" s="1"/>
  <c r="HV58" i="8"/>
  <c r="G21" i="30" s="1"/>
  <c r="DZ3" i="8"/>
  <c r="DZ45" i="8"/>
  <c r="GC54" i="8"/>
  <c r="GL57" i="8"/>
  <c r="F18" i="30" s="1"/>
  <c r="ID54" i="8"/>
  <c r="GT54" i="8"/>
  <c r="GT35" i="8"/>
  <c r="HF9" i="8"/>
  <c r="ID4" i="8"/>
  <c r="HV56" i="8" s="1"/>
  <c r="FB57" i="8"/>
  <c r="F15" i="30" s="1"/>
  <c r="FB56" i="8"/>
  <c r="FB58" i="8"/>
  <c r="G15" i="30" s="1"/>
  <c r="FQ55" i="8"/>
  <c r="I16" i="30" s="1"/>
  <c r="FV3" i="8"/>
  <c r="CT56" i="8"/>
  <c r="EL35" i="8"/>
  <c r="EL46" i="8"/>
  <c r="EL49" i="8"/>
  <c r="EL54" i="8" s="1"/>
  <c r="HM54" i="8"/>
  <c r="HR30" i="8"/>
  <c r="CT57" i="8"/>
  <c r="F10" i="30" s="1"/>
  <c r="FE54" i="8"/>
  <c r="GH54" i="8"/>
  <c r="HM55" i="8"/>
  <c r="I20" i="30" s="1"/>
  <c r="EL25" i="8"/>
  <c r="ED57" i="8" s="1"/>
  <c r="F13" i="30" s="1"/>
  <c r="ES55" i="8"/>
  <c r="I14" i="30" s="1"/>
  <c r="EX36" i="8"/>
  <c r="EX45" i="8"/>
  <c r="GL58" i="8"/>
  <c r="G18" i="30" s="1"/>
  <c r="FQ54" i="8"/>
  <c r="EP57" i="8"/>
  <c r="F14" i="30" s="1"/>
  <c r="GH3" i="8"/>
  <c r="HR3" i="8"/>
  <c r="GL56" i="8"/>
  <c r="ES793" i="8"/>
  <c r="FQ793" i="8"/>
  <c r="HM793" i="8"/>
  <c r="GO793" i="8"/>
  <c r="BA793" i="8"/>
  <c r="AO793" i="8"/>
  <c r="GC793" i="8"/>
  <c r="HY793" i="8"/>
  <c r="DU793" i="8"/>
  <c r="AC793" i="8"/>
  <c r="FE793" i="8"/>
  <c r="E793" i="8"/>
  <c r="CW793" i="8"/>
  <c r="DI793" i="8"/>
  <c r="BY793" i="8"/>
  <c r="HA793" i="8"/>
  <c r="Q793" i="8"/>
  <c r="CK793" i="8"/>
  <c r="EG793" i="8"/>
  <c r="BM793" i="8"/>
  <c r="S54" i="8"/>
  <c r="GT55" i="8"/>
  <c r="AT59" i="8"/>
  <c r="HF59" i="8"/>
  <c r="GH59" i="8"/>
  <c r="HF55" i="8"/>
  <c r="EX59" i="8"/>
  <c r="DN56" i="8"/>
  <c r="FV56" i="8"/>
  <c r="AE54" i="8"/>
  <c r="CP59" i="8"/>
  <c r="G54" i="8"/>
  <c r="FV59" i="8"/>
  <c r="AQ54" i="8"/>
  <c r="CA55" i="8"/>
  <c r="AT56" i="8"/>
  <c r="DK54" i="8"/>
  <c r="FJ59" i="8"/>
  <c r="CD59" i="8"/>
  <c r="FS55" i="8"/>
  <c r="EX55" i="8"/>
  <c r="BR59" i="8"/>
  <c r="CY54" i="8"/>
  <c r="DB59" i="8"/>
  <c r="V59" i="8"/>
  <c r="GQ54" i="8"/>
  <c r="FS54" i="8"/>
  <c r="AH55" i="8"/>
  <c r="DN59" i="8"/>
  <c r="DB55" i="8"/>
  <c r="AQ55" i="8"/>
  <c r="IA54" i="8"/>
  <c r="EU54" i="8"/>
  <c r="CD56" i="8"/>
  <c r="FG54" i="8"/>
  <c r="DK55" i="8"/>
  <c r="CA54" i="8"/>
  <c r="FJ55" i="8"/>
  <c r="AH59" i="8"/>
  <c r="V55" i="8"/>
  <c r="P18" i="30" l="1"/>
  <c r="P21" i="30"/>
  <c r="P11" i="30"/>
  <c r="P4" i="30"/>
  <c r="P10" i="30"/>
  <c r="P8" i="30"/>
  <c r="P3" i="30"/>
  <c r="P2" i="30"/>
  <c r="O5" i="30"/>
  <c r="O16" i="30"/>
  <c r="P14" i="30"/>
  <c r="P5" i="30"/>
  <c r="O11" i="30"/>
  <c r="P15" i="30"/>
  <c r="O8" i="30"/>
  <c r="P16" i="30"/>
  <c r="E14" i="30"/>
  <c r="EP54" i="8"/>
  <c r="E21" i="30"/>
  <c r="HV55" i="8"/>
  <c r="D21" i="30" s="1"/>
  <c r="HV54" i="8"/>
  <c r="E3" i="30"/>
  <c r="N55" i="8"/>
  <c r="D3" i="30" s="1"/>
  <c r="N54" i="8"/>
  <c r="E7" i="30"/>
  <c r="E18" i="30"/>
  <c r="GL55" i="8"/>
  <c r="D18" i="30" s="1"/>
  <c r="GL54" i="8"/>
  <c r="CK56" i="8"/>
  <c r="J9" i="30" s="1"/>
  <c r="H9" i="30"/>
  <c r="HY56" i="8"/>
  <c r="J21" i="30" s="1"/>
  <c r="H21" i="30"/>
  <c r="Z54" i="8"/>
  <c r="E4" i="30"/>
  <c r="Z55" i="8"/>
  <c r="D4" i="30" s="1"/>
  <c r="AL58" i="8"/>
  <c r="G5" i="30" s="1"/>
  <c r="AL57" i="8"/>
  <c r="F5" i="30" s="1"/>
  <c r="AL56" i="8"/>
  <c r="HJ58" i="8"/>
  <c r="G20" i="30" s="1"/>
  <c r="HJ57" i="8"/>
  <c r="F20" i="30" s="1"/>
  <c r="HJ56" i="8"/>
  <c r="DF58" i="8"/>
  <c r="G11" i="30" s="1"/>
  <c r="DF57" i="8"/>
  <c r="F11" i="30" s="1"/>
  <c r="DF56" i="8"/>
  <c r="CW56" i="8"/>
  <c r="J10" i="30" s="1"/>
  <c r="H10" i="30"/>
  <c r="BY56" i="8"/>
  <c r="J8" i="30" s="1"/>
  <c r="H8" i="30"/>
  <c r="H5" i="30"/>
  <c r="AO56" i="8"/>
  <c r="J5" i="30" s="1"/>
  <c r="EP58" i="8"/>
  <c r="G14" i="30" s="1"/>
  <c r="BJ57" i="8"/>
  <c r="F7" i="30" s="1"/>
  <c r="BV57" i="8"/>
  <c r="F8" i="30" s="1"/>
  <c r="BV58" i="8"/>
  <c r="G8" i="30" s="1"/>
  <c r="BV56" i="8"/>
  <c r="DI56" i="8"/>
  <c r="J11" i="30" s="1"/>
  <c r="H11" i="30"/>
  <c r="E15" i="30"/>
  <c r="FB55" i="8"/>
  <c r="D15" i="30" s="1"/>
  <c r="FB54" i="8"/>
  <c r="ED56" i="8"/>
  <c r="FE56" i="8"/>
  <c r="J15" i="30" s="1"/>
  <c r="H15" i="30"/>
  <c r="AX58" i="8"/>
  <c r="G6" i="30" s="1"/>
  <c r="AX56" i="8"/>
  <c r="AX57" i="8"/>
  <c r="F6" i="30" s="1"/>
  <c r="EG56" i="8"/>
  <c r="J13" i="30" s="1"/>
  <c r="H13" i="30"/>
  <c r="HA56" i="8"/>
  <c r="J19" i="30" s="1"/>
  <c r="CH58" i="8"/>
  <c r="G9" i="30" s="1"/>
  <c r="CH57" i="8"/>
  <c r="F9" i="30" s="1"/>
  <c r="CH56" i="8"/>
  <c r="FZ58" i="8"/>
  <c r="G17" i="30" s="1"/>
  <c r="FZ57" i="8"/>
  <c r="F17" i="30" s="1"/>
  <c r="FZ56" i="8"/>
  <c r="E10" i="30"/>
  <c r="CT55" i="8"/>
  <c r="D10" i="30" s="1"/>
  <c r="CT54" i="8"/>
  <c r="GC56" i="8"/>
  <c r="J17" i="30" s="1"/>
  <c r="H17" i="30"/>
  <c r="GX58" i="8"/>
  <c r="G19" i="30" s="1"/>
  <c r="GX57" i="8"/>
  <c r="F19" i="30" s="1"/>
  <c r="GX56" i="8"/>
  <c r="H6" i="30"/>
  <c r="BA56" i="8"/>
  <c r="J6" i="30" s="1"/>
  <c r="FQ56" i="8"/>
  <c r="J16" i="30" s="1"/>
  <c r="H16" i="30"/>
  <c r="FN58" i="8"/>
  <c r="G16" i="30" s="1"/>
  <c r="FN57" i="8"/>
  <c r="F16" i="30" s="1"/>
  <c r="FN56" i="8"/>
  <c r="DU56" i="8"/>
  <c r="J12" i="30" s="1"/>
  <c r="HM56" i="8"/>
  <c r="J20" i="30" s="1"/>
  <c r="H20" i="30"/>
  <c r="E2" i="30"/>
  <c r="B55" i="8"/>
  <c r="D2" i="30" s="1"/>
  <c r="B54" i="8"/>
  <c r="DR56" i="8"/>
  <c r="DR58" i="8"/>
  <c r="G12" i="30" s="1"/>
  <c r="DR57" i="8"/>
  <c r="F12" i="30" s="1"/>
  <c r="GO56" i="8"/>
  <c r="J18" i="30" s="1"/>
  <c r="H18" i="30"/>
  <c r="ES56" i="8"/>
  <c r="J14" i="30" s="1"/>
  <c r="H14" i="30"/>
  <c r="CM54" i="8"/>
  <c r="ES58" i="8"/>
  <c r="AH56" i="8"/>
  <c r="BY59" i="8"/>
  <c r="CD57" i="8"/>
  <c r="EU55" i="8"/>
  <c r="BM59" i="8"/>
  <c r="AO58" i="8"/>
  <c r="AQ56" i="8"/>
  <c r="FE58" i="8"/>
  <c r="DK56" i="8"/>
  <c r="DZ55" i="8"/>
  <c r="EL55" i="8"/>
  <c r="BF59" i="8"/>
  <c r="FV57" i="8"/>
  <c r="CP55" i="8"/>
  <c r="FJ56" i="8"/>
  <c r="ID55" i="8"/>
  <c r="Q59" i="8"/>
  <c r="AT57" i="8"/>
  <c r="HF56" i="8"/>
  <c r="V56" i="8"/>
  <c r="DZ59" i="8"/>
  <c r="GT56" i="8"/>
  <c r="DB56" i="8"/>
  <c r="BO54" i="8"/>
  <c r="FQ58" i="8"/>
  <c r="DI58" i="8"/>
  <c r="Q58" i="8"/>
  <c r="GH55" i="8"/>
  <c r="FS56" i="8"/>
  <c r="AC59" i="8"/>
  <c r="HC55" i="8"/>
  <c r="J59" i="8"/>
  <c r="GC58" i="8"/>
  <c r="HR55" i="8"/>
  <c r="AE55" i="8"/>
  <c r="BM58" i="8"/>
  <c r="AC58" i="8"/>
  <c r="DN57" i="8"/>
  <c r="BC54" i="8"/>
  <c r="FE59" i="8"/>
  <c r="HA58" i="8"/>
  <c r="EX56" i="8"/>
  <c r="HO54" i="8"/>
  <c r="HR59" i="8"/>
  <c r="FG55" i="8"/>
  <c r="CK59" i="8"/>
  <c r="ID59" i="8"/>
  <c r="S55" i="8"/>
  <c r="BR55" i="8"/>
  <c r="CW59" i="8"/>
  <c r="BY58" i="8"/>
  <c r="FQ59" i="8"/>
  <c r="CK58" i="8"/>
  <c r="J55" i="8"/>
  <c r="GQ55" i="8"/>
  <c r="DI59" i="8"/>
  <c r="CW58" i="8"/>
  <c r="CY55" i="8"/>
  <c r="CA56" i="8"/>
  <c r="ES59" i="8"/>
  <c r="HA59" i="8"/>
  <c r="DW54" i="8"/>
  <c r="AO59" i="8"/>
  <c r="BF55" i="8"/>
  <c r="EL59" i="8"/>
  <c r="GE54" i="8"/>
  <c r="GT59" i="8"/>
  <c r="EI54" i="8"/>
  <c r="GC59" i="8"/>
  <c r="R16" i="30" l="1"/>
  <c r="P9" i="30"/>
  <c r="P7" i="30"/>
  <c r="R14" i="30"/>
  <c r="N11" i="30"/>
  <c r="O10" i="30"/>
  <c r="Q16" i="30"/>
  <c r="Q9" i="30"/>
  <c r="Q15" i="30"/>
  <c r="P13" i="30"/>
  <c r="O3" i="30"/>
  <c r="Q19" i="30"/>
  <c r="EL792" i="8"/>
  <c r="O19" i="30"/>
  <c r="R19" i="30"/>
  <c r="O18" i="30"/>
  <c r="N16" i="30"/>
  <c r="Q14" i="30"/>
  <c r="P12" i="30"/>
  <c r="R9" i="30"/>
  <c r="O14" i="30"/>
  <c r="R11" i="30"/>
  <c r="R17" i="30"/>
  <c r="O15" i="30"/>
  <c r="Q11" i="30"/>
  <c r="O4" i="30"/>
  <c r="Q17" i="30"/>
  <c r="R15" i="30"/>
  <c r="P20" i="30"/>
  <c r="R4" i="30"/>
  <c r="R8" i="30"/>
  <c r="Q7" i="30"/>
  <c r="N8" i="30"/>
  <c r="Q4" i="30"/>
  <c r="Q8" i="30"/>
  <c r="R7" i="30"/>
  <c r="ID792" i="8"/>
  <c r="R5" i="30"/>
  <c r="N5" i="30"/>
  <c r="Q10" i="30"/>
  <c r="Q3" i="30"/>
  <c r="P17" i="30"/>
  <c r="P6" i="30"/>
  <c r="Q5" i="30"/>
  <c r="R10" i="30"/>
  <c r="R3" i="30"/>
  <c r="E6" i="30"/>
  <c r="AX55" i="8"/>
  <c r="D6" i="30" s="1"/>
  <c r="AX54" i="8"/>
  <c r="GU52" i="8"/>
  <c r="K18" i="30"/>
  <c r="E17" i="30"/>
  <c r="FZ55" i="8"/>
  <c r="D17" i="30" s="1"/>
  <c r="FZ54" i="8"/>
  <c r="BJ55" i="8"/>
  <c r="D7" i="30" s="1"/>
  <c r="BV54" i="8"/>
  <c r="E8" i="30"/>
  <c r="BV55" i="8"/>
  <c r="D8" i="30" s="1"/>
  <c r="K14" i="30"/>
  <c r="EY52" i="8"/>
  <c r="DF54" i="8"/>
  <c r="DF55" i="8"/>
  <c r="D11" i="30" s="1"/>
  <c r="E11" i="30"/>
  <c r="AI52" i="8"/>
  <c r="K4" i="30"/>
  <c r="EP55" i="8"/>
  <c r="D14" i="30" s="1"/>
  <c r="E9" i="30"/>
  <c r="CH55" i="8"/>
  <c r="D9" i="30" s="1"/>
  <c r="CH54" i="8"/>
  <c r="W52" i="8"/>
  <c r="K3" i="30"/>
  <c r="GX54" i="8"/>
  <c r="GX55" i="8"/>
  <c r="D19" i="30" s="1"/>
  <c r="E19" i="30"/>
  <c r="E20" i="30"/>
  <c r="HJ55" i="8"/>
  <c r="D20" i="30" s="1"/>
  <c r="HJ54" i="8"/>
  <c r="IE52" i="8"/>
  <c r="K21" i="30"/>
  <c r="DC52" i="8"/>
  <c r="K10" i="30"/>
  <c r="FK52" i="8"/>
  <c r="K15" i="30"/>
  <c r="ED54" i="8"/>
  <c r="E13" i="30"/>
  <c r="ED55" i="8"/>
  <c r="D13" i="30" s="1"/>
  <c r="FN54" i="8"/>
  <c r="FN55" i="8"/>
  <c r="D16" i="30" s="1"/>
  <c r="E16" i="30"/>
  <c r="E12" i="30"/>
  <c r="DR54" i="8"/>
  <c r="DR55" i="8"/>
  <c r="D12" i="30" s="1"/>
  <c r="AL54" i="8"/>
  <c r="E5" i="30"/>
  <c r="AL55" i="8"/>
  <c r="D5" i="30" s="1"/>
  <c r="K2" i="30"/>
  <c r="K52" i="8"/>
  <c r="BJ54" i="8"/>
  <c r="CP792" i="8"/>
  <c r="HF792" i="8"/>
  <c r="CD792" i="8"/>
  <c r="DZ792" i="8"/>
  <c r="DB792" i="8"/>
  <c r="AH792" i="8"/>
  <c r="FJ792" i="8"/>
  <c r="BR792" i="8"/>
  <c r="V792" i="8"/>
  <c r="HR792" i="8"/>
  <c r="J792" i="8"/>
  <c r="GH792" i="8"/>
  <c r="BF792" i="8"/>
  <c r="AT792" i="8"/>
  <c r="GT792" i="8"/>
  <c r="EX792" i="8"/>
  <c r="FV792" i="8"/>
  <c r="DN792" i="8"/>
  <c r="FG792" i="8"/>
  <c r="GT57" i="8"/>
  <c r="EG58" i="8"/>
  <c r="DW55" i="8"/>
  <c r="IA55" i="8"/>
  <c r="J56" i="8"/>
  <c r="AQ57" i="8"/>
  <c r="HR56" i="8"/>
  <c r="GH797" i="8"/>
  <c r="GH56" i="8"/>
  <c r="EI792" i="8"/>
  <c r="S56" i="8"/>
  <c r="AE56" i="8"/>
  <c r="BO55" i="8"/>
  <c r="CM792" i="8"/>
  <c r="CP797" i="8"/>
  <c r="DN58" i="8"/>
  <c r="FV58" i="8"/>
  <c r="DK57" i="8"/>
  <c r="E59" i="8"/>
  <c r="HF57" i="8"/>
  <c r="FG56" i="8"/>
  <c r="GO58" i="8"/>
  <c r="HY58" i="8"/>
  <c r="AH57" i="8"/>
  <c r="E58" i="8"/>
  <c r="ID56" i="8"/>
  <c r="CM55" i="8"/>
  <c r="V57" i="8"/>
  <c r="GO59" i="8"/>
  <c r="BO792" i="8"/>
  <c r="CD58" i="8"/>
  <c r="DW792" i="8"/>
  <c r="HY59" i="8"/>
  <c r="EL56" i="8"/>
  <c r="HM59" i="8"/>
  <c r="BA58" i="8"/>
  <c r="CA792" i="8"/>
  <c r="GQ56" i="8"/>
  <c r="DU58" i="8"/>
  <c r="BC55" i="8"/>
  <c r="BR56" i="8"/>
  <c r="FS57" i="8"/>
  <c r="DZ56" i="8"/>
  <c r="DB57" i="8"/>
  <c r="HM58" i="8"/>
  <c r="HC792" i="8"/>
  <c r="HO55" i="8"/>
  <c r="EG59" i="8"/>
  <c r="EL797" i="8" s="1"/>
  <c r="FJ57" i="8"/>
  <c r="DU59" i="8"/>
  <c r="CY792" i="8"/>
  <c r="BA59" i="8"/>
  <c r="HC56" i="8"/>
  <c r="G55" i="8"/>
  <c r="AT58" i="8"/>
  <c r="CA57" i="8"/>
  <c r="EX57" i="8"/>
  <c r="CP56" i="8"/>
  <c r="BF56" i="8"/>
  <c r="EU56" i="8"/>
  <c r="GE55" i="8"/>
  <c r="EI55" i="8"/>
  <c r="CY56" i="8"/>
  <c r="IA792" i="8"/>
  <c r="G792" i="8"/>
  <c r="S792" i="8"/>
  <c r="BF797" i="8"/>
  <c r="AQ792" i="8"/>
  <c r="GQ792" i="8"/>
  <c r="EU792" i="8"/>
  <c r="FS792" i="8"/>
  <c r="DK792" i="8"/>
  <c r="AE792" i="8"/>
  <c r="R21" i="30" l="1"/>
  <c r="O21" i="30"/>
  <c r="M16" i="30"/>
  <c r="R6" i="30"/>
  <c r="Q21" i="30"/>
  <c r="Q20" i="30"/>
  <c r="O12" i="30"/>
  <c r="O13" i="30"/>
  <c r="Q6" i="30"/>
  <c r="N15" i="30"/>
  <c r="R20" i="30"/>
  <c r="N18" i="30"/>
  <c r="M11" i="30"/>
  <c r="O9" i="30"/>
  <c r="N3" i="30"/>
  <c r="O6" i="30"/>
  <c r="O17" i="30"/>
  <c r="R18" i="30"/>
  <c r="N4" i="30"/>
  <c r="Q18" i="30"/>
  <c r="M5" i="30"/>
  <c r="O2" i="30"/>
  <c r="R2" i="30"/>
  <c r="N10" i="30"/>
  <c r="M8" i="30"/>
  <c r="Q2" i="30"/>
  <c r="N14" i="30"/>
  <c r="Q12" i="30"/>
  <c r="N19" i="30"/>
  <c r="R13" i="30"/>
  <c r="O20" i="30"/>
  <c r="O7" i="30"/>
  <c r="R12" i="30"/>
  <c r="Q13" i="30"/>
  <c r="K13" i="30"/>
  <c r="S13" i="30" s="1"/>
  <c r="EM52" i="8"/>
  <c r="HG52" i="8"/>
  <c r="K19" i="30"/>
  <c r="S19" i="30" s="1"/>
  <c r="AU52" i="8"/>
  <c r="K5" i="30"/>
  <c r="S5" i="30" s="1"/>
  <c r="K9" i="30"/>
  <c r="S9" i="30" s="1"/>
  <c r="CQ52" i="8"/>
  <c r="CE52" i="8"/>
  <c r="K8" i="30"/>
  <c r="S8" i="30" s="1"/>
  <c r="K12" i="30"/>
  <c r="S12" i="30" s="1"/>
  <c r="EA52" i="8"/>
  <c r="GI52" i="8"/>
  <c r="K17" i="30"/>
  <c r="S17" i="30" s="1"/>
  <c r="HS52" i="8"/>
  <c r="K20" i="30"/>
  <c r="S20" i="30" s="1"/>
  <c r="FW52" i="8"/>
  <c r="K16" i="30"/>
  <c r="S16" i="30" s="1"/>
  <c r="BS52" i="8"/>
  <c r="K7" i="30"/>
  <c r="DO52" i="8"/>
  <c r="K11" i="30"/>
  <c r="S11" i="30" s="1"/>
  <c r="K6" i="30"/>
  <c r="S6" i="30" s="1"/>
  <c r="BG52" i="8"/>
  <c r="S15" i="30"/>
  <c r="S4" i="30"/>
  <c r="S3" i="30"/>
  <c r="S10" i="30"/>
  <c r="S7" i="30"/>
  <c r="S14" i="30"/>
  <c r="S21" i="30"/>
  <c r="S18" i="30"/>
  <c r="S2" i="30"/>
  <c r="HR797" i="8"/>
  <c r="IA56" i="8"/>
  <c r="HO792" i="8"/>
  <c r="DZ57" i="8"/>
  <c r="CP57" i="8"/>
  <c r="ID797" i="8"/>
  <c r="ID57" i="8"/>
  <c r="G56" i="8"/>
  <c r="AH58" i="8"/>
  <c r="EI56" i="8"/>
  <c r="EU57" i="8"/>
  <c r="CM56" i="8"/>
  <c r="BO56" i="8"/>
  <c r="GT797" i="8"/>
  <c r="GT58" i="8"/>
  <c r="FG57" i="8"/>
  <c r="GE792" i="8"/>
  <c r="BC56" i="8"/>
  <c r="FV797" i="8"/>
  <c r="CA58" i="8"/>
  <c r="BR57" i="8"/>
  <c r="DN797" i="8"/>
  <c r="BF57" i="8"/>
  <c r="DZ797" i="8"/>
  <c r="EX797" i="8"/>
  <c r="S57" i="8"/>
  <c r="FS58" i="8"/>
  <c r="HF58" i="8"/>
  <c r="GE56" i="8"/>
  <c r="BA796" i="8"/>
  <c r="CY57" i="8"/>
  <c r="AH797" i="8"/>
  <c r="J57" i="8"/>
  <c r="DW56" i="8"/>
  <c r="AE57" i="8"/>
  <c r="BR797" i="8"/>
  <c r="DB797" i="8"/>
  <c r="BA797" i="8"/>
  <c r="EG796" i="8"/>
  <c r="FJ797" i="8"/>
  <c r="EL57" i="8"/>
  <c r="GC796" i="8"/>
  <c r="GH57" i="8"/>
  <c r="DB58" i="8"/>
  <c r="DK58" i="8"/>
  <c r="CK796" i="8"/>
  <c r="HC57" i="8"/>
  <c r="CK797" i="8"/>
  <c r="GC797" i="8"/>
  <c r="EG797" i="8"/>
  <c r="HO56" i="8"/>
  <c r="FJ58" i="8"/>
  <c r="GQ57" i="8"/>
  <c r="J797" i="8"/>
  <c r="HF797" i="8"/>
  <c r="V797" i="8"/>
  <c r="AT797" i="8"/>
  <c r="AQ58" i="8"/>
  <c r="CD797" i="8"/>
  <c r="EX58" i="8"/>
  <c r="V58" i="8"/>
  <c r="HR57" i="8"/>
  <c r="BC792" i="8"/>
  <c r="N2" i="30" l="1"/>
  <c r="L8" i="30"/>
  <c r="BY57" i="8"/>
  <c r="N20" i="30"/>
  <c r="M4" i="30"/>
  <c r="M3" i="30"/>
  <c r="N9" i="30"/>
  <c r="N17" i="30"/>
  <c r="M15" i="30"/>
  <c r="M10" i="30"/>
  <c r="M19" i="30"/>
  <c r="N6" i="30"/>
  <c r="N13" i="30"/>
  <c r="L11" i="30"/>
  <c r="DI57" i="8"/>
  <c r="M18" i="30"/>
  <c r="L16" i="30"/>
  <c r="FQ57" i="8"/>
  <c r="N7" i="30"/>
  <c r="M14" i="30"/>
  <c r="N21" i="30"/>
  <c r="L5" i="30"/>
  <c r="AO57" i="8"/>
  <c r="N12" i="30"/>
  <c r="A2" i="30"/>
  <c r="K62" i="8" s="1"/>
  <c r="A14" i="30"/>
  <c r="EY62" i="8" s="1"/>
  <c r="A13" i="30"/>
  <c r="EM62" i="8" s="1"/>
  <c r="A5" i="30"/>
  <c r="AU62" i="8" s="1"/>
  <c r="A9" i="30"/>
  <c r="CQ62" i="8" s="1"/>
  <c r="A10" i="30"/>
  <c r="DC62" i="8" s="1"/>
  <c r="A11" i="30"/>
  <c r="DO62" i="8" s="1"/>
  <c r="A18" i="30"/>
  <c r="GU62" i="8" s="1"/>
  <c r="A19" i="30"/>
  <c r="HG62" i="8" s="1"/>
  <c r="N794" i="8"/>
  <c r="N796" i="8"/>
  <c r="N795" i="8"/>
  <c r="A20" i="30"/>
  <c r="HS62" i="8" s="1"/>
  <c r="A6" i="30"/>
  <c r="BG62" i="8" s="1"/>
  <c r="A17" i="30"/>
  <c r="GI62" i="8" s="1"/>
  <c r="A7" i="30"/>
  <c r="BS62" i="8" s="1"/>
  <c r="A16" i="30"/>
  <c r="FW62" i="8" s="1"/>
  <c r="A4" i="30"/>
  <c r="AI62" i="8" s="1"/>
  <c r="A15" i="30"/>
  <c r="FK62" i="8" s="1"/>
  <c r="A21" i="30"/>
  <c r="IE62" i="8" s="1"/>
  <c r="A12" i="30"/>
  <c r="EA62" i="8" s="1"/>
  <c r="A3" i="30"/>
  <c r="W62" i="8" s="1"/>
  <c r="A8" i="30"/>
  <c r="CE62" i="8" s="1"/>
  <c r="HM797" i="8"/>
  <c r="HM796" i="8"/>
  <c r="HY797" i="8"/>
  <c r="EL58" i="8"/>
  <c r="BY797" i="8"/>
  <c r="S58" i="8"/>
  <c r="EX793" i="8"/>
  <c r="BF58" i="8"/>
  <c r="CW797" i="8"/>
  <c r="AC797" i="8"/>
  <c r="Q797" i="8"/>
  <c r="AE58" i="8"/>
  <c r="DI797" i="8"/>
  <c r="GO796" i="8"/>
  <c r="DW57" i="8"/>
  <c r="DI796" i="8"/>
  <c r="G57" i="8"/>
  <c r="DN793" i="8"/>
  <c r="HC58" i="8"/>
  <c r="BM797" i="8"/>
  <c r="HO57" i="8"/>
  <c r="FQ796" i="8"/>
  <c r="ES796" i="8"/>
  <c r="AO796" i="8"/>
  <c r="ID58" i="8"/>
  <c r="CP58" i="8"/>
  <c r="FG58" i="8"/>
  <c r="GQ58" i="8"/>
  <c r="AC796" i="8"/>
  <c r="ES797" i="8"/>
  <c r="E797" i="8"/>
  <c r="BR58" i="8"/>
  <c r="FE796" i="8"/>
  <c r="CM57" i="8"/>
  <c r="BO57" i="8"/>
  <c r="HA797" i="8"/>
  <c r="EU58" i="8"/>
  <c r="J58" i="8"/>
  <c r="J793" i="8" s="1"/>
  <c r="FJ793" i="8"/>
  <c r="FQ797" i="8"/>
  <c r="BY796" i="8"/>
  <c r="CW796" i="8"/>
  <c r="EI57" i="8"/>
  <c r="GE57" i="8"/>
  <c r="HA796" i="8"/>
  <c r="BM796" i="8"/>
  <c r="AT793" i="8"/>
  <c r="DZ58" i="8"/>
  <c r="BC57" i="8"/>
  <c r="AO797" i="8"/>
  <c r="E796" i="8"/>
  <c r="V793" i="8"/>
  <c r="IA57" i="8"/>
  <c r="Q796" i="8"/>
  <c r="HR58" i="8"/>
  <c r="GH58" i="8"/>
  <c r="HY796" i="8"/>
  <c r="CY58" i="8"/>
  <c r="DU796" i="8"/>
  <c r="GO797" i="8"/>
  <c r="DU797" i="8"/>
  <c r="FE797" i="8"/>
  <c r="M20" i="30" l="1"/>
  <c r="L15" i="30"/>
  <c r="FE57" i="8"/>
  <c r="M9" i="30"/>
  <c r="M13" i="30"/>
  <c r="L3" i="30"/>
  <c r="Q57" i="8"/>
  <c r="L14" i="30"/>
  <c r="ES57" i="8"/>
  <c r="M7" i="30"/>
  <c r="M13" i="32" s="1"/>
  <c r="BJ795" i="8"/>
  <c r="BJ794" i="8"/>
  <c r="BJ796" i="8"/>
  <c r="M2" i="30"/>
  <c r="M12" i="30"/>
  <c r="L18" i="30"/>
  <c r="GO57" i="8"/>
  <c r="M6" i="30"/>
  <c r="M21" i="30"/>
  <c r="L19" i="30"/>
  <c r="HA57" i="8"/>
  <c r="M17" i="30"/>
  <c r="M17" i="32" s="1"/>
  <c r="L10" i="30"/>
  <c r="CW57" i="8"/>
  <c r="L4" i="30"/>
  <c r="AC57" i="8"/>
  <c r="FB795" i="8"/>
  <c r="FB796" i="8"/>
  <c r="FB794" i="8"/>
  <c r="FZ794" i="8"/>
  <c r="FZ795" i="8"/>
  <c r="FZ796" i="8"/>
  <c r="GI790" i="8"/>
  <c r="EP794" i="8"/>
  <c r="EP796" i="8"/>
  <c r="EP795" i="8"/>
  <c r="M2" i="32"/>
  <c r="O3" i="32"/>
  <c r="D3" i="32"/>
  <c r="F3" i="32"/>
  <c r="E3" i="32"/>
  <c r="AU790" i="8"/>
  <c r="GU790" i="8"/>
  <c r="K790" i="8"/>
  <c r="EY790" i="8"/>
  <c r="HV794" i="8"/>
  <c r="HV796" i="8"/>
  <c r="HV795" i="8"/>
  <c r="DR795" i="8"/>
  <c r="DR796" i="8"/>
  <c r="DR794" i="8"/>
  <c r="M12" i="32"/>
  <c r="M16" i="32"/>
  <c r="GX795" i="8"/>
  <c r="GX794" i="8"/>
  <c r="GX796" i="8"/>
  <c r="BV795" i="8"/>
  <c r="BV796" i="8"/>
  <c r="BV794" i="8"/>
  <c r="Z794" i="8"/>
  <c r="Z796" i="8"/>
  <c r="Z795" i="8"/>
  <c r="N3" i="32"/>
  <c r="DO790" i="8"/>
  <c r="CQ790" i="8"/>
  <c r="DC790" i="8"/>
  <c r="FK790" i="8"/>
  <c r="G19" i="32"/>
  <c r="B2" i="32"/>
  <c r="F11" i="32"/>
  <c r="EM790" i="8"/>
  <c r="S11" i="32"/>
  <c r="H17" i="32"/>
  <c r="S7" i="32"/>
  <c r="H4" i="32"/>
  <c r="K2" i="32"/>
  <c r="G7" i="32"/>
  <c r="P16" i="32"/>
  <c r="I6" i="32"/>
  <c r="K11" i="32"/>
  <c r="K12" i="32"/>
  <c r="S2" i="32"/>
  <c r="J11" i="32"/>
  <c r="B16" i="32"/>
  <c r="P13" i="32"/>
  <c r="H10" i="32"/>
  <c r="P11" i="32"/>
  <c r="P20" i="32"/>
  <c r="P19" i="32"/>
  <c r="D19" i="32"/>
  <c r="I17" i="32"/>
  <c r="H2" i="32"/>
  <c r="D8" i="32"/>
  <c r="H13" i="32"/>
  <c r="E9" i="32"/>
  <c r="H7" i="32"/>
  <c r="D16" i="32"/>
  <c r="K8" i="32"/>
  <c r="D15" i="32"/>
  <c r="H8" i="32"/>
  <c r="I19" i="32"/>
  <c r="O6" i="32"/>
  <c r="I13" i="32"/>
  <c r="O11" i="32"/>
  <c r="P14" i="32"/>
  <c r="I5" i="32"/>
  <c r="I9" i="32"/>
  <c r="HG790" i="8"/>
  <c r="F21" i="32"/>
  <c r="S16" i="32"/>
  <c r="H21" i="32"/>
  <c r="I8" i="32"/>
  <c r="G16" i="32"/>
  <c r="S6" i="32"/>
  <c r="G8" i="32"/>
  <c r="G6" i="32"/>
  <c r="B8" i="32"/>
  <c r="J2" i="32"/>
  <c r="I12" i="32"/>
  <c r="R21" i="32"/>
  <c r="E8" i="32"/>
  <c r="O17" i="32"/>
  <c r="H19" i="32"/>
  <c r="R11" i="32"/>
  <c r="E2" i="32"/>
  <c r="R14" i="32"/>
  <c r="B21" i="32"/>
  <c r="D7" i="32"/>
  <c r="J10" i="32"/>
  <c r="F19" i="32"/>
  <c r="O2" i="32"/>
  <c r="R2" i="32"/>
  <c r="R19" i="32"/>
  <c r="S19" i="32"/>
  <c r="D2" i="32"/>
  <c r="K7" i="32"/>
  <c r="F16" i="32"/>
  <c r="AI790" i="8"/>
  <c r="F12" i="32"/>
  <c r="B7" i="32"/>
  <c r="I2" i="32"/>
  <c r="I16" i="32"/>
  <c r="K6" i="32"/>
  <c r="E16" i="32"/>
  <c r="N7" i="32"/>
  <c r="B19" i="32"/>
  <c r="B17" i="32"/>
  <c r="R7" i="32"/>
  <c r="D10" i="32"/>
  <c r="E11" i="32"/>
  <c r="P2" i="32"/>
  <c r="O12" i="32"/>
  <c r="I7" i="32"/>
  <c r="P10" i="32"/>
  <c r="D11" i="32"/>
  <c r="J7" i="32"/>
  <c r="N15" i="32"/>
  <c r="K17" i="32"/>
  <c r="K10" i="32"/>
  <c r="S17" i="32"/>
  <c r="P4" i="32"/>
  <c r="G2" i="32"/>
  <c r="B6" i="32"/>
  <c r="K21" i="32"/>
  <c r="B10" i="32"/>
  <c r="B4" i="32"/>
  <c r="E18" i="32"/>
  <c r="B11" i="32"/>
  <c r="B13" i="32"/>
  <c r="K18" i="32"/>
  <c r="N12" i="32"/>
  <c r="E7" i="32"/>
  <c r="F2" i="32"/>
  <c r="N2" i="32"/>
  <c r="B796" i="8"/>
  <c r="B795" i="8"/>
  <c r="B794" i="8"/>
  <c r="HJ794" i="8"/>
  <c r="HJ796" i="8"/>
  <c r="HJ795" i="8"/>
  <c r="S5" i="32"/>
  <c r="S4" i="32"/>
  <c r="N5" i="32"/>
  <c r="R13" i="32"/>
  <c r="B20" i="32"/>
  <c r="J20" i="32"/>
  <c r="I3" i="32"/>
  <c r="P12" i="32"/>
  <c r="S20" i="32"/>
  <c r="D13" i="32"/>
  <c r="N17" i="32"/>
  <c r="B14" i="32"/>
  <c r="K4" i="32"/>
  <c r="E21" i="32"/>
  <c r="K13" i="32"/>
  <c r="I10" i="32"/>
  <c r="BG790" i="8"/>
  <c r="E19" i="32"/>
  <c r="D5" i="32"/>
  <c r="R17" i="32"/>
  <c r="E15" i="32"/>
  <c r="I15" i="32"/>
  <c r="P15" i="32"/>
  <c r="HS790" i="8"/>
  <c r="G15" i="32"/>
  <c r="J15" i="32"/>
  <c r="O15" i="32"/>
  <c r="H15" i="32"/>
  <c r="G14" i="32"/>
  <c r="E5" i="32"/>
  <c r="G17" i="32"/>
  <c r="H5" i="32"/>
  <c r="E13" i="32"/>
  <c r="P7" i="32"/>
  <c r="J18" i="32"/>
  <c r="F14" i="32"/>
  <c r="R16" i="32"/>
  <c r="J16" i="32"/>
  <c r="E6" i="32"/>
  <c r="O19" i="32"/>
  <c r="F17" i="32"/>
  <c r="R6" i="32"/>
  <c r="O4" i="32"/>
  <c r="S21" i="32"/>
  <c r="W790" i="8"/>
  <c r="P9" i="32"/>
  <c r="D12" i="32"/>
  <c r="J14" i="32"/>
  <c r="E17" i="32"/>
  <c r="J12" i="32"/>
  <c r="S10" i="32"/>
  <c r="E10" i="32"/>
  <c r="N6" i="32"/>
  <c r="O21" i="32"/>
  <c r="K16" i="32"/>
  <c r="O13" i="32"/>
  <c r="H12" i="32"/>
  <c r="J9" i="32"/>
  <c r="N13" i="32"/>
  <c r="N10" i="32"/>
  <c r="N4" i="32"/>
  <c r="N21" i="32"/>
  <c r="N8" i="32"/>
  <c r="N793" i="8"/>
  <c r="N792" i="8"/>
  <c r="W789" i="8" s="1"/>
  <c r="I4" i="32"/>
  <c r="B5" i="32"/>
  <c r="J21" i="32"/>
  <c r="F9" i="32"/>
  <c r="B3" i="32"/>
  <c r="G12" i="32"/>
  <c r="N19" i="32"/>
  <c r="J17" i="32"/>
  <c r="D17" i="32"/>
  <c r="O14" i="32"/>
  <c r="S15" i="32"/>
  <c r="P6" i="32"/>
  <c r="E4" i="32"/>
  <c r="H9" i="32"/>
  <c r="R9" i="32"/>
  <c r="G9" i="32"/>
  <c r="N9" i="32"/>
  <c r="R3" i="32"/>
  <c r="FW790" i="8"/>
  <c r="K15" i="32"/>
  <c r="J13" i="32"/>
  <c r="S18" i="32"/>
  <c r="D21" i="32"/>
  <c r="I21" i="32"/>
  <c r="R10" i="32"/>
  <c r="O10" i="32"/>
  <c r="E14" i="32"/>
  <c r="B18" i="32"/>
  <c r="O16" i="32"/>
  <c r="R18" i="32"/>
  <c r="P17" i="32"/>
  <c r="S9" i="32"/>
  <c r="B12" i="32"/>
  <c r="G3" i="32"/>
  <c r="R5" i="32"/>
  <c r="G21" i="32"/>
  <c r="F8" i="32"/>
  <c r="K14" i="32"/>
  <c r="J6" i="32"/>
  <c r="H16" i="32"/>
  <c r="J5" i="32"/>
  <c r="F18" i="32"/>
  <c r="F5" i="32"/>
  <c r="O7" i="32"/>
  <c r="D6" i="32"/>
  <c r="B15" i="32"/>
  <c r="N11" i="32"/>
  <c r="F10" i="32"/>
  <c r="R12" i="32"/>
  <c r="K9" i="32"/>
  <c r="BS790" i="8"/>
  <c r="O18" i="32"/>
  <c r="P3" i="32"/>
  <c r="E12" i="32"/>
  <c r="G13" i="32"/>
  <c r="F13" i="32"/>
  <c r="G11" i="32"/>
  <c r="I11" i="32"/>
  <c r="H18" i="32"/>
  <c r="G10" i="32"/>
  <c r="H14" i="32"/>
  <c r="P8" i="32"/>
  <c r="H11" i="32"/>
  <c r="N16" i="32"/>
  <c r="G4" i="32"/>
  <c r="F7" i="32"/>
  <c r="R4" i="32"/>
  <c r="O8" i="32"/>
  <c r="D18" i="32"/>
  <c r="K20" i="32"/>
  <c r="D9" i="32"/>
  <c r="S3" i="32"/>
  <c r="O20" i="32"/>
  <c r="O9" i="32"/>
  <c r="B9" i="32"/>
  <c r="R20" i="32"/>
  <c r="K19" i="32"/>
  <c r="CT795" i="8"/>
  <c r="CT794" i="8"/>
  <c r="CT796" i="8"/>
  <c r="Q792" i="8"/>
  <c r="Q794" i="8" s="1"/>
  <c r="AL794" i="8"/>
  <c r="AL796" i="8"/>
  <c r="AL795" i="8"/>
  <c r="CH795" i="8"/>
  <c r="CH794" i="8"/>
  <c r="CH796" i="8"/>
  <c r="M8" i="32"/>
  <c r="ED795" i="8"/>
  <c r="ED796" i="8"/>
  <c r="ED794" i="8"/>
  <c r="AX794" i="8"/>
  <c r="AX795" i="8"/>
  <c r="AX796" i="8"/>
  <c r="M21" i="32"/>
  <c r="GL795" i="8"/>
  <c r="GL796" i="8"/>
  <c r="GL794" i="8"/>
  <c r="S14" i="32"/>
  <c r="E20" i="32"/>
  <c r="D14" i="32"/>
  <c r="K5" i="32"/>
  <c r="J3" i="32"/>
  <c r="F20" i="32"/>
  <c r="H3" i="32"/>
  <c r="CE790" i="8"/>
  <c r="P5" i="32"/>
  <c r="P21" i="32"/>
  <c r="R15" i="32"/>
  <c r="F4" i="32"/>
  <c r="P18" i="32"/>
  <c r="S13" i="32"/>
  <c r="J8" i="32"/>
  <c r="G20" i="32"/>
  <c r="G5" i="32"/>
  <c r="S12" i="32"/>
  <c r="K3" i="32"/>
  <c r="EA790" i="8"/>
  <c r="R8" i="32"/>
  <c r="I18" i="32"/>
  <c r="I20" i="32"/>
  <c r="G18" i="32"/>
  <c r="N14" i="32"/>
  <c r="IE790" i="8"/>
  <c r="H6" i="32"/>
  <c r="D4" i="32"/>
  <c r="J4" i="32"/>
  <c r="F15" i="32"/>
  <c r="F6" i="32"/>
  <c r="S8" i="32"/>
  <c r="I14" i="32"/>
  <c r="N18" i="32"/>
  <c r="D20" i="32"/>
  <c r="O5" i="32"/>
  <c r="J19" i="32"/>
  <c r="H20" i="32"/>
  <c r="M15" i="32"/>
  <c r="FN794" i="8"/>
  <c r="FN795" i="8"/>
  <c r="FN796" i="8"/>
  <c r="N20" i="32"/>
  <c r="DF795" i="8"/>
  <c r="DF794" i="8"/>
  <c r="DF796" i="8"/>
  <c r="GH793" i="8"/>
  <c r="BO58" i="8"/>
  <c r="EU793" i="8"/>
  <c r="HO58" i="8"/>
  <c r="G793" i="8"/>
  <c r="DW58" i="8"/>
  <c r="DZ793" i="8"/>
  <c r="S793" i="8"/>
  <c r="BF793" i="8"/>
  <c r="V794" i="8"/>
  <c r="GE58" i="8"/>
  <c r="FG793" i="8"/>
  <c r="AT794" i="8"/>
  <c r="HR793" i="8"/>
  <c r="BR793" i="8"/>
  <c r="EX794" i="8"/>
  <c r="FV793" i="8"/>
  <c r="CP793" i="8"/>
  <c r="J794" i="8"/>
  <c r="GT793" i="8"/>
  <c r="ID793" i="8"/>
  <c r="AQ793" i="8"/>
  <c r="DN794" i="8"/>
  <c r="HF793" i="8"/>
  <c r="DB793" i="8"/>
  <c r="DK793" i="8"/>
  <c r="EI58" i="8"/>
  <c r="BC58" i="8"/>
  <c r="EL793" i="8"/>
  <c r="IA58" i="8"/>
  <c r="CM58" i="8"/>
  <c r="G58" i="8"/>
  <c r="AH793" i="8"/>
  <c r="FJ794" i="8"/>
  <c r="CD793" i="8"/>
  <c r="BJ792" i="8" l="1"/>
  <c r="BS789" i="8" s="1"/>
  <c r="BJ793" i="8"/>
  <c r="L6" i="30"/>
  <c r="BA57" i="8"/>
  <c r="L9" i="30"/>
  <c r="CK57" i="8"/>
  <c r="L12" i="30"/>
  <c r="DU57" i="8"/>
  <c r="L2" i="30"/>
  <c r="E57" i="8"/>
  <c r="L17" i="30"/>
  <c r="L17" i="32" s="1"/>
  <c r="GC57" i="8"/>
  <c r="L7" i="30"/>
  <c r="L13" i="32" s="1"/>
  <c r="BM57" i="8"/>
  <c r="BM792" i="8"/>
  <c r="BM794" i="8" s="1"/>
  <c r="L21" i="30"/>
  <c r="HY57" i="8"/>
  <c r="L20" i="30"/>
  <c r="HM57" i="8"/>
  <c r="L13" i="30"/>
  <c r="EG57" i="8"/>
  <c r="M9" i="32"/>
  <c r="FZ792" i="8"/>
  <c r="GI789" i="8" s="1"/>
  <c r="FB793" i="8"/>
  <c r="FB792" i="8"/>
  <c r="FK789" i="8" s="1"/>
  <c r="M4" i="32"/>
  <c r="FZ793" i="8"/>
  <c r="GC792" i="8"/>
  <c r="GC794" i="8" s="1"/>
  <c r="FE792" i="8"/>
  <c r="FE794" i="8" s="1"/>
  <c r="EP793" i="8"/>
  <c r="EP792" i="8"/>
  <c r="EY789" i="8" s="1"/>
  <c r="L2" i="32"/>
  <c r="ES792" i="8"/>
  <c r="ES794" i="8" s="1"/>
  <c r="GX792" i="8"/>
  <c r="HG789" i="8" s="1"/>
  <c r="GX793" i="8"/>
  <c r="DR793" i="8"/>
  <c r="Z793" i="8"/>
  <c r="HV793" i="8"/>
  <c r="Z792" i="8"/>
  <c r="AI789" i="8" s="1"/>
  <c r="HV792" i="8"/>
  <c r="IE789" i="8" s="1"/>
  <c r="BV793" i="8"/>
  <c r="DR792" i="8"/>
  <c r="EA789" i="8" s="1"/>
  <c r="BY792" i="8"/>
  <c r="BY794" i="8" s="1"/>
  <c r="HA792" i="8"/>
  <c r="HA794" i="8" s="1"/>
  <c r="AC792" i="8"/>
  <c r="AC794" i="8" s="1"/>
  <c r="DU792" i="8"/>
  <c r="DU794" i="8" s="1"/>
  <c r="L21" i="32"/>
  <c r="HY792" i="8"/>
  <c r="HY794" i="8" s="1"/>
  <c r="BV792" i="8"/>
  <c r="CE789" i="8" s="1"/>
  <c r="M19" i="32"/>
  <c r="M11" i="32"/>
  <c r="M3" i="32"/>
  <c r="M7" i="32"/>
  <c r="M6" i="32"/>
  <c r="M10" i="32"/>
  <c r="B792" i="8"/>
  <c r="K789" i="8" s="1"/>
  <c r="B793" i="8"/>
  <c r="HJ792" i="8"/>
  <c r="HS789" i="8" s="1"/>
  <c r="HJ793" i="8"/>
  <c r="E792" i="8"/>
  <c r="E794" i="8" s="1"/>
  <c r="HM792" i="8"/>
  <c r="HM794" i="8" s="1"/>
  <c r="CT793" i="8"/>
  <c r="AL792" i="8"/>
  <c r="AU789" i="8" s="1"/>
  <c r="CT792" i="8"/>
  <c r="DC789" i="8" s="1"/>
  <c r="AX792" i="8"/>
  <c r="BG789" i="8" s="1"/>
  <c r="GL793" i="8"/>
  <c r="GL792" i="8"/>
  <c r="GU789" i="8" s="1"/>
  <c r="AL793" i="8"/>
  <c r="AX793" i="8"/>
  <c r="CH793" i="8"/>
  <c r="ED792" i="8"/>
  <c r="EM789" i="8" s="1"/>
  <c r="CK792" i="8"/>
  <c r="CK794" i="8" s="1"/>
  <c r="EG792" i="8"/>
  <c r="EG794" i="8" s="1"/>
  <c r="CW792" i="8"/>
  <c r="CW794" i="8" s="1"/>
  <c r="BA792" i="8"/>
  <c r="BA794" i="8" s="1"/>
  <c r="AO792" i="8"/>
  <c r="AO794" i="8" s="1"/>
  <c r="GO792" i="8"/>
  <c r="GO794" i="8" s="1"/>
  <c r="ED793" i="8"/>
  <c r="CH792" i="8"/>
  <c r="CQ789" i="8" s="1"/>
  <c r="M5" i="32"/>
  <c r="M14" i="32"/>
  <c r="FN792" i="8"/>
  <c r="FW789" i="8" s="1"/>
  <c r="FQ792" i="8"/>
  <c r="FQ794" i="8" s="1"/>
  <c r="FN793" i="8"/>
  <c r="M18" i="32"/>
  <c r="M20" i="32"/>
  <c r="DI792" i="8"/>
  <c r="DI794" i="8" s="1"/>
  <c r="DF792" i="8"/>
  <c r="DO789" i="8" s="1"/>
  <c r="DF793" i="8"/>
  <c r="BO793" i="8"/>
  <c r="BC793" i="8"/>
  <c r="EL794" i="8"/>
  <c r="GH794" i="8"/>
  <c r="BF794" i="8"/>
  <c r="FS793" i="8"/>
  <c r="CA793" i="8"/>
  <c r="BR794" i="8"/>
  <c r="DB794" i="8"/>
  <c r="EI793" i="8"/>
  <c r="AT795" i="8"/>
  <c r="V795" i="8"/>
  <c r="HC793" i="8"/>
  <c r="CY793" i="8"/>
  <c r="DW793" i="8"/>
  <c r="G794" i="8"/>
  <c r="CM793" i="8"/>
  <c r="HO793" i="8"/>
  <c r="AH794" i="8"/>
  <c r="FV794" i="8"/>
  <c r="HR794" i="8"/>
  <c r="ID794" i="8"/>
  <c r="FG794" i="8"/>
  <c r="GE793" i="8"/>
  <c r="DN795" i="8"/>
  <c r="DZ794" i="8"/>
  <c r="DK794" i="8"/>
  <c r="CD794" i="8"/>
  <c r="J795" i="8"/>
  <c r="IA793" i="8"/>
  <c r="EU794" i="8"/>
  <c r="AE793" i="8"/>
  <c r="EX795" i="8"/>
  <c r="AQ794" i="8"/>
  <c r="GQ793" i="8"/>
  <c r="HF794" i="8"/>
  <c r="GT794" i="8"/>
  <c r="S794" i="8"/>
  <c r="FJ795" i="8"/>
  <c r="CP794" i="8"/>
  <c r="L12" i="32" l="1"/>
  <c r="L15" i="32"/>
  <c r="L4" i="32"/>
  <c r="L5" i="32"/>
  <c r="L9" i="32"/>
  <c r="L19" i="32"/>
  <c r="L11" i="32"/>
  <c r="L3" i="32"/>
  <c r="L8" i="32"/>
  <c r="L6" i="32"/>
  <c r="L7" i="32"/>
  <c r="L10" i="32"/>
  <c r="L16" i="32"/>
  <c r="L14" i="32"/>
  <c r="L18" i="32"/>
  <c r="L20" i="32"/>
  <c r="HR795" i="8"/>
  <c r="AQ795" i="8"/>
  <c r="EL795" i="8"/>
  <c r="HC794" i="8"/>
  <c r="EX796" i="8"/>
  <c r="DN796" i="8"/>
  <c r="DZ795" i="8"/>
  <c r="EU795" i="8"/>
  <c r="CA794" i="8"/>
  <c r="HO794" i="8"/>
  <c r="DW794" i="8"/>
  <c r="FV795" i="8"/>
  <c r="AT796" i="8"/>
  <c r="AE794" i="8"/>
  <c r="IA794" i="8"/>
  <c r="BO794" i="8"/>
  <c r="CP795" i="8"/>
  <c r="FJ796" i="8"/>
  <c r="BR795" i="8"/>
  <c r="HF795" i="8"/>
  <c r="V796" i="8"/>
  <c r="ID795" i="8"/>
  <c r="BF795" i="8"/>
  <c r="FS794" i="8"/>
  <c r="AH795" i="8"/>
  <c r="GH795" i="8"/>
  <c r="G795" i="8"/>
  <c r="S795" i="8"/>
  <c r="GQ794" i="8"/>
  <c r="EI794" i="8"/>
  <c r="GE794" i="8"/>
  <c r="J796" i="8"/>
  <c r="BC794" i="8"/>
  <c r="CY794" i="8"/>
  <c r="FG795" i="8"/>
  <c r="CD795" i="8"/>
  <c r="CM794" i="8"/>
  <c r="DB795" i="8"/>
  <c r="DK795" i="8"/>
  <c r="GT795" i="8"/>
  <c r="GT796" i="8" l="1"/>
  <c r="BF796" i="8"/>
  <c r="FV796" i="8"/>
  <c r="FS795" i="8"/>
  <c r="ID796" i="8"/>
  <c r="BR796" i="8"/>
  <c r="FG796" i="8"/>
  <c r="CM795" i="8"/>
  <c r="BC795" i="8"/>
  <c r="GQ795" i="8"/>
  <c r="IA795" i="8"/>
  <c r="DW795" i="8"/>
  <c r="BO795" i="8"/>
  <c r="HR796" i="8"/>
  <c r="DB796" i="8"/>
  <c r="EI795" i="8"/>
  <c r="AQ796" i="8"/>
  <c r="CY795" i="8"/>
  <c r="S796" i="8"/>
  <c r="DZ796" i="8"/>
  <c r="EU796" i="8"/>
  <c r="GE795" i="8"/>
  <c r="HO795" i="8"/>
  <c r="AH796" i="8"/>
  <c r="CD796" i="8"/>
  <c r="HC795" i="8"/>
  <c r="DK796" i="8"/>
  <c r="HF796" i="8"/>
  <c r="EL796" i="8"/>
  <c r="GH796" i="8"/>
  <c r="AE795" i="8"/>
  <c r="CA795" i="8"/>
  <c r="CP796" i="8"/>
  <c r="G796" i="8"/>
  <c r="E795" i="8" l="1"/>
  <c r="DI795" i="8"/>
  <c r="ES795" i="8"/>
  <c r="Q795" i="8"/>
  <c r="AO795" i="8"/>
  <c r="FE795" i="8"/>
  <c r="GQ796" i="8"/>
  <c r="CM796" i="8"/>
  <c r="DW796" i="8"/>
  <c r="HO796" i="8"/>
  <c r="CY796" i="8"/>
  <c r="GE796" i="8"/>
  <c r="BO796" i="8"/>
  <c r="BC796" i="8"/>
  <c r="AE796" i="8"/>
  <c r="EI796" i="8"/>
  <c r="IA796" i="8"/>
  <c r="FS796" i="8"/>
  <c r="CA796" i="8"/>
  <c r="HC796" i="8"/>
  <c r="HA795" i="8" l="1"/>
  <c r="BY795" i="8"/>
  <c r="FQ795" i="8"/>
  <c r="HY795" i="8"/>
  <c r="EG795" i="8"/>
  <c r="AC795" i="8"/>
  <c r="BA795" i="8"/>
  <c r="BM795" i="8"/>
  <c r="GC795" i="8"/>
  <c r="CW795" i="8"/>
  <c r="HM795" i="8"/>
  <c r="DU795" i="8"/>
  <c r="CK795" i="8"/>
  <c r="GO79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keepAlive="1" name="Query - output_ENG 1_2021" type="5" refreshedVersion="8" deleted="1" saveData="1">
    <dbPr connection="" command=""/>
  </connection>
</connections>
</file>

<file path=xl/sharedStrings.xml><?xml version="1.0" encoding="utf-8"?>
<sst xmlns="http://schemas.openxmlformats.org/spreadsheetml/2006/main" count="9522" uniqueCount="686">
  <si>
    <t>G</t>
  </si>
  <si>
    <t>Arsenal</t>
  </si>
  <si>
    <t>Aston Villa</t>
  </si>
  <si>
    <t>Bournemouth</t>
  </si>
  <si>
    <t>Brighton</t>
  </si>
  <si>
    <t>Chelsea</t>
  </si>
  <si>
    <t>Crystal Palace</t>
  </si>
  <si>
    <t>Everton</t>
  </si>
  <si>
    <t>Leicester</t>
  </si>
  <si>
    <t>Liverpool</t>
  </si>
  <si>
    <t>Man City</t>
  </si>
  <si>
    <t>Man Utd</t>
  </si>
  <si>
    <t>Newcastle</t>
  </si>
  <si>
    <t>Southampton</t>
  </si>
  <si>
    <t>Spurs</t>
  </si>
  <si>
    <t>West Ham</t>
  </si>
  <si>
    <t>Wolves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</si>
  <si>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</si>
  <si>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</si>
  <si>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</si>
  <si>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</si>
  <si>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</si>
  <si>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</si>
  <si>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</si>
  <si>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</si>
  <si>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</si>
  <si>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</si>
  <si>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Match Date</t>
  </si>
  <si>
    <t>Match Time(EST)</t>
  </si>
  <si>
    <t>Fixture</t>
  </si>
  <si>
    <t>Stadium</t>
  </si>
  <si>
    <t>Home Team</t>
  </si>
  <si>
    <t>Home Goal</t>
  </si>
  <si>
    <t>Away Goal</t>
  </si>
  <si>
    <t>Away Team</t>
  </si>
  <si>
    <t>Last Update Time</t>
  </si>
  <si>
    <t>Stage</t>
  </si>
  <si>
    <t>Status</t>
  </si>
  <si>
    <t>Note4</t>
  </si>
  <si>
    <t>Projected Home Goal</t>
  </si>
  <si>
    <t>Projected Away Goal</t>
  </si>
  <si>
    <t>Win %</t>
  </si>
  <si>
    <t>Draw %</t>
  </si>
  <si>
    <t>Loss %</t>
  </si>
  <si>
    <t>Guess Home</t>
  </si>
  <si>
    <t>Guess Away</t>
  </si>
  <si>
    <t>Dice Home</t>
  </si>
  <si>
    <t>Dice Away</t>
  </si>
  <si>
    <t>Anfield</t>
  </si>
  <si>
    <t>REGULAR_SEASON</t>
  </si>
  <si>
    <t>London Stadium</t>
  </si>
  <si>
    <t>Vitality Stadium</t>
  </si>
  <si>
    <t>Selhurst Park</t>
  </si>
  <si>
    <t>Tottenham Hotspur Stadium</t>
  </si>
  <si>
    <t>King Power Stadium</t>
  </si>
  <si>
    <t>St. James' Park</t>
  </si>
  <si>
    <t>Old Trafford</t>
  </si>
  <si>
    <t>Emirates Stadium</t>
  </si>
  <si>
    <t>Villa Park</t>
  </si>
  <si>
    <t>Goodison Park</t>
  </si>
  <si>
    <t>St. Mary's Stadium</t>
  </si>
  <si>
    <t>Etihad Stadium</t>
  </si>
  <si>
    <t>Stamford Bridge</t>
  </si>
  <si>
    <t>Molineux Stadium</t>
  </si>
  <si>
    <t>Match Day 1</t>
  </si>
  <si>
    <t>Match Day 2</t>
  </si>
  <si>
    <t>Match Day 3</t>
  </si>
  <si>
    <t>Match Day 4</t>
  </si>
  <si>
    <t>Match Day 5</t>
  </si>
  <si>
    <t>Match Day 6</t>
  </si>
  <si>
    <t>Match Day 8</t>
  </si>
  <si>
    <t>Match Day 9</t>
  </si>
  <si>
    <t>Match Day 10</t>
  </si>
  <si>
    <t>Match Day 11</t>
  </si>
  <si>
    <t>Match Day 12</t>
  </si>
  <si>
    <t>Match Day 13</t>
  </si>
  <si>
    <t>Match Day 14</t>
  </si>
  <si>
    <t>Match Day 15</t>
  </si>
  <si>
    <t>Match Day 16</t>
  </si>
  <si>
    <t>Match Day 17</t>
  </si>
  <si>
    <t>Match Day 18</t>
  </si>
  <si>
    <t>Match Day 19</t>
  </si>
  <si>
    <t>Match Day 20</t>
  </si>
  <si>
    <t>Match Day 21</t>
  </si>
  <si>
    <t>Match Day 22</t>
  </si>
  <si>
    <t>Match Day 23</t>
  </si>
  <si>
    <t>Match Day 24</t>
  </si>
  <si>
    <t>Match Day 25</t>
  </si>
  <si>
    <t>Match Day 26</t>
  </si>
  <si>
    <t>Match Day 27</t>
  </si>
  <si>
    <t>Match Day 28</t>
  </si>
  <si>
    <t>Match Day 29</t>
  </si>
  <si>
    <t>Match Day 30</t>
  </si>
  <si>
    <t>Match Day 31</t>
  </si>
  <si>
    <t>Match Day 32</t>
  </si>
  <si>
    <t>Match Day 33</t>
  </si>
  <si>
    <t>Match Day 34</t>
  </si>
  <si>
    <t>Match Day 35</t>
  </si>
  <si>
    <t>Match Day 36</t>
  </si>
  <si>
    <t>Match Day 37</t>
  </si>
  <si>
    <t>Match Day 38</t>
  </si>
  <si>
    <t>Time Zone</t>
  </si>
  <si>
    <t>Match Day</t>
  </si>
  <si>
    <t>MatchDate</t>
  </si>
  <si>
    <t>State</t>
  </si>
  <si>
    <t>Sun</t>
  </si>
  <si>
    <t>A</t>
  </si>
  <si>
    <t>Sat</t>
  </si>
  <si>
    <t>H</t>
  </si>
  <si>
    <t>Mon</t>
  </si>
  <si>
    <t>Wed</t>
  </si>
  <si>
    <t>Tue</t>
  </si>
  <si>
    <t>Rank</t>
  </si>
  <si>
    <t>Team</t>
  </si>
  <si>
    <t>MP</t>
  </si>
  <si>
    <t>Won</t>
  </si>
  <si>
    <t>Drawn</t>
  </si>
  <si>
    <t>Lost</t>
  </si>
  <si>
    <t>GF</t>
  </si>
  <si>
    <t>GA</t>
  </si>
  <si>
    <t>GD</t>
  </si>
  <si>
    <t>Points</t>
  </si>
  <si>
    <t>Form</t>
  </si>
  <si>
    <t>Next Game</t>
  </si>
  <si>
    <t xml:space="preserve">    </t>
  </si>
  <si>
    <t>Brentford</t>
  </si>
  <si>
    <t>Fulham</t>
  </si>
  <si>
    <t>US Eastern</t>
  </si>
  <si>
    <t>US Central</t>
  </si>
  <si>
    <t>US Mountain</t>
  </si>
  <si>
    <t>US Pacific</t>
  </si>
  <si>
    <t>Europe Western</t>
  </si>
  <si>
    <t>Europe Central</t>
  </si>
  <si>
    <t>Europe Eastern</t>
  </si>
  <si>
    <t>Europe Moscow</t>
  </si>
  <si>
    <t>Match Time(WET)</t>
  </si>
  <si>
    <t>Match Time(CET)</t>
  </si>
  <si>
    <t>Match Time(EET)</t>
  </si>
  <si>
    <t>Match Time(MSK)</t>
  </si>
  <si>
    <t>Leeds Utd</t>
  </si>
  <si>
    <t>Elland Road</t>
  </si>
  <si>
    <t>Match Time(US EST)</t>
  </si>
  <si>
    <t>Match Time(US CST)</t>
  </si>
  <si>
    <t>Match Time(US MST)</t>
  </si>
  <si>
    <t>Match Time(US PST)</t>
  </si>
  <si>
    <t>Fixture Time Updated on:</t>
  </si>
  <si>
    <t>Fri</t>
  </si>
  <si>
    <t>Brentford vs Arsenal</t>
  </si>
  <si>
    <t>Chelsea vs Crystal Palace</t>
  </si>
  <si>
    <t>Everton vs Southampton</t>
  </si>
  <si>
    <t>Crystal Palace vs Brentford</t>
  </si>
  <si>
    <t>Amex Stadium</t>
  </si>
  <si>
    <t>Arsenal vs Chelsea</t>
  </si>
  <si>
    <t>Aston Villa vs Brentford</t>
  </si>
  <si>
    <t>Liverpool vs Chelsea</t>
  </si>
  <si>
    <t>Chelsea vs Aston Villa</t>
  </si>
  <si>
    <t>Aston Villa vs Everton</t>
  </si>
  <si>
    <t>Liverpool vs Crystal Palace</t>
  </si>
  <si>
    <t>Brentford vs Liverpool</t>
  </si>
  <si>
    <t>Chelsea vs Southampton</t>
  </si>
  <si>
    <t>Arsenal vs Crystal Palace</t>
  </si>
  <si>
    <t>Brentford vs Chelsea</t>
  </si>
  <si>
    <t>Arsenal vs Aston Villa</t>
  </si>
  <si>
    <t>Southampton vs Aston Villa</t>
  </si>
  <si>
    <t>Liverpool vs Arsenal</t>
  </si>
  <si>
    <t>Brentford vs Everton</t>
  </si>
  <si>
    <t>Crystal Palace vs Aston Villa</t>
  </si>
  <si>
    <t>Liverpool vs Southampton</t>
  </si>
  <si>
    <t>Everton vs Liverpool</t>
  </si>
  <si>
    <t>Everton vs Arsenal</t>
  </si>
  <si>
    <t>Arsenal vs Southampton</t>
  </si>
  <si>
    <t>Crystal Palace vs Everton</t>
  </si>
  <si>
    <t>Liverpool vs Aston Villa</t>
  </si>
  <si>
    <t>Crystal Palace vs Southampton</t>
  </si>
  <si>
    <t>Chelsea vs Everton</t>
  </si>
  <si>
    <t>Southampton vs Brentford</t>
  </si>
  <si>
    <t>Aston Villa vs Chelsea</t>
  </si>
  <si>
    <t>Brentford vs Aston Villa</t>
  </si>
  <si>
    <t>Chelsea vs Liverpool</t>
  </si>
  <si>
    <t>Liverpool vs Brentford</t>
  </si>
  <si>
    <t>Crystal Palace vs Liverpool</t>
  </si>
  <si>
    <t>Everton vs Aston Villa</t>
  </si>
  <si>
    <t>Brentford vs Crystal Palace</t>
  </si>
  <si>
    <t>Chelsea vs Arsenal</t>
  </si>
  <si>
    <t>Arsenal vs Brentford</t>
  </si>
  <si>
    <t>Crystal Palace vs Chelsea</t>
  </si>
  <si>
    <t>Southampton vs Everton</t>
  </si>
  <si>
    <t>Arsenal vs Liverpool</t>
  </si>
  <si>
    <t>Aston Villa vs Southampton</t>
  </si>
  <si>
    <t>Aston Villa vs Arsenal</t>
  </si>
  <si>
    <t>Chelsea vs Brentford</t>
  </si>
  <si>
    <t>Crystal Palace vs Arsenal</t>
  </si>
  <si>
    <t>Southampton vs Chelsea</t>
  </si>
  <si>
    <t>Aston Villa vs Liverpool</t>
  </si>
  <si>
    <t>Everton vs Crystal Palace</t>
  </si>
  <si>
    <t>Southampton vs Arsenal</t>
  </si>
  <si>
    <t>Liverpool vs Everton</t>
  </si>
  <si>
    <t>Everton vs Chelsea</t>
  </si>
  <si>
    <t>Southampton vs Crystal Palace</t>
  </si>
  <si>
    <t>Brentford vs Southampton</t>
  </si>
  <si>
    <t>Aston Villa vs Crystal Palace</t>
  </si>
  <si>
    <t>Everton vs Brentford</t>
  </si>
  <si>
    <t>Southampton vs Liverpool</t>
  </si>
  <si>
    <t>Arsenal vs Everton</t>
  </si>
  <si>
    <t>Nottingham Forest</t>
  </si>
  <si>
    <t>Man Utd vs Leeds Utd</t>
  </si>
  <si>
    <t>Leicester vs Wolves</t>
  </si>
  <si>
    <t>Newcastle vs West Ham</t>
  </si>
  <si>
    <t>Spurs vs Man City</t>
  </si>
  <si>
    <t>Aston Villa vs Newcastle</t>
  </si>
  <si>
    <t>Leeds Utd vs Everton</t>
  </si>
  <si>
    <t>Wolves vs Spurs</t>
  </si>
  <si>
    <t>Southampton vs Man Utd</t>
  </si>
  <si>
    <t>West Ham vs Leicester</t>
  </si>
  <si>
    <t>Man City vs Arsenal</t>
  </si>
  <si>
    <t>Brighton vs Everton</t>
  </si>
  <si>
    <t>Newcastle vs Southampton</t>
  </si>
  <si>
    <t>West Ham vs Crystal Palace</t>
  </si>
  <si>
    <t>Wolves vs Man Utd</t>
  </si>
  <si>
    <t>Brentford vs Brighton</t>
  </si>
  <si>
    <t>Crystal Palace vs Spurs</t>
  </si>
  <si>
    <t>Leeds Utd vs Liverpool</t>
  </si>
  <si>
    <t>Leicester vs Man City</t>
  </si>
  <si>
    <t>Man Utd vs Newcastle</t>
  </si>
  <si>
    <t>Southampton vs West Ham</t>
  </si>
  <si>
    <t>Brighton vs Leicester</t>
  </si>
  <si>
    <t>Man City vs Southampton</t>
  </si>
  <si>
    <t>Newcastle vs Leeds Utd</t>
  </si>
  <si>
    <t>Spurs vs Chelsea</t>
  </si>
  <si>
    <t>West Ham vs Man Utd</t>
  </si>
  <si>
    <t>Wolves vs Brentford</t>
  </si>
  <si>
    <t>Arsenal vs Spurs</t>
  </si>
  <si>
    <t>Chelsea vs Man City</t>
  </si>
  <si>
    <t>Crystal Palace vs Brighton</t>
  </si>
  <si>
    <t>Leeds Utd vs West Ham</t>
  </si>
  <si>
    <t>Man Utd vs Aston Villa</t>
  </si>
  <si>
    <t>Southampton vs Wolves</t>
  </si>
  <si>
    <t>Brighton vs Arsenal</t>
  </si>
  <si>
    <t>Crystal Palace vs Leicester</t>
  </si>
  <si>
    <t>Liverpool vs Man City</t>
  </si>
  <si>
    <t>Man Utd vs Everton</t>
  </si>
  <si>
    <t>Spurs vs Aston Villa</t>
  </si>
  <si>
    <t>West Ham vs Brentford</t>
  </si>
  <si>
    <t>Wolves vs Newcastle</t>
  </si>
  <si>
    <t>Aston Villa vs Wolves</t>
  </si>
  <si>
    <t>Everton vs West Ham</t>
  </si>
  <si>
    <t>Leicester vs Man Utd</t>
  </si>
  <si>
    <t>Newcastle vs Spurs</t>
  </si>
  <si>
    <t>Southampton vs Leeds Utd</t>
  </si>
  <si>
    <t>Brentford vs Leicester</t>
  </si>
  <si>
    <t>Brighton vs Man City</t>
  </si>
  <si>
    <t>Crystal Palace vs Newcastle</t>
  </si>
  <si>
    <t>Leeds Utd vs Wolves</t>
  </si>
  <si>
    <t>Man Utd vs Liverpool</t>
  </si>
  <si>
    <t>West Ham vs Spurs</t>
  </si>
  <si>
    <t>Aston Villa vs West Ham</t>
  </si>
  <si>
    <t>Leicester vs Arsenal</t>
  </si>
  <si>
    <t>Liverpool vs Brighton</t>
  </si>
  <si>
    <t>Man City vs Crystal Palace</t>
  </si>
  <si>
    <t>Newcastle vs Chelsea</t>
  </si>
  <si>
    <t>Spurs vs Man Utd</t>
  </si>
  <si>
    <t>Wolves vs Everton</t>
  </si>
  <si>
    <t>Brighton vs Newcastle</t>
  </si>
  <si>
    <t>Crystal Palace vs Wolves</t>
  </si>
  <si>
    <t>Everton vs Spurs</t>
  </si>
  <si>
    <t>Leeds Utd vs Leicester</t>
  </si>
  <si>
    <t>Man Utd vs Man City</t>
  </si>
  <si>
    <t>West Ham vs Liverpool</t>
  </si>
  <si>
    <t>Aston Villa vs Brighton</t>
  </si>
  <si>
    <t>Leicester vs Chelsea</t>
  </si>
  <si>
    <t>Man City vs Everton</t>
  </si>
  <si>
    <t>Newcastle vs Brentford</t>
  </si>
  <si>
    <t>Spurs vs Leeds Utd</t>
  </si>
  <si>
    <t>Wolves vs West Ham</t>
  </si>
  <si>
    <t>Arsenal vs Newcastle</t>
  </si>
  <si>
    <t>Brighton vs Leeds Utd</t>
  </si>
  <si>
    <t>Chelsea vs Man Utd</t>
  </si>
  <si>
    <t>Man City vs West Ham</t>
  </si>
  <si>
    <t>Aston Villa vs Man City</t>
  </si>
  <si>
    <t>Leeds Utd vs Crystal Palace</t>
  </si>
  <si>
    <t>West Ham vs Brighton</t>
  </si>
  <si>
    <t>Man Utd vs Arsenal</t>
  </si>
  <si>
    <t>Southampton vs Leicester</t>
  </si>
  <si>
    <t>Spurs vs Brentford</t>
  </si>
  <si>
    <t>Aston Villa vs Leicester</t>
  </si>
  <si>
    <t>Leeds Utd vs Brentford</t>
  </si>
  <si>
    <t>Man Utd vs Crystal Palace</t>
  </si>
  <si>
    <t>Southampton vs Brighton</t>
  </si>
  <si>
    <t>West Ham vs Chelsea</t>
  </si>
  <si>
    <t>Wolves vs Liverpool</t>
  </si>
  <si>
    <t>Brighton vs Spurs</t>
  </si>
  <si>
    <t>Chelsea vs Leeds Utd</t>
  </si>
  <si>
    <t>Leicester vs Newcastle</t>
  </si>
  <si>
    <t>Man City vs Wolves</t>
  </si>
  <si>
    <t>Arsenal vs West Ham</t>
  </si>
  <si>
    <t>Brentford vs Man Utd</t>
  </si>
  <si>
    <t>Brighton vs Wolves</t>
  </si>
  <si>
    <t>Leicester vs Spurs</t>
  </si>
  <si>
    <t>Liverpool vs Newcastle</t>
  </si>
  <si>
    <t>Man City vs Leeds Utd</t>
  </si>
  <si>
    <t>Everton vs Leicester</t>
  </si>
  <si>
    <t>Leeds Utd vs Arsenal</t>
  </si>
  <si>
    <t>Man Utd vs Brighton</t>
  </si>
  <si>
    <t>Newcastle vs Man City</t>
  </si>
  <si>
    <t>Spurs vs Liverpool</t>
  </si>
  <si>
    <t>Wolves vs Chelsea</t>
  </si>
  <si>
    <t>Brighton vs Brentford</t>
  </si>
  <si>
    <t>Liverpool vs Leeds Utd</t>
  </si>
  <si>
    <t>Man City vs Leicester</t>
  </si>
  <si>
    <t>Newcastle vs Man Utd</t>
  </si>
  <si>
    <t>Spurs vs Crystal Palace</t>
  </si>
  <si>
    <t>West Ham vs Southampton</t>
  </si>
  <si>
    <t>Arsenal vs Wolves</t>
  </si>
  <si>
    <t>Brentford vs Man City</t>
  </si>
  <si>
    <t>Chelsea vs Brighton</t>
  </si>
  <si>
    <t>Everton vs Newcastle</t>
  </si>
  <si>
    <t>Leeds Utd vs Aston Villa</t>
  </si>
  <si>
    <t>Leicester vs Liverpool</t>
  </si>
  <si>
    <t>Southampton vs Spurs</t>
  </si>
  <si>
    <t>Arsenal vs Man City</t>
  </si>
  <si>
    <t>Crystal Palace vs West Ham</t>
  </si>
  <si>
    <t>Everton vs Brighton</t>
  </si>
  <si>
    <t>Man Utd vs Wolves</t>
  </si>
  <si>
    <t>Southampton vs Newcastle</t>
  </si>
  <si>
    <t>Aston Villa vs Man Utd</t>
  </si>
  <si>
    <t>Brighton vs Crystal Palace</t>
  </si>
  <si>
    <t>Man City vs Chelsea</t>
  </si>
  <si>
    <t>Spurs vs Arsenal</t>
  </si>
  <si>
    <t>West Ham vs Leeds Utd</t>
  </si>
  <si>
    <t>Wolves vs Southampton</t>
  </si>
  <si>
    <t>Brentford vs Wolves</t>
  </si>
  <si>
    <t>Chelsea vs Spurs</t>
  </si>
  <si>
    <t>Leeds Utd vs Newcastle</t>
  </si>
  <si>
    <t>Leicester vs Brighton</t>
  </si>
  <si>
    <t>Man Utd vs West Ham</t>
  </si>
  <si>
    <t>Southampton vs Man City</t>
  </si>
  <si>
    <t>Aston Villa vs Leeds Utd</t>
  </si>
  <si>
    <t>Brighton vs Chelsea</t>
  </si>
  <si>
    <t>Wolves vs Arsenal</t>
  </si>
  <si>
    <t>Newcastle vs Everton</t>
  </si>
  <si>
    <t>Spurs vs Southampton</t>
  </si>
  <si>
    <t>Liverpool vs Leicester</t>
  </si>
  <si>
    <t>Man City vs Brentford</t>
  </si>
  <si>
    <t>Everton vs Leeds Utd</t>
  </si>
  <si>
    <t>Leicester vs West Ham</t>
  </si>
  <si>
    <t>Man Utd vs Southampton</t>
  </si>
  <si>
    <t>Newcastle vs Aston Villa</t>
  </si>
  <si>
    <t>Spurs vs Wolves</t>
  </si>
  <si>
    <t>Leeds Utd vs Man Utd</t>
  </si>
  <si>
    <t>Man City vs Spurs</t>
  </si>
  <si>
    <t>West Ham vs Newcastle</t>
  </si>
  <si>
    <t>Wolves vs Leicester</t>
  </si>
  <si>
    <t>Brentford vs Newcastle</t>
  </si>
  <si>
    <t>Brighton vs Aston Villa</t>
  </si>
  <si>
    <t>Chelsea vs Leicester</t>
  </si>
  <si>
    <t>Everton vs Man City</t>
  </si>
  <si>
    <t>Leeds Utd vs Spurs</t>
  </si>
  <si>
    <t>West Ham vs Wolves</t>
  </si>
  <si>
    <t>Leicester vs Leeds Utd</t>
  </si>
  <si>
    <t>Liverpool vs West Ham</t>
  </si>
  <si>
    <t>Man City vs Man Utd</t>
  </si>
  <si>
    <t>Newcastle vs Brighton</t>
  </si>
  <si>
    <t>Spurs vs Everton</t>
  </si>
  <si>
    <t>Wolves vs Crystal Palace</t>
  </si>
  <si>
    <t>Arsenal vs Leicester</t>
  </si>
  <si>
    <t>Brighton vs Liverpool</t>
  </si>
  <si>
    <t>Chelsea vs Newcastle</t>
  </si>
  <si>
    <t>Crystal Palace vs Man City</t>
  </si>
  <si>
    <t>Everton vs Wolves</t>
  </si>
  <si>
    <t>Man Utd vs Spurs</t>
  </si>
  <si>
    <t>West Ham vs Aston Villa</t>
  </si>
  <si>
    <t>Leicester vs Brentford</t>
  </si>
  <si>
    <t>Liverpool vs Man Utd</t>
  </si>
  <si>
    <t>Man City vs Brighton</t>
  </si>
  <si>
    <t>Newcastle vs Crystal Palace</t>
  </si>
  <si>
    <t>Spurs vs West Ham</t>
  </si>
  <si>
    <t>Wolves vs Leeds Utd</t>
  </si>
  <si>
    <t>Leeds Utd vs Southampton</t>
  </si>
  <si>
    <t>Man Utd vs Leicester</t>
  </si>
  <si>
    <t>Spurs vs Newcastle</t>
  </si>
  <si>
    <t>West Ham vs Everton</t>
  </si>
  <si>
    <t>Wolves vs Aston Villa</t>
  </si>
  <si>
    <t>Arsenal vs Brighton</t>
  </si>
  <si>
    <t>Aston Villa vs Spurs</t>
  </si>
  <si>
    <t>Brentford vs West Ham</t>
  </si>
  <si>
    <t>Everton vs Man Utd</t>
  </si>
  <si>
    <t>Leicester vs Crystal Palace</t>
  </si>
  <si>
    <t>Man City vs Liverpool</t>
  </si>
  <si>
    <t>Newcastle vs Wolves</t>
  </si>
  <si>
    <t>Leeds Utd vs Chelsea</t>
  </si>
  <si>
    <t>Newcastle vs Leicester</t>
  </si>
  <si>
    <t>Spurs vs Brighton</t>
  </si>
  <si>
    <t>Wolves vs Man City</t>
  </si>
  <si>
    <t>Arsenal vs Man Utd</t>
  </si>
  <si>
    <t>Brentford vs Spurs</t>
  </si>
  <si>
    <t>Brighton vs Southampton</t>
  </si>
  <si>
    <t>Chelsea vs West Ham</t>
  </si>
  <si>
    <t>Crystal Palace vs Leeds Utd</t>
  </si>
  <si>
    <t>Leicester vs Aston Villa</t>
  </si>
  <si>
    <t>Leeds Utd vs Man City</t>
  </si>
  <si>
    <t>Man Utd vs Brentford</t>
  </si>
  <si>
    <t>Newcastle vs Liverpool</t>
  </si>
  <si>
    <t>Spurs vs Leicester</t>
  </si>
  <si>
    <t>West Ham vs Arsenal</t>
  </si>
  <si>
    <t>Wolves vs Brighton</t>
  </si>
  <si>
    <t>Arsenal vs Leeds Utd</t>
  </si>
  <si>
    <t>Brighton vs Man Utd</t>
  </si>
  <si>
    <t>Chelsea vs Wolves</t>
  </si>
  <si>
    <t>Leicester vs Everton</t>
  </si>
  <si>
    <t>Liverpool vs Spurs</t>
  </si>
  <si>
    <t>Man City vs Newcastle</t>
  </si>
  <si>
    <t>Leeds Utd vs Brighton</t>
  </si>
  <si>
    <t>Man Utd vs Chelsea</t>
  </si>
  <si>
    <t>Newcastle vs Arsenal</t>
  </si>
  <si>
    <t>West Ham vs Man City</t>
  </si>
  <si>
    <t>Brentford vs Leeds Utd</t>
  </si>
  <si>
    <t>Brighton vs West Ham</t>
  </si>
  <si>
    <t>Crystal Palace vs Man Utd</t>
  </si>
  <si>
    <t>Leicester vs Southampton</t>
  </si>
  <si>
    <t>Liverpool vs Wolves</t>
  </si>
  <si>
    <t>Man City vs Aston Villa</t>
  </si>
  <si>
    <t>Likely Away Goal</t>
  </si>
  <si>
    <t>Likely Home Goal</t>
  </si>
  <si>
    <t>Useful links:</t>
  </si>
  <si>
    <t>https://www.excel4soccer.com/</t>
  </si>
  <si>
    <t>https://projects.fivethirtyeight.com/soccer-predictions/premier-league/</t>
  </si>
  <si>
    <t>ENG.1</t>
  </si>
  <si>
    <t>Clubs</t>
  </si>
  <si>
    <t>Penalty Points Imposed by League</t>
  </si>
  <si>
    <t>Premier League 2022-2023</t>
  </si>
  <si>
    <t>Fulham vs Liverpool</t>
  </si>
  <si>
    <t>Craven Cottage</t>
  </si>
  <si>
    <t>Bournemouth vs Aston Villa</t>
  </si>
  <si>
    <t>Newcastle vs Nottingham Forest</t>
  </si>
  <si>
    <t>Man City vs Bournemouth</t>
  </si>
  <si>
    <t>Nottingham Forest vs West Ham</t>
  </si>
  <si>
    <t>The City Ground</t>
  </si>
  <si>
    <t>Wolves vs Fulham</t>
  </si>
  <si>
    <t>Bournemouth vs Arsenal</t>
  </si>
  <si>
    <t>Everton vs Nottingham Forest</t>
  </si>
  <si>
    <t>Fulham vs Brentford</t>
  </si>
  <si>
    <t>Arsenal vs Fulham</t>
  </si>
  <si>
    <t>Liverpool vs Bournemouth</t>
  </si>
  <si>
    <t>Nottingham Forest vs Spurs</t>
  </si>
  <si>
    <t>Bournemouth vs Wolves</t>
  </si>
  <si>
    <t>Fulham vs Brighton</t>
  </si>
  <si>
    <t>Man City vs Nottingham Forest</t>
  </si>
  <si>
    <t>Nottingham Forest vs Bournemouth</t>
  </si>
  <si>
    <t>Spurs vs Fulham</t>
  </si>
  <si>
    <t>Bournemouth vs Brighton</t>
  </si>
  <si>
    <t>Fulham vs Chelsea</t>
  </si>
  <si>
    <t>Leeds Utd vs Nottingham Forest</t>
  </si>
  <si>
    <t>Newcastle vs Bournemouth</t>
  </si>
  <si>
    <t>Nottingham Forest vs Fulham</t>
  </si>
  <si>
    <t>Bournemouth vs Brentford</t>
  </si>
  <si>
    <t>Fulham vs Newcastle</t>
  </si>
  <si>
    <t>Leicester vs Nottingham Forest</t>
  </si>
  <si>
    <t>Bournemouth vs Leicester</t>
  </si>
  <si>
    <t>Nottingham Forest vs Aston Villa</t>
  </si>
  <si>
    <t>West Ham vs Fulham</t>
  </si>
  <si>
    <t>Fulham vs Bournemouth</t>
  </si>
  <si>
    <t>Wolves vs Nottingham Forest</t>
  </si>
  <si>
    <t>Bournemouth vs Southampton</t>
  </si>
  <si>
    <t>Brighton vs Nottingham Forest</t>
  </si>
  <si>
    <t>Fulham vs Aston Villa</t>
  </si>
  <si>
    <t>Leeds Utd vs Fulham</t>
  </si>
  <si>
    <t>Nottingham Forest vs Liverpool</t>
  </si>
  <si>
    <t>West Ham vs Bournemouth</t>
  </si>
  <si>
    <t>Arsenal vs Nottingham Forest</t>
  </si>
  <si>
    <t>Bournemouth vs Spurs</t>
  </si>
  <si>
    <t>Fulham vs Everton</t>
  </si>
  <si>
    <t>Leeds Utd vs Bournemouth</t>
  </si>
  <si>
    <t>Man City vs Fulham</t>
  </si>
  <si>
    <t>Nottingham Forest vs Brentford</t>
  </si>
  <si>
    <t>Bournemouth vs Everton</t>
  </si>
  <si>
    <t>Fulham vs Man Utd</t>
  </si>
  <si>
    <t>Nottingham Forest vs Crystal Palace</t>
  </si>
  <si>
    <t>Chelsea vs Bournemouth</t>
  </si>
  <si>
    <t>Crystal Palace vs Fulham</t>
  </si>
  <si>
    <t>Man Utd vs Nottingham Forest</t>
  </si>
  <si>
    <t>Bournemouth vs Crystal Palace</t>
  </si>
  <si>
    <t>Fulham vs Southampton</t>
  </si>
  <si>
    <t>Nottingham Forest vs Chelsea</t>
  </si>
  <si>
    <t>Leicester vs Fulham</t>
  </si>
  <si>
    <t>Man Utd vs Bournemouth</t>
  </si>
  <si>
    <t>Southampton vs Nottingham Forest</t>
  </si>
  <si>
    <t>Brentford vs Bournemouth</t>
  </si>
  <si>
    <t>Newcastle vs Fulham</t>
  </si>
  <si>
    <t>Nottingham Forest vs Leicester</t>
  </si>
  <si>
    <t>Bournemouth vs Nottingham Forest</t>
  </si>
  <si>
    <t>Fulham vs Spurs</t>
  </si>
  <si>
    <t>Brighton vs Bournemouth</t>
  </si>
  <si>
    <t>Chelsea vs Fulham</t>
  </si>
  <si>
    <t>Nottingham Forest vs Leeds Utd</t>
  </si>
  <si>
    <t>Bournemouth vs Newcastle</t>
  </si>
  <si>
    <t>Fulham vs Nottingham Forest</t>
  </si>
  <si>
    <t>Brighton vs Fulham</t>
  </si>
  <si>
    <t>Nottingham Forest vs Man City</t>
  </si>
  <si>
    <t>Wolves vs Bournemouth</t>
  </si>
  <si>
    <t>Bournemouth vs Man City</t>
  </si>
  <si>
    <t>Fulham vs Wolves</t>
  </si>
  <si>
    <t>West Ham vs Nottingham Forest</t>
  </si>
  <si>
    <t>Arsenal vs Bournemouth</t>
  </si>
  <si>
    <t>Brentford vs Fulham</t>
  </si>
  <si>
    <t>Nottingham Forest vs Everton</t>
  </si>
  <si>
    <t>Bournemouth vs Liverpool</t>
  </si>
  <si>
    <t>Fulham vs Arsenal</t>
  </si>
  <si>
    <t>Spurs vs Nottingham Forest</t>
  </si>
  <si>
    <t>Aston Villa vs Bournemouth</t>
  </si>
  <si>
    <t>Liverpool vs Fulham</t>
  </si>
  <si>
    <t>Nottingham Forest vs Newcastle</t>
  </si>
  <si>
    <t>Bournemouth vs Fulham</t>
  </si>
  <si>
    <t>Nottingham Forest vs Wolves</t>
  </si>
  <si>
    <t>Aston Villa vs Nottingham Forest</t>
  </si>
  <si>
    <t>Fulham vs West Ham</t>
  </si>
  <si>
    <t>Leicester vs Bournemouth</t>
  </si>
  <si>
    <t>Everton vs Fulham</t>
  </si>
  <si>
    <t>Nottingham Forest vs Man Utd</t>
  </si>
  <si>
    <t>Spurs vs Bournemouth</t>
  </si>
  <si>
    <t>Bournemouth vs West Ham</t>
  </si>
  <si>
    <t>Fulham vs Leeds Utd</t>
  </si>
  <si>
    <t>Liverpool vs Nottingham Forest</t>
  </si>
  <si>
    <t>Nottingham Forest vs Brighton</t>
  </si>
  <si>
    <t>Aston Villa vs Fulham</t>
  </si>
  <si>
    <t>Southampton vs Bournemouth</t>
  </si>
  <si>
    <t>Bournemouth vs Leeds Utd</t>
  </si>
  <si>
    <t>Brentford vs Nottingham Forest</t>
  </si>
  <si>
    <t>Fulham vs Man City</t>
  </si>
  <si>
    <t>Bournemouth vs Chelsea</t>
  </si>
  <si>
    <t>Fulham vs Leicester</t>
  </si>
  <si>
    <t>Nottingham Forest vs Southampton</t>
  </si>
  <si>
    <t>Chelsea vs Nottingham Forest</t>
  </si>
  <si>
    <t>Crystal Palace vs Bournemouth</t>
  </si>
  <si>
    <t>Southampton vs Fulham</t>
  </si>
  <si>
    <t>Bournemouth vs Man Utd</t>
  </si>
  <si>
    <t>Fulham vs Crystal Palace</t>
  </si>
  <si>
    <t>Nottingham Forest vs Arsenal</t>
  </si>
  <si>
    <t>Crystal Palace vs Nottingham Forest</t>
  </si>
  <si>
    <t>Everton vs Bournemouth</t>
  </si>
  <si>
    <t>Man Utd vs Fulham</t>
  </si>
  <si>
    <t>August 5, Fri</t>
  </si>
  <si>
    <t>August 6, Sat</t>
  </si>
  <si>
    <t>August 7, Sun</t>
  </si>
  <si>
    <t>August 13, Sat</t>
  </si>
  <si>
    <t>August 20, Sat</t>
  </si>
  <si>
    <t>August 27, Sat</t>
  </si>
  <si>
    <t>August 30, Tue</t>
  </si>
  <si>
    <t>August 31, Wed</t>
  </si>
  <si>
    <t>September 3, Sat</t>
  </si>
  <si>
    <t>September 17, Sat</t>
  </si>
  <si>
    <t>October 1, Sat</t>
  </si>
  <si>
    <t>October 8, Sat</t>
  </si>
  <si>
    <t>October 15, Sat</t>
  </si>
  <si>
    <t>October 18, Tue</t>
  </si>
  <si>
    <t>October 19, Wed</t>
  </si>
  <si>
    <t>October 22, Sat</t>
  </si>
  <si>
    <t>October 29, Sat</t>
  </si>
  <si>
    <t>November 5, Sat</t>
  </si>
  <si>
    <t>November 12, Sat</t>
  </si>
  <si>
    <t>December 26, Mon</t>
  </si>
  <si>
    <t>December 31, Sat</t>
  </si>
  <si>
    <t>January 2, Mon</t>
  </si>
  <si>
    <t>January 14, Sat</t>
  </si>
  <si>
    <t>January 21, Sat</t>
  </si>
  <si>
    <t>February 4, Sat</t>
  </si>
  <si>
    <t>February 11, Sat</t>
  </si>
  <si>
    <t>February 18, Sat</t>
  </si>
  <si>
    <t>February 25, Sat</t>
  </si>
  <si>
    <t>March 4, Sat</t>
  </si>
  <si>
    <t>March 11, Sat</t>
  </si>
  <si>
    <t>March 18, Sat</t>
  </si>
  <si>
    <t>April 1, Sat</t>
  </si>
  <si>
    <t>April 8, Sat</t>
  </si>
  <si>
    <t>April 15, Sat</t>
  </si>
  <si>
    <t>April 22, Sat</t>
  </si>
  <si>
    <t>April 25, Tue</t>
  </si>
  <si>
    <t>April 26, Wed</t>
  </si>
  <si>
    <t>April 29, Sat</t>
  </si>
  <si>
    <t>May 6, Sat</t>
  </si>
  <si>
    <t>May 13, Sat</t>
  </si>
  <si>
    <t>May 20, Sat</t>
  </si>
  <si>
    <t>May 28, Sun</t>
  </si>
  <si>
    <t>Thu</t>
  </si>
  <si>
    <t>August 14, Sun</t>
  </si>
  <si>
    <t>August 15, Mon</t>
  </si>
  <si>
    <t>August 21, Sun</t>
  </si>
  <si>
    <t>August 22, Mon</t>
  </si>
  <si>
    <t>August 28, Sun</t>
  </si>
  <si>
    <t>September 1, Thu</t>
  </si>
  <si>
    <t>September 4, Sun</t>
  </si>
  <si>
    <t>September 16, Fri</t>
  </si>
  <si>
    <t>September 18, Sun</t>
  </si>
  <si>
    <t>©2022 excel4soccer.com</t>
  </si>
  <si>
    <t>Gtech Community Stadium</t>
  </si>
  <si>
    <t>October 2, Sun</t>
  </si>
  <si>
    <t>October 9, Sun</t>
  </si>
  <si>
    <t>October 10, Mon</t>
  </si>
  <si>
    <t>October 14, Fri</t>
  </si>
  <si>
    <t>October 16, Sun</t>
  </si>
  <si>
    <t>October 20, Thu</t>
  </si>
  <si>
    <t>October 23, Sun</t>
  </si>
  <si>
    <t>October 24, Mon</t>
  </si>
  <si>
    <t>October 30, Sun</t>
  </si>
  <si>
    <t>FULL_TIME</t>
  </si>
  <si>
    <t>W</t>
  </si>
  <si>
    <t>L</t>
  </si>
  <si>
    <t>October 3, Mon</t>
  </si>
  <si>
    <t>D</t>
  </si>
  <si>
    <t>November 6, Sun</t>
  </si>
  <si>
    <t>November 13, Sun</t>
  </si>
  <si>
    <t>Next</t>
  </si>
  <si>
    <t>Pts</t>
  </si>
  <si>
    <t>H/A</t>
  </si>
  <si>
    <t>Compsite</t>
  </si>
  <si>
    <t>Fixture Time Updated On:</t>
  </si>
  <si>
    <t>December 27, Tue</t>
  </si>
  <si>
    <t>December 28, Wed</t>
  </si>
  <si>
    <t>December 30, Fri</t>
  </si>
  <si>
    <t>January 1, Sun</t>
  </si>
  <si>
    <t>January 3, Tue</t>
  </si>
  <si>
    <t>January 4, Wed</t>
  </si>
  <si>
    <t>January 5, Thu</t>
  </si>
  <si>
    <t>Order</t>
  </si>
  <si>
    <t>January 13, Fri</t>
  </si>
  <si>
    <t>January 15, Sun</t>
  </si>
  <si>
    <t>January 22, Sun</t>
  </si>
  <si>
    <t>January 23, Mon</t>
  </si>
  <si>
    <t>BLK</t>
  </si>
  <si>
    <t>In case penalty points are imposed on to a certain club, enter the penalty points in the "Deduction" tab.</t>
  </si>
  <si>
    <t>Match Day 7</t>
  </si>
  <si>
    <t>January 12, Thu</t>
  </si>
  <si>
    <t>January 19, Thu</t>
  </si>
  <si>
    <t>February 3, Fri</t>
  </si>
  <si>
    <t>February 5, Sun</t>
  </si>
  <si>
    <t>February 12, Sun</t>
  </si>
  <si>
    <t>February 13, Mon</t>
  </si>
  <si>
    <t>February 15, Wed</t>
  </si>
  <si>
    <t>February 19, Sun</t>
  </si>
  <si>
    <t>February 24, Fri</t>
  </si>
  <si>
    <t>February 26, Sun</t>
  </si>
  <si>
    <t>C</t>
  </si>
  <si>
    <t>F</t>
  </si>
  <si>
    <t>E</t>
  </si>
  <si>
    <t>Total Pts</t>
  </si>
  <si>
    <t>January 18, Wed</t>
  </si>
  <si>
    <t>February 8, Wed</t>
  </si>
  <si>
    <t>March 5, Sun</t>
  </si>
  <si>
    <t>March 6, Mon</t>
  </si>
  <si>
    <t>March 12, Sun</t>
  </si>
  <si>
    <t>March 17, Fri</t>
  </si>
  <si>
    <t>March 19, Sun</t>
  </si>
  <si>
    <t>March 1, Wed</t>
  </si>
  <si>
    <t>March 15, Wed</t>
  </si>
  <si>
    <t>April 2, Sun</t>
  </si>
  <si>
    <t>April 3, Mon</t>
  </si>
  <si>
    <t>April 4, Tue</t>
  </si>
  <si>
    <t>April 5, Wed</t>
  </si>
  <si>
    <t>April 9, Sun</t>
  </si>
  <si>
    <t>April 16, Sun</t>
  </si>
  <si>
    <t>April 17, Mon</t>
  </si>
  <si>
    <t>April 21, Fri</t>
  </si>
  <si>
    <t>April 23, Sun</t>
  </si>
  <si>
    <t>April 27, Thu</t>
  </si>
  <si>
    <t>April 30, Sun</t>
  </si>
  <si>
    <t>May 1, Mon</t>
  </si>
  <si>
    <t>May 2, Tue</t>
  </si>
  <si>
    <t>May 3, Wed</t>
  </si>
  <si>
    <t>May 4, Thu</t>
  </si>
  <si>
    <t>May 7, Sun</t>
  </si>
  <si>
    <t>May 8, Mon</t>
  </si>
  <si>
    <t>May 14, Sun</t>
  </si>
  <si>
    <t>May 15, Mon</t>
  </si>
  <si>
    <t>May 18, Thu</t>
  </si>
  <si>
    <t>May 21, Sun</t>
  </si>
  <si>
    <t>May 22, Mon</t>
  </si>
  <si>
    <t>May 24, Wed</t>
  </si>
  <si>
    <t>May 25, Thu</t>
  </si>
  <si>
    <t>Same</t>
  </si>
  <si>
    <t/>
  </si>
  <si>
    <t>Updated on 7/15/2023 10:02:09 AM</t>
  </si>
  <si>
    <t>Enter home goal and away goal in "fixtures" tab</t>
  </si>
  <si>
    <t xml:space="preserve">"League Table", "Fixtures_by_Clubs" and "Fixtures_by_Date" Tabs will automatically update. </t>
  </si>
  <si>
    <t>Fixture calendar is subject to change.  Check back at excel4soccer.com for score charts with udated schedule.</t>
  </si>
  <si>
    <t>Good luck to your favorite club!</t>
  </si>
  <si>
    <t>Fixture date and time are subject to change.</t>
  </si>
  <si>
    <t>Introduction: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</si>
</sst>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F800]dddd\,\ mmmm\ dd\,\ yyyy"/>
    <numFmt numFmtId="165" formatCode="h:mm;@"/>
    <numFmt numFmtId="166" formatCode="[$-409]m/d/yy\ h:mm\ AM/PM;@"/>
    <numFmt numFmtId="167" formatCode="0.0%"/>
    <numFmt numFmtId="168" formatCode="0.000"/>
    <numFmt numFmtId="169" formatCode="[$-409]h:mm\ AM/PM;@"/>
    <numFmt numFmtId="170" formatCode="hh:mm"/>
    <numFmt numFmtId="171" formatCode="mm\-dd\-yy\ h:mm\ AM/PM"/>
  </numFmts>
  <fonts count="38" x14ac:knownFonts="1">
    <font>
      <sz val="11"/>
      <color theme="1"/>
      <name val="Calibri"/>
      <family val="2"/>
      <scheme val="minor"/>
    </font>
    <font>
      <sz val="10"/>
      <name val="Dusha V5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CFCFC"/>
      <name val="Calibri"/>
      <family val="2"/>
      <scheme val="minor"/>
    </font>
    <font>
      <sz val="20"/>
      <color rgb="FF0C0C0C"/>
      <name val="Calibri"/>
      <family val="2"/>
      <scheme val="minor"/>
    </font>
    <font>
      <sz val="11"/>
      <name val="Calibri"/>
      <family val="2"/>
      <scheme val="minor"/>
    </font>
    <font>
      <sz val="20"/>
      <color rgb="FFEC0C1C"/>
      <name val="Calibri"/>
      <family val="2"/>
      <scheme val="minor"/>
    </font>
    <font>
      <b/>
      <sz val="24"/>
      <color rgb="FFFCFCFC"/>
      <name val="Calibri"/>
      <family val="2"/>
      <scheme val="minor"/>
    </font>
    <font>
      <sz val="10"/>
      <color rgb="FF0C0C0C"/>
      <name val="Calibri"/>
      <family val="2"/>
      <scheme val="minor"/>
    </font>
    <font>
      <b/>
      <sz val="24"/>
      <color rgb="FF0C0C0C"/>
      <name val="Calibri"/>
      <family val="2"/>
      <scheme val="minor"/>
    </font>
    <font>
      <sz val="2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FCCF60"/>
      <name val="Calibri"/>
      <family val="2"/>
      <scheme val="minor"/>
    </font>
    <font>
      <sz val="20"/>
      <color rgb="FFF19DA3"/>
      <name val="Calibri"/>
      <family val="2"/>
      <scheme val="minor"/>
    </font>
    <font>
      <b/>
      <sz val="20"/>
      <color rgb="FFFCFCF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C0C0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38003C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36"/>
      <color rgb="FFFCFCFC"/>
      <name val="Calibri"/>
      <family val="2"/>
      <scheme val="minor"/>
    </font>
    <font>
      <b/>
      <sz val="36"/>
      <color rgb="FF0C0C0C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EC0C1C"/>
        <bgColor indexed="64"/>
      </patternFill>
    </fill>
    <fill>
      <patternFill patternType="solid">
        <fgColor rgb="FFFAA4AA"/>
        <bgColor indexed="64"/>
      </patternFill>
    </fill>
    <fill>
      <patternFill patternType="solid">
        <fgColor rgb="FF3E001F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0A56A3"/>
        <bgColor indexed="64"/>
      </patternFill>
    </fill>
    <fill>
      <patternFill patternType="solid">
        <fgColor rgb="FFB0D5FA"/>
        <bgColor indexed="64"/>
      </patternFill>
    </fill>
    <fill>
      <patternFill patternType="solid">
        <fgColor rgb="FF80234C"/>
        <bgColor indexed="64"/>
      </patternFill>
    </fill>
    <fill>
      <patternFill patternType="solid">
        <fgColor rgb="FFE49EBD"/>
        <bgColor indexed="64"/>
      </patternFill>
    </fill>
    <fill>
      <patternFill patternType="solid">
        <fgColor rgb="FF034694"/>
        <bgColor indexed="64"/>
      </patternFill>
    </fill>
    <fill>
      <patternFill patternType="solid">
        <fgColor rgb="FF8DC0FD"/>
        <bgColor indexed="64"/>
      </patternFill>
    </fill>
    <fill>
      <patternFill patternType="solid">
        <fgColor rgb="FF1B458F"/>
        <bgColor indexed="64"/>
      </patternFill>
    </fill>
    <fill>
      <patternFill patternType="solid">
        <fgColor rgb="FFC7D9F5"/>
        <bgColor indexed="64"/>
      </patternFill>
    </fill>
    <fill>
      <patternFill patternType="solid">
        <fgColor rgb="FF063A99"/>
        <bgColor indexed="64"/>
      </patternFill>
    </fill>
    <fill>
      <patternFill patternType="solid">
        <fgColor rgb="FFAAC7FC"/>
        <bgColor indexed="64"/>
      </patternFill>
    </fill>
    <fill>
      <patternFill patternType="solid">
        <fgColor rgb="FF1358A1"/>
        <bgColor indexed="64"/>
      </patternFill>
    </fill>
    <fill>
      <patternFill patternType="solid">
        <fgColor rgb="FFBFDAF7"/>
        <bgColor indexed="64"/>
      </patternFill>
    </fill>
    <fill>
      <patternFill patternType="solid">
        <fgColor rgb="FFE0202C"/>
        <bgColor indexed="64"/>
      </patternFill>
    </fill>
    <fill>
      <patternFill patternType="solid">
        <fgColor rgb="FFF19DA3"/>
        <bgColor indexed="64"/>
      </patternFill>
    </fill>
    <fill>
      <patternFill patternType="solid">
        <fgColor rgb="FF99C5E7"/>
        <bgColor indexed="64"/>
      </patternFill>
    </fill>
    <fill>
      <patternFill patternType="solid">
        <fgColor rgb="FFB8D7EE"/>
        <bgColor indexed="64"/>
      </patternFill>
    </fill>
    <fill>
      <patternFill patternType="solid">
        <fgColor rgb="FFDC1F29"/>
        <bgColor indexed="64"/>
      </patternFill>
    </fill>
    <fill>
      <patternFill patternType="solid">
        <fgColor rgb="FFF197A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BB7BC"/>
        <bgColor indexed="64"/>
      </patternFill>
    </fill>
    <fill>
      <patternFill patternType="solid">
        <fgColor rgb="FF11214B"/>
        <bgColor indexed="64"/>
      </patternFill>
    </fill>
    <fill>
      <patternFill patternType="solid">
        <fgColor rgb="FF98AFE8"/>
        <bgColor indexed="64"/>
      </patternFill>
    </fill>
    <fill>
      <patternFill patternType="solid">
        <fgColor rgb="FF7A263A"/>
        <bgColor indexed="64"/>
      </patternFill>
    </fill>
    <fill>
      <patternFill patternType="solid">
        <fgColor rgb="FFD77F94"/>
        <bgColor indexed="64"/>
      </patternFill>
    </fill>
    <fill>
      <patternFill patternType="solid">
        <fgColor rgb="FFFBBB1D"/>
        <bgColor indexed="64"/>
      </patternFill>
    </fill>
    <fill>
      <patternFill patternType="solid">
        <fgColor rgb="FFFCCF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63D89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03E4B"/>
        <bgColor indexed="64"/>
      </patternFill>
    </fill>
    <fill>
      <patternFill patternType="solid">
        <fgColor rgb="FF4180C0"/>
        <bgColor indexed="64"/>
      </patternFill>
    </fill>
    <fill>
      <patternFill patternType="solid">
        <fgColor rgb="FFA14C71"/>
        <bgColor indexed="64"/>
      </patternFill>
    </fill>
    <fill>
      <patternFill patternType="solid">
        <fgColor rgb="FF316EB7"/>
        <bgColor indexed="64"/>
      </patternFill>
    </fill>
    <fill>
      <patternFill patternType="solid">
        <fgColor rgb="FFA3CBE9"/>
        <bgColor indexed="64"/>
      </patternFill>
    </fill>
    <fill>
      <patternFill patternType="solid">
        <fgColor rgb="FF494949"/>
        <bgColor indexed="64"/>
      </patternFill>
    </fill>
    <fill>
      <patternFill patternType="solid">
        <fgColor rgb="FF3E507F"/>
        <bgColor indexed="64"/>
      </patternFill>
    </fill>
    <fill>
      <patternFill patternType="solid">
        <fgColor rgb="FF994358"/>
        <bgColor indexed="64"/>
      </patternFill>
    </fill>
    <fill>
      <patternFill patternType="solid">
        <fgColor rgb="FFFBC133"/>
        <bgColor indexed="64"/>
      </patternFill>
    </fill>
    <fill>
      <patternFill patternType="solid">
        <fgColor rgb="FFC61D2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41E2A"/>
        <bgColor indexed="64"/>
      </patternFill>
    </fill>
    <fill>
      <patternFill patternType="solid">
        <fgColor rgb="FFF0949B"/>
        <bgColor indexed="64"/>
      </patternFill>
    </fill>
    <fill>
      <patternFill patternType="solid">
        <fgColor rgb="FFC70E22"/>
        <bgColor indexed="64"/>
      </patternFill>
    </fill>
    <fill>
      <patternFill patternType="solid">
        <fgColor rgb="FFDE3743"/>
        <bgColor indexed="64"/>
      </patternFill>
    </fill>
    <fill>
      <patternFill patternType="solid">
        <fgColor rgb="FFD4474D"/>
        <bgColor indexed="64"/>
      </patternFill>
    </fill>
    <fill>
      <patternFill patternType="solid">
        <fgColor rgb="FFD46F72"/>
        <bgColor indexed="64"/>
      </patternFill>
    </fill>
    <fill>
      <patternFill patternType="solid">
        <fgColor rgb="FFF9DBD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16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4" borderId="0" xfId="0" applyFont="1" applyFill="1"/>
    <xf numFmtId="0" fontId="8" fillId="5" borderId="0" xfId="0" applyFont="1" applyFill="1"/>
    <xf numFmtId="0" fontId="6" fillId="0" borderId="0" xfId="0" applyFont="1" applyAlignment="1">
      <alignment horizontal="left"/>
    </xf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7" fillId="10" borderId="0" xfId="0" applyFont="1" applyFill="1"/>
    <xf numFmtId="0" fontId="8" fillId="11" borderId="0" xfId="0" applyFont="1" applyFill="1"/>
    <xf numFmtId="0" fontId="7" fillId="12" borderId="0" xfId="0" applyFont="1" applyFill="1"/>
    <xf numFmtId="0" fontId="8" fillId="13" borderId="0" xfId="0" applyFont="1" applyFill="1"/>
    <xf numFmtId="0" fontId="7" fillId="14" borderId="0" xfId="0" applyFont="1" applyFill="1"/>
    <xf numFmtId="0" fontId="8" fillId="15" borderId="0" xfId="0" applyFont="1" applyFill="1"/>
    <xf numFmtId="0" fontId="7" fillId="16" borderId="0" xfId="0" applyFont="1" applyFill="1"/>
    <xf numFmtId="0" fontId="8" fillId="17" borderId="0" xfId="0" applyFont="1" applyFill="1"/>
    <xf numFmtId="0" fontId="7" fillId="18" borderId="0" xfId="0" applyFont="1" applyFill="1"/>
    <xf numFmtId="0" fontId="8" fillId="19" borderId="0" xfId="0" applyFont="1" applyFill="1"/>
    <xf numFmtId="0" fontId="7" fillId="20" borderId="0" xfId="0" applyFont="1" applyFill="1"/>
    <xf numFmtId="0" fontId="8" fillId="21" borderId="0" xfId="0" applyFont="1" applyFill="1"/>
    <xf numFmtId="0" fontId="8" fillId="22" borderId="0" xfId="0" applyFont="1" applyFill="1"/>
    <xf numFmtId="0" fontId="8" fillId="23" borderId="0" xfId="0" applyFont="1" applyFill="1"/>
    <xf numFmtId="0" fontId="7" fillId="24" borderId="0" xfId="0" applyFont="1" applyFill="1"/>
    <xf numFmtId="0" fontId="8" fillId="25" borderId="0" xfId="0" applyFont="1" applyFill="1"/>
    <xf numFmtId="0" fontId="7" fillId="26" borderId="0" xfId="0" applyFont="1" applyFill="1"/>
    <xf numFmtId="0" fontId="8" fillId="27" borderId="0" xfId="0" applyFont="1" applyFill="1"/>
    <xf numFmtId="0" fontId="8" fillId="28" borderId="0" xfId="0" applyFont="1" applyFill="1"/>
    <xf numFmtId="0" fontId="7" fillId="29" borderId="0" xfId="0" applyFont="1" applyFill="1"/>
    <xf numFmtId="0" fontId="8" fillId="30" borderId="0" xfId="0" applyFont="1" applyFill="1"/>
    <xf numFmtId="0" fontId="7" fillId="31" borderId="0" xfId="0" applyFont="1" applyFill="1"/>
    <xf numFmtId="0" fontId="8" fillId="32" borderId="0" xfId="0" applyFont="1" applyFill="1"/>
    <xf numFmtId="0" fontId="8" fillId="33" borderId="0" xfId="0" applyFont="1" applyFill="1"/>
    <xf numFmtId="0" fontId="8" fillId="34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5" fontId="0" fillId="0" borderId="2" xfId="0" applyNumberFormat="1" applyBorder="1"/>
    <xf numFmtId="165" fontId="0" fillId="0" borderId="3" xfId="0" applyNumberFormat="1" applyBorder="1"/>
    <xf numFmtId="166" fontId="0" fillId="0" borderId="4" xfId="0" applyNumberFormat="1" applyBorder="1"/>
    <xf numFmtId="165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 vertical="center" wrapText="1"/>
    </xf>
    <xf numFmtId="165" fontId="9" fillId="0" borderId="5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8" fontId="0" fillId="0" borderId="1" xfId="0" applyNumberFormat="1" applyBorder="1" applyAlignment="1">
      <alignment vertical="center"/>
    </xf>
    <xf numFmtId="168" fontId="0" fillId="0" borderId="6" xfId="0" applyNumberFormat="1" applyBorder="1" applyAlignment="1">
      <alignment vertical="center"/>
    </xf>
    <xf numFmtId="168" fontId="0" fillId="0" borderId="0" xfId="0" applyNumberFormat="1" applyAlignment="1">
      <alignment vertical="center"/>
    </xf>
    <xf numFmtId="166" fontId="0" fillId="0" borderId="7" xfId="0" applyNumberFormat="1" applyBorder="1"/>
    <xf numFmtId="165" fontId="9" fillId="0" borderId="7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 vertical="center" wrapText="1"/>
    </xf>
    <xf numFmtId="165" fontId="9" fillId="0" borderId="0" xfId="0" applyNumberFormat="1" applyFont="1" applyAlignment="1">
      <alignment horizontal="center"/>
    </xf>
    <xf numFmtId="2" fontId="9" fillId="0" borderId="7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7" fontId="9" fillId="0" borderId="0" xfId="0" applyNumberFormat="1" applyFont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8" fontId="0" fillId="0" borderId="2" xfId="0" applyNumberFormat="1" applyBorder="1" applyAlignment="1">
      <alignment vertical="center"/>
    </xf>
    <xf numFmtId="168" fontId="0" fillId="0" borderId="3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6" fontId="0" fillId="0" borderId="11" xfId="0" applyNumberFormat="1" applyBorder="1"/>
    <xf numFmtId="165" fontId="9" fillId="0" borderId="11" xfId="0" applyNumberFormat="1" applyFont="1" applyBorder="1" applyAlignment="1">
      <alignment horizontal="center"/>
    </xf>
    <xf numFmtId="165" fontId="9" fillId="0" borderId="11" xfId="0" applyNumberFormat="1" applyFont="1" applyBorder="1" applyAlignment="1">
      <alignment horizontal="center" vertical="center" wrapText="1"/>
    </xf>
    <xf numFmtId="165" fontId="9" fillId="0" borderId="9" xfId="0" applyNumberFormat="1" applyFont="1" applyBorder="1" applyAlignment="1">
      <alignment horizontal="center"/>
    </xf>
    <xf numFmtId="2" fontId="9" fillId="0" borderId="11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5" fontId="0" fillId="0" borderId="1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8" fontId="0" fillId="0" borderId="8" xfId="0" applyNumberFormat="1" applyBorder="1" applyAlignment="1">
      <alignment vertical="center"/>
    </xf>
    <xf numFmtId="168" fontId="0" fillId="0" borderId="10" xfId="0" applyNumberFormat="1" applyBorder="1" applyAlignment="1">
      <alignment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165" fontId="9" fillId="0" borderId="0" xfId="0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10" fillId="4" borderId="0" xfId="0" applyFont="1" applyFill="1"/>
    <xf numFmtId="0" fontId="11" fillId="4" borderId="0" xfId="0" applyFont="1" applyFill="1" applyAlignment="1">
      <alignment horizontal="right"/>
    </xf>
    <xf numFmtId="0" fontId="8" fillId="5" borderId="0" xfId="0" applyFont="1" applyFill="1" applyAlignment="1">
      <alignment horizontal="right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1" fillId="8" borderId="0" xfId="0" applyFont="1" applyFill="1" applyAlignment="1">
      <alignment horizontal="right"/>
    </xf>
    <xf numFmtId="0" fontId="8" fillId="9" borderId="0" xfId="0" applyFont="1" applyFill="1" applyAlignment="1">
      <alignment horizontal="right"/>
    </xf>
    <xf numFmtId="0" fontId="8" fillId="9" borderId="0" xfId="0" applyFont="1" applyFill="1" applyAlignment="1">
      <alignment horizontal="center"/>
    </xf>
    <xf numFmtId="0" fontId="8" fillId="9" borderId="0" xfId="0" applyFont="1" applyFill="1" applyAlignment="1">
      <alignment horizontal="left"/>
    </xf>
    <xf numFmtId="0" fontId="12" fillId="9" borderId="0" xfId="0" applyFont="1" applyFill="1" applyAlignment="1">
      <alignment horizontal="left"/>
    </xf>
    <xf numFmtId="0" fontId="11" fillId="10" borderId="0" xfId="0" applyFont="1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11" borderId="0" xfId="0" applyFont="1" applyFill="1" applyAlignment="1">
      <alignment horizontal="center"/>
    </xf>
    <xf numFmtId="0" fontId="8" fillId="11" borderId="0" xfId="0" applyFont="1" applyFill="1" applyAlignment="1">
      <alignment horizontal="left"/>
    </xf>
    <xf numFmtId="0" fontId="12" fillId="11" borderId="0" xfId="0" applyFont="1" applyFill="1" applyAlignment="1">
      <alignment horizontal="left"/>
    </xf>
    <xf numFmtId="0" fontId="8" fillId="23" borderId="0" xfId="0" applyFont="1" applyFill="1" applyAlignment="1">
      <alignment horizontal="right"/>
    </xf>
    <xf numFmtId="0" fontId="8" fillId="23" borderId="0" xfId="0" applyFont="1" applyFill="1" applyAlignment="1">
      <alignment horizontal="center"/>
    </xf>
    <xf numFmtId="0" fontId="8" fillId="23" borderId="0" xfId="0" applyFont="1" applyFill="1" applyAlignment="1">
      <alignment horizontal="left"/>
    </xf>
    <xf numFmtId="0" fontId="12" fillId="23" borderId="0" xfId="0" applyFont="1" applyFill="1" applyAlignment="1">
      <alignment horizontal="left"/>
    </xf>
    <xf numFmtId="0" fontId="11" fillId="26" borderId="0" xfId="0" applyFont="1" applyFill="1" applyAlignment="1">
      <alignment horizontal="right"/>
    </xf>
    <xf numFmtId="0" fontId="8" fillId="27" borderId="0" xfId="0" applyFont="1" applyFill="1" applyAlignment="1">
      <alignment horizontal="right"/>
    </xf>
    <xf numFmtId="0" fontId="8" fillId="27" borderId="0" xfId="0" applyFont="1" applyFill="1" applyAlignment="1">
      <alignment horizontal="center"/>
    </xf>
    <xf numFmtId="0" fontId="8" fillId="27" borderId="0" xfId="0" applyFont="1" applyFill="1" applyAlignment="1">
      <alignment horizontal="left"/>
    </xf>
    <xf numFmtId="0" fontId="12" fillId="27" borderId="0" xfId="0" applyFont="1" applyFill="1" applyAlignment="1">
      <alignment horizontal="left"/>
    </xf>
    <xf numFmtId="0" fontId="11" fillId="29" borderId="0" xfId="0" applyFont="1" applyFill="1" applyAlignment="1">
      <alignment horizontal="right"/>
    </xf>
    <xf numFmtId="0" fontId="8" fillId="30" borderId="0" xfId="0" applyFont="1" applyFill="1" applyAlignment="1">
      <alignment horizontal="right"/>
    </xf>
    <xf numFmtId="0" fontId="8" fillId="30" borderId="0" xfId="0" applyFont="1" applyFill="1" applyAlignment="1">
      <alignment horizontal="center"/>
    </xf>
    <xf numFmtId="0" fontId="8" fillId="30" borderId="0" xfId="0" applyFont="1" applyFill="1" applyAlignment="1">
      <alignment horizontal="left"/>
    </xf>
    <xf numFmtId="0" fontId="12" fillId="30" borderId="0" xfId="0" applyFont="1" applyFill="1" applyAlignment="1">
      <alignment horizontal="left"/>
    </xf>
    <xf numFmtId="0" fontId="11" fillId="31" borderId="0" xfId="0" applyFont="1" applyFill="1" applyAlignment="1">
      <alignment horizontal="right"/>
    </xf>
    <xf numFmtId="0" fontId="8" fillId="32" borderId="0" xfId="0" applyFont="1" applyFill="1" applyAlignment="1">
      <alignment horizontal="right"/>
    </xf>
    <xf numFmtId="0" fontId="8" fillId="32" borderId="0" xfId="0" applyFont="1" applyFill="1" applyAlignment="1">
      <alignment horizontal="center"/>
    </xf>
    <xf numFmtId="0" fontId="8" fillId="32" borderId="0" xfId="0" applyFont="1" applyFill="1" applyAlignment="1">
      <alignment horizontal="left"/>
    </xf>
    <xf numFmtId="0" fontId="12" fillId="32" borderId="0" xfId="0" applyFont="1" applyFill="1" applyAlignment="1">
      <alignment horizontal="left"/>
    </xf>
    <xf numFmtId="0" fontId="13" fillId="33" borderId="0" xfId="0" applyFont="1" applyFill="1" applyAlignment="1">
      <alignment horizontal="right"/>
    </xf>
    <xf numFmtId="0" fontId="8" fillId="34" borderId="0" xfId="0" applyFont="1" applyFill="1" applyAlignment="1">
      <alignment horizontal="right"/>
    </xf>
    <xf numFmtId="0" fontId="8" fillId="34" borderId="0" xfId="0" applyFont="1" applyFill="1" applyAlignment="1">
      <alignment horizontal="center"/>
    </xf>
    <xf numFmtId="0" fontId="8" fillId="34" borderId="0" xfId="0" applyFont="1" applyFill="1" applyAlignment="1">
      <alignment horizontal="left"/>
    </xf>
    <xf numFmtId="0" fontId="12" fillId="34" borderId="0" xfId="0" applyFont="1" applyFill="1" applyAlignment="1">
      <alignment horizontal="left"/>
    </xf>
    <xf numFmtId="0" fontId="14" fillId="35" borderId="12" xfId="0" applyFont="1" applyFill="1" applyBorder="1"/>
    <xf numFmtId="0" fontId="14" fillId="35" borderId="13" xfId="0" applyFont="1" applyFill="1" applyBorder="1" applyAlignment="1" applyProtection="1">
      <alignment horizontal="left" indent="1"/>
      <protection locked="0"/>
    </xf>
    <xf numFmtId="0" fontId="9" fillId="0" borderId="0" xfId="0" applyFont="1"/>
    <xf numFmtId="1" fontId="17" fillId="0" borderId="0" xfId="0" applyNumberFormat="1" applyFont="1" applyAlignment="1" applyProtection="1">
      <alignment horizontal="left"/>
      <protection locked="0"/>
    </xf>
    <xf numFmtId="0" fontId="14" fillId="0" borderId="0" xfId="0" applyFont="1"/>
    <xf numFmtId="0" fontId="6" fillId="37" borderId="3" xfId="0" applyFont="1" applyFill="1" applyBorder="1"/>
    <xf numFmtId="0" fontId="18" fillId="0" borderId="0" xfId="0" applyFont="1"/>
    <xf numFmtId="0" fontId="6" fillId="37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37" borderId="0" xfId="0" applyFont="1" applyFill="1" applyAlignment="1">
      <alignment horizontal="center"/>
    </xf>
    <xf numFmtId="0" fontId="6" fillId="37" borderId="10" xfId="0" applyFont="1" applyFill="1" applyBorder="1"/>
    <xf numFmtId="14" fontId="0" fillId="0" borderId="0" xfId="0" applyNumberFormat="1"/>
    <xf numFmtId="22" fontId="0" fillId="0" borderId="0" xfId="0" applyNumberFormat="1"/>
    <xf numFmtId="170" fontId="14" fillId="0" borderId="0" xfId="0" applyNumberFormat="1" applyFont="1"/>
    <xf numFmtId="0" fontId="19" fillId="0" borderId="0" xfId="0" applyFont="1"/>
    <xf numFmtId="0" fontId="20" fillId="0" borderId="0" xfId="0" applyFont="1"/>
    <xf numFmtId="0" fontId="14" fillId="0" borderId="0" xfId="0" applyFont="1" applyAlignment="1">
      <alignment horizontal="left"/>
    </xf>
    <xf numFmtId="0" fontId="0" fillId="0" borderId="0" xfId="0" applyAlignment="1">
      <alignment horizontal="right"/>
    </xf>
    <xf numFmtId="0" fontId="22" fillId="0" borderId="12" xfId="0" applyFont="1" applyBorder="1" applyAlignment="1">
      <alignment horizontal="center" wrapText="1"/>
    </xf>
    <xf numFmtId="0" fontId="22" fillId="0" borderId="15" xfId="0" applyFont="1" applyBorder="1" applyAlignment="1">
      <alignment horizontal="center" wrapText="1"/>
    </xf>
    <xf numFmtId="0" fontId="6" fillId="38" borderId="2" xfId="0" applyFont="1" applyFill="1" applyBorder="1"/>
    <xf numFmtId="0" fontId="6" fillId="37" borderId="1" xfId="0" applyFont="1" applyFill="1" applyBorder="1"/>
    <xf numFmtId="0" fontId="6" fillId="37" borderId="5" xfId="0" applyFont="1" applyFill="1" applyBorder="1"/>
    <xf numFmtId="0" fontId="6" fillId="37" borderId="6" xfId="0" applyFont="1" applyFill="1" applyBorder="1"/>
    <xf numFmtId="0" fontId="6" fillId="37" borderId="3" xfId="0" applyFont="1" applyFill="1" applyBorder="1" applyAlignment="1">
      <alignment horizontal="center"/>
    </xf>
    <xf numFmtId="0" fontId="6" fillId="37" borderId="2" xfId="0" applyFont="1" applyFill="1" applyBorder="1"/>
    <xf numFmtId="0" fontId="6" fillId="37" borderId="0" xfId="0" applyFont="1" applyFill="1"/>
    <xf numFmtId="0" fontId="6" fillId="36" borderId="2" xfId="0" applyFont="1" applyFill="1" applyBorder="1"/>
    <xf numFmtId="0" fontId="6" fillId="28" borderId="2" xfId="0" applyFont="1" applyFill="1" applyBorder="1"/>
    <xf numFmtId="0" fontId="6" fillId="0" borderId="0" xfId="0" applyFont="1" applyProtection="1">
      <protection locked="0"/>
    </xf>
    <xf numFmtId="0" fontId="6" fillId="37" borderId="8" xfId="0" applyFont="1" applyFill="1" applyBorder="1"/>
    <xf numFmtId="0" fontId="6" fillId="37" borderId="9" xfId="0" applyFont="1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15" fillId="0" borderId="0" xfId="0" applyFont="1"/>
    <xf numFmtId="1" fontId="6" fillId="0" borderId="0" xfId="0" applyNumberFormat="1" applyFont="1" applyAlignment="1">
      <alignment horizontal="center"/>
    </xf>
    <xf numFmtId="0" fontId="23" fillId="0" borderId="1" xfId="0" applyFont="1" applyBorder="1"/>
    <xf numFmtId="0" fontId="0" fillId="39" borderId="0" xfId="0" applyFill="1"/>
    <xf numFmtId="169" fontId="8" fillId="5" borderId="0" xfId="0" applyNumberFormat="1" applyFont="1" applyFill="1" applyAlignment="1">
      <alignment horizontal="right"/>
    </xf>
    <xf numFmtId="169" fontId="8" fillId="9" borderId="0" xfId="0" applyNumberFormat="1" applyFont="1" applyFill="1" applyAlignment="1">
      <alignment horizontal="right"/>
    </xf>
    <xf numFmtId="169" fontId="8" fillId="11" borderId="0" xfId="0" applyNumberFormat="1" applyFont="1" applyFill="1" applyAlignment="1">
      <alignment horizontal="right"/>
    </xf>
    <xf numFmtId="169" fontId="8" fillId="23" borderId="0" xfId="0" applyNumberFormat="1" applyFont="1" applyFill="1" applyAlignment="1">
      <alignment horizontal="right"/>
    </xf>
    <xf numFmtId="169" fontId="8" fillId="27" borderId="0" xfId="0" applyNumberFormat="1" applyFont="1" applyFill="1" applyAlignment="1">
      <alignment horizontal="right"/>
    </xf>
    <xf numFmtId="169" fontId="8" fillId="30" borderId="0" xfId="0" applyNumberFormat="1" applyFont="1" applyFill="1" applyAlignment="1">
      <alignment horizontal="right"/>
    </xf>
    <xf numFmtId="169" fontId="8" fillId="32" borderId="0" xfId="0" applyNumberFormat="1" applyFont="1" applyFill="1" applyAlignment="1">
      <alignment horizontal="right"/>
    </xf>
    <xf numFmtId="169" fontId="8" fillId="34" borderId="0" xfId="0" applyNumberFormat="1" applyFont="1" applyFill="1" applyAlignment="1">
      <alignment horizontal="right"/>
    </xf>
    <xf numFmtId="0" fontId="7" fillId="40" borderId="0" xfId="0" applyFont="1" applyFill="1"/>
    <xf numFmtId="0" fontId="8" fillId="41" borderId="0" xfId="0" applyFont="1" applyFill="1"/>
    <xf numFmtId="0" fontId="8" fillId="42" borderId="0" xfId="0" applyFont="1" applyFill="1"/>
    <xf numFmtId="0" fontId="8" fillId="43" borderId="0" xfId="0" applyFont="1" applyFill="1"/>
    <xf numFmtId="0" fontId="11" fillId="12" borderId="0" xfId="0" applyFont="1" applyFill="1" applyAlignment="1">
      <alignment horizontal="right"/>
    </xf>
    <xf numFmtId="169" fontId="8" fillId="13" borderId="0" xfId="0" applyNumberFormat="1" applyFont="1" applyFill="1" applyAlignment="1">
      <alignment horizontal="right"/>
    </xf>
    <xf numFmtId="0" fontId="8" fillId="13" borderId="0" xfId="0" applyFont="1" applyFill="1" applyAlignment="1">
      <alignment horizontal="right"/>
    </xf>
    <xf numFmtId="0" fontId="8" fillId="13" borderId="0" xfId="0" applyFont="1" applyFill="1" applyAlignment="1">
      <alignment horizontal="center"/>
    </xf>
    <xf numFmtId="0" fontId="8" fillId="13" borderId="0" xfId="0" applyFont="1" applyFill="1" applyAlignment="1">
      <alignment horizontal="left"/>
    </xf>
    <xf numFmtId="0" fontId="12" fillId="13" borderId="0" xfId="0" applyFont="1" applyFill="1" applyAlignment="1">
      <alignment horizontal="left"/>
    </xf>
    <xf numFmtId="0" fontId="25" fillId="0" borderId="0" xfId="0" applyFont="1" applyAlignment="1" applyProtection="1">
      <alignment horizontal="left"/>
      <protection locked="0"/>
    </xf>
    <xf numFmtId="0" fontId="13" fillId="22" borderId="0" xfId="0" applyFont="1" applyFill="1" applyAlignment="1">
      <alignment horizontal="right"/>
    </xf>
    <xf numFmtId="0" fontId="21" fillId="44" borderId="0" xfId="0" applyFont="1" applyFill="1" applyAlignment="1">
      <alignment horizontal="left"/>
    </xf>
    <xf numFmtId="0" fontId="21" fillId="44" borderId="0" xfId="0" applyFont="1" applyFill="1"/>
    <xf numFmtId="0" fontId="21" fillId="45" borderId="0" xfId="0" applyFont="1" applyFill="1" applyAlignment="1">
      <alignment horizontal="left"/>
    </xf>
    <xf numFmtId="0" fontId="21" fillId="45" borderId="0" xfId="0" applyFont="1" applyFill="1"/>
    <xf numFmtId="0" fontId="21" fillId="46" borderId="0" xfId="0" applyFont="1" applyFill="1" applyAlignment="1">
      <alignment horizontal="left"/>
    </xf>
    <xf numFmtId="0" fontId="21" fillId="46" borderId="0" xfId="0" applyFont="1" applyFill="1"/>
    <xf numFmtId="0" fontId="21" fillId="47" borderId="0" xfId="0" applyFont="1" applyFill="1" applyAlignment="1">
      <alignment horizontal="left"/>
    </xf>
    <xf numFmtId="0" fontId="21" fillId="47" borderId="0" xfId="0" applyFont="1" applyFill="1"/>
    <xf numFmtId="0" fontId="26" fillId="48" borderId="0" xfId="0" applyFont="1" applyFill="1" applyAlignment="1">
      <alignment horizontal="left"/>
    </xf>
    <xf numFmtId="0" fontId="26" fillId="48" borderId="0" xfId="0" applyFont="1" applyFill="1"/>
    <xf numFmtId="0" fontId="21" fillId="49" borderId="0" xfId="0" applyFont="1" applyFill="1" applyAlignment="1">
      <alignment horizontal="left"/>
    </xf>
    <xf numFmtId="0" fontId="21" fillId="49" borderId="0" xfId="0" applyFont="1" applyFill="1"/>
    <xf numFmtId="0" fontId="21" fillId="50" borderId="0" xfId="0" applyFont="1" applyFill="1" applyAlignment="1">
      <alignment horizontal="left"/>
    </xf>
    <xf numFmtId="0" fontId="21" fillId="50" borderId="0" xfId="0" applyFont="1" applyFill="1"/>
    <xf numFmtId="0" fontId="21" fillId="51" borderId="0" xfId="0" applyFont="1" applyFill="1" applyAlignment="1">
      <alignment horizontal="left"/>
    </xf>
    <xf numFmtId="0" fontId="21" fillId="51" borderId="0" xfId="0" applyFont="1" applyFill="1"/>
    <xf numFmtId="0" fontId="26" fillId="52" borderId="0" xfId="0" applyFont="1" applyFill="1" applyAlignment="1">
      <alignment horizontal="left"/>
    </xf>
    <xf numFmtId="0" fontId="26" fillId="52" borderId="0" xfId="0" applyFont="1" applyFill="1"/>
    <xf numFmtId="0" fontId="7" fillId="53" borderId="0" xfId="0" applyFont="1" applyFill="1"/>
    <xf numFmtId="165" fontId="9" fillId="0" borderId="0" xfId="0" applyNumberFormat="1" applyFont="1"/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27" fillId="54" borderId="7" xfId="0" applyNumberFormat="1" applyFont="1" applyFill="1" applyBorder="1" applyAlignment="1" applyProtection="1">
      <alignment horizontal="center" vertical="center"/>
      <protection hidden="1"/>
    </xf>
    <xf numFmtId="1" fontId="27" fillId="54" borderId="11" xfId="0" applyNumberFormat="1" applyFont="1" applyFill="1" applyBorder="1" applyAlignment="1" applyProtection="1">
      <alignment horizontal="center" vertical="center"/>
      <protection hidden="1"/>
    </xf>
    <xf numFmtId="1" fontId="27" fillId="54" borderId="4" xfId="0" applyNumberFormat="1" applyFont="1" applyFill="1" applyBorder="1" applyAlignment="1" applyProtection="1">
      <alignment horizontal="center" vertical="center"/>
      <protection hidden="1"/>
    </xf>
    <xf numFmtId="167" fontId="9" fillId="38" borderId="1" xfId="0" applyNumberFormat="1" applyFont="1" applyFill="1" applyBorder="1" applyAlignment="1">
      <alignment vertical="center"/>
    </xf>
    <xf numFmtId="167" fontId="9" fillId="38" borderId="5" xfId="0" applyNumberFormat="1" applyFont="1" applyFill="1" applyBorder="1" applyAlignment="1">
      <alignment vertical="center"/>
    </xf>
    <xf numFmtId="167" fontId="9" fillId="38" borderId="2" xfId="0" applyNumberFormat="1" applyFont="1" applyFill="1" applyBorder="1" applyAlignment="1">
      <alignment vertical="center"/>
    </xf>
    <xf numFmtId="167" fontId="9" fillId="38" borderId="8" xfId="0" applyNumberFormat="1" applyFont="1" applyFill="1" applyBorder="1" applyAlignment="1">
      <alignment vertical="center"/>
    </xf>
    <xf numFmtId="167" fontId="9" fillId="38" borderId="9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left"/>
    </xf>
    <xf numFmtId="164" fontId="28" fillId="55" borderId="4" xfId="0" applyNumberFormat="1" applyFont="1" applyFill="1" applyBorder="1" applyAlignment="1">
      <alignment horizontal="left" vertical="center" wrapText="1"/>
    </xf>
    <xf numFmtId="164" fontId="28" fillId="55" borderId="7" xfId="0" applyNumberFormat="1" applyFont="1" applyFill="1" applyBorder="1" applyAlignment="1">
      <alignment horizontal="left" vertical="center" wrapText="1"/>
    </xf>
    <xf numFmtId="164" fontId="28" fillId="55" borderId="11" xfId="0" applyNumberFormat="1" applyFont="1" applyFill="1" applyBorder="1" applyAlignment="1">
      <alignment horizontal="left" vertical="center" wrapText="1"/>
    </xf>
    <xf numFmtId="0" fontId="0" fillId="56" borderId="4" xfId="0" applyFill="1" applyBorder="1" applyAlignment="1">
      <alignment horizontal="center"/>
    </xf>
    <xf numFmtId="0" fontId="0" fillId="56" borderId="7" xfId="0" applyFill="1" applyBorder="1" applyAlignment="1">
      <alignment horizontal="center"/>
    </xf>
    <xf numFmtId="0" fontId="0" fillId="56" borderId="11" xfId="0" applyFill="1" applyBorder="1" applyAlignment="1">
      <alignment horizontal="center"/>
    </xf>
    <xf numFmtId="0" fontId="0" fillId="36" borderId="4" xfId="0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165" fontId="0" fillId="55" borderId="7" xfId="0" applyNumberFormat="1" applyFill="1" applyBorder="1" applyAlignment="1">
      <alignment horizontal="right"/>
    </xf>
    <xf numFmtId="165" fontId="0" fillId="55" borderId="11" xfId="0" applyNumberFormat="1" applyFill="1" applyBorder="1" applyAlignment="1">
      <alignment horizontal="right"/>
    </xf>
    <xf numFmtId="165" fontId="0" fillId="55" borderId="4" xfId="0" applyNumberForma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29" fillId="0" borderId="0" xfId="3" applyFont="1"/>
    <xf numFmtId="0" fontId="30" fillId="37" borderId="12" xfId="0" applyFont="1" applyFill="1" applyBorder="1" applyAlignment="1">
      <alignment horizontal="center"/>
    </xf>
    <xf numFmtId="0" fontId="14" fillId="37" borderId="14" xfId="0" applyFont="1" applyFill="1" applyBorder="1"/>
    <xf numFmtId="0" fontId="14" fillId="37" borderId="13" xfId="0" applyFont="1" applyFill="1" applyBorder="1"/>
    <xf numFmtId="0" fontId="14" fillId="37" borderId="2" xfId="0" applyFont="1" applyFill="1" applyBorder="1"/>
    <xf numFmtId="0" fontId="14" fillId="37" borderId="3" xfId="0" applyFont="1" applyFill="1" applyBorder="1"/>
    <xf numFmtId="0" fontId="14" fillId="37" borderId="7" xfId="0" applyFont="1" applyFill="1" applyBorder="1" applyProtection="1">
      <protection locked="0"/>
    </xf>
    <xf numFmtId="0" fontId="14" fillId="37" borderId="8" xfId="0" applyFont="1" applyFill="1" applyBorder="1"/>
    <xf numFmtId="0" fontId="14" fillId="37" borderId="10" xfId="0" applyFont="1" applyFill="1" applyBorder="1"/>
    <xf numFmtId="0" fontId="14" fillId="37" borderId="11" xfId="0" applyFont="1" applyFill="1" applyBorder="1" applyProtection="1">
      <protection locked="0"/>
    </xf>
    <xf numFmtId="0" fontId="9" fillId="57" borderId="1" xfId="0" applyFont="1" applyFill="1" applyBorder="1" applyAlignment="1">
      <alignment horizontal="right"/>
    </xf>
    <xf numFmtId="0" fontId="9" fillId="57" borderId="2" xfId="0" applyFont="1" applyFill="1" applyBorder="1" applyAlignment="1">
      <alignment horizontal="right"/>
    </xf>
    <xf numFmtId="0" fontId="9" fillId="57" borderId="8" xfId="0" applyFont="1" applyFill="1" applyBorder="1" applyAlignment="1">
      <alignment horizontal="right"/>
    </xf>
    <xf numFmtId="0" fontId="9" fillId="57" borderId="2" xfId="1" applyFont="1" applyFill="1" applyBorder="1" applyAlignment="1">
      <alignment horizontal="right"/>
    </xf>
    <xf numFmtId="0" fontId="9" fillId="57" borderId="2" xfId="2" applyFont="1" applyFill="1" applyBorder="1" applyAlignment="1">
      <alignment horizontal="right"/>
    </xf>
    <xf numFmtId="0" fontId="9" fillId="57" borderId="6" xfId="0" applyFont="1" applyFill="1" applyBorder="1" applyAlignment="1">
      <alignment horizontal="left"/>
    </xf>
    <xf numFmtId="0" fontId="9" fillId="57" borderId="3" xfId="0" applyFont="1" applyFill="1" applyBorder="1" applyAlignment="1">
      <alignment horizontal="left"/>
    </xf>
    <xf numFmtId="0" fontId="9" fillId="57" borderId="10" xfId="0" applyFont="1" applyFill="1" applyBorder="1" applyAlignment="1">
      <alignment horizontal="left"/>
    </xf>
    <xf numFmtId="0" fontId="9" fillId="57" borderId="3" xfId="2" applyFont="1" applyFill="1" applyBorder="1" applyAlignment="1">
      <alignment horizontal="left"/>
    </xf>
    <xf numFmtId="0" fontId="9" fillId="57" borderId="3" xfId="1" applyFont="1" applyFill="1" applyBorder="1" applyAlignment="1">
      <alignment horizontal="left"/>
    </xf>
    <xf numFmtId="0" fontId="9" fillId="57" borderId="1" xfId="1" applyFont="1" applyFill="1" applyBorder="1" applyAlignment="1">
      <alignment horizontal="right"/>
    </xf>
    <xf numFmtId="0" fontId="9" fillId="57" borderId="6" xfId="2" applyFont="1" applyFill="1" applyBorder="1" applyAlignment="1">
      <alignment horizontal="left"/>
    </xf>
    <xf numFmtId="0" fontId="9" fillId="57" borderId="1" xfId="2" applyFont="1" applyFill="1" applyBorder="1" applyAlignment="1">
      <alignment horizontal="right"/>
    </xf>
    <xf numFmtId="0" fontId="9" fillId="57" borderId="6" xfId="1" applyFont="1" applyFill="1" applyBorder="1" applyAlignment="1">
      <alignment horizontal="left"/>
    </xf>
    <xf numFmtId="165" fontId="9" fillId="37" borderId="5" xfId="0" applyNumberFormat="1" applyFont="1" applyFill="1" applyBorder="1" applyAlignment="1">
      <alignment horizontal="right"/>
    </xf>
    <xf numFmtId="165" fontId="9" fillId="37" borderId="6" xfId="0" applyNumberFormat="1" applyFont="1" applyFill="1" applyBorder="1" applyAlignment="1">
      <alignment horizontal="right"/>
    </xf>
    <xf numFmtId="165" fontId="9" fillId="37" borderId="3" xfId="0" applyNumberFormat="1" applyFont="1" applyFill="1" applyBorder="1" applyAlignment="1">
      <alignment horizontal="right"/>
    </xf>
    <xf numFmtId="165" fontId="9" fillId="37" borderId="9" xfId="0" applyNumberFormat="1" applyFont="1" applyFill="1" applyBorder="1" applyAlignment="1">
      <alignment horizontal="right"/>
    </xf>
    <xf numFmtId="165" fontId="9" fillId="37" borderId="10" xfId="0" applyNumberFormat="1" applyFont="1" applyFill="1" applyBorder="1" applyAlignment="1">
      <alignment horizontal="right"/>
    </xf>
    <xf numFmtId="0" fontId="7" fillId="58" borderId="0" xfId="0" applyFont="1" applyFill="1"/>
    <xf numFmtId="0" fontId="8" fillId="59" borderId="0" xfId="0" applyFont="1" applyFill="1"/>
    <xf numFmtId="0" fontId="7" fillId="60" borderId="0" xfId="0" applyFont="1" applyFill="1"/>
    <xf numFmtId="0" fontId="7" fillId="61" borderId="0" xfId="0" applyFont="1" applyFill="1"/>
    <xf numFmtId="1" fontId="31" fillId="0" borderId="0" xfId="0" applyNumberFormat="1" applyFont="1" applyAlignment="1" applyProtection="1">
      <alignment horizontal="left"/>
      <protection locked="0"/>
    </xf>
    <xf numFmtId="0" fontId="11" fillId="53" borderId="0" xfId="0" applyFont="1" applyFill="1" applyAlignment="1">
      <alignment horizontal="right"/>
    </xf>
    <xf numFmtId="0" fontId="21" fillId="62" borderId="0" xfId="0" applyFont="1" applyFill="1" applyAlignment="1">
      <alignment horizontal="left"/>
    </xf>
    <xf numFmtId="0" fontId="21" fillId="62" borderId="0" xfId="0" applyFont="1" applyFill="1"/>
    <xf numFmtId="169" fontId="8" fillId="21" borderId="0" xfId="0" applyNumberFormat="1" applyFont="1" applyFill="1" applyAlignment="1">
      <alignment horizontal="right"/>
    </xf>
    <xf numFmtId="0" fontId="8" fillId="21" borderId="0" xfId="0" applyFont="1" applyFill="1" applyAlignment="1">
      <alignment horizontal="right"/>
    </xf>
    <xf numFmtId="0" fontId="8" fillId="21" borderId="0" xfId="0" applyFont="1" applyFill="1" applyAlignment="1">
      <alignment horizontal="center"/>
    </xf>
    <xf numFmtId="0" fontId="8" fillId="21" borderId="0" xfId="0" applyFont="1" applyFill="1" applyAlignment="1">
      <alignment horizontal="left"/>
    </xf>
    <xf numFmtId="0" fontId="12" fillId="21" borderId="0" xfId="0" applyFont="1" applyFill="1" applyAlignment="1">
      <alignment horizontal="left"/>
    </xf>
    <xf numFmtId="0" fontId="7" fillId="39" borderId="0" xfId="0" applyFont="1" applyFill="1"/>
    <xf numFmtId="0" fontId="32" fillId="4" borderId="0" xfId="0" applyFont="1" applyFill="1"/>
    <xf numFmtId="0" fontId="26" fillId="5" borderId="0" xfId="0" applyFont="1" applyFill="1"/>
    <xf numFmtId="170" fontId="8" fillId="5" borderId="0" xfId="0" applyNumberFormat="1" applyFont="1" applyFill="1" applyAlignment="1">
      <alignment horizontal="right"/>
    </xf>
    <xf numFmtId="0" fontId="26" fillId="5" borderId="0" xfId="0" applyFont="1" applyFill="1" applyAlignment="1">
      <alignment horizontal="left"/>
    </xf>
    <xf numFmtId="0" fontId="26" fillId="5" borderId="0" xfId="0" applyFont="1" applyFill="1" applyAlignment="1">
      <alignment horizontal="right"/>
    </xf>
    <xf numFmtId="0" fontId="32" fillId="6" borderId="0" xfId="0" applyFont="1" applyFill="1"/>
    <xf numFmtId="0" fontId="21" fillId="7" borderId="0" xfId="0" applyFont="1" applyFill="1"/>
    <xf numFmtId="0" fontId="7" fillId="7" borderId="0" xfId="0" applyFont="1" applyFill="1" applyAlignment="1">
      <alignment horizontal="right"/>
    </xf>
    <xf numFmtId="0" fontId="7" fillId="7" borderId="0" xfId="0" applyFont="1" applyFill="1" applyAlignment="1">
      <alignment horizontal="left"/>
    </xf>
    <xf numFmtId="170" fontId="7" fillId="7" borderId="0" xfId="0" applyNumberFormat="1" applyFont="1" applyFill="1" applyAlignment="1">
      <alignment horizontal="right"/>
    </xf>
    <xf numFmtId="0" fontId="21" fillId="7" borderId="0" xfId="0" applyFont="1" applyFill="1" applyAlignment="1">
      <alignment horizontal="left"/>
    </xf>
    <xf numFmtId="0" fontId="21" fillId="7" borderId="0" xfId="0" applyFont="1" applyFill="1" applyAlignment="1">
      <alignment horizontal="right"/>
    </xf>
    <xf numFmtId="170" fontId="7" fillId="7" borderId="0" xfId="0" applyNumberFormat="1" applyFont="1" applyFill="1"/>
    <xf numFmtId="0" fontId="32" fillId="58" borderId="0" xfId="0" applyFont="1" applyFill="1"/>
    <xf numFmtId="0" fontId="26" fillId="59" borderId="0" xfId="0" applyFont="1" applyFill="1"/>
    <xf numFmtId="0" fontId="8" fillId="59" borderId="0" xfId="0" applyFont="1" applyFill="1" applyAlignment="1">
      <alignment horizontal="right"/>
    </xf>
    <xf numFmtId="170" fontId="8" fillId="59" borderId="0" xfId="0" applyNumberFormat="1" applyFont="1" applyFill="1" applyAlignment="1">
      <alignment horizontal="right"/>
    </xf>
    <xf numFmtId="0" fontId="8" fillId="59" borderId="0" xfId="0" applyFont="1" applyFill="1" applyAlignment="1">
      <alignment horizontal="left"/>
    </xf>
    <xf numFmtId="0" fontId="26" fillId="59" borderId="0" xfId="0" applyFont="1" applyFill="1" applyAlignment="1">
      <alignment horizontal="left"/>
    </xf>
    <xf numFmtId="0" fontId="26" fillId="59" borderId="0" xfId="0" applyFont="1" applyFill="1" applyAlignment="1">
      <alignment horizontal="right"/>
    </xf>
    <xf numFmtId="170" fontId="8" fillId="59" borderId="0" xfId="0" applyNumberFormat="1" applyFont="1" applyFill="1"/>
    <xf numFmtId="0" fontId="32" fillId="8" borderId="0" xfId="0" applyFont="1" applyFill="1"/>
    <xf numFmtId="0" fontId="26" fillId="9" borderId="0" xfId="0" applyFont="1" applyFill="1"/>
    <xf numFmtId="170" fontId="8" fillId="9" borderId="0" xfId="0" applyNumberFormat="1" applyFont="1" applyFill="1" applyAlignment="1">
      <alignment horizontal="right"/>
    </xf>
    <xf numFmtId="0" fontId="26" fillId="9" borderId="0" xfId="0" applyFont="1" applyFill="1" applyAlignment="1">
      <alignment horizontal="left"/>
    </xf>
    <xf numFmtId="0" fontId="26" fillId="9" borderId="0" xfId="0" applyFont="1" applyFill="1" applyAlignment="1">
      <alignment horizontal="right"/>
    </xf>
    <xf numFmtId="170" fontId="8" fillId="9" borderId="0" xfId="0" applyNumberFormat="1" applyFont="1" applyFill="1"/>
    <xf numFmtId="0" fontId="32" fillId="12" borderId="0" xfId="0" applyFont="1" applyFill="1"/>
    <xf numFmtId="0" fontId="26" fillId="13" borderId="0" xfId="0" applyFont="1" applyFill="1"/>
    <xf numFmtId="170" fontId="8" fillId="13" borderId="0" xfId="0" applyNumberFormat="1" applyFont="1" applyFill="1" applyAlignment="1">
      <alignment horizontal="right"/>
    </xf>
    <xf numFmtId="0" fontId="26" fillId="13" borderId="0" xfId="0" applyFont="1" applyFill="1" applyAlignment="1">
      <alignment horizontal="left"/>
    </xf>
    <xf numFmtId="0" fontId="26" fillId="13" borderId="0" xfId="0" applyFont="1" applyFill="1" applyAlignment="1">
      <alignment horizontal="right"/>
    </xf>
    <xf numFmtId="170" fontId="8" fillId="13" borderId="0" xfId="0" applyNumberFormat="1" applyFont="1" applyFill="1"/>
    <xf numFmtId="0" fontId="33" fillId="15" borderId="0" xfId="0" applyFont="1" applyFill="1"/>
    <xf numFmtId="0" fontId="21" fillId="14" borderId="0" xfId="0" applyFont="1" applyFill="1"/>
    <xf numFmtId="0" fontId="7" fillId="14" borderId="0" xfId="0" applyFont="1" applyFill="1" applyAlignment="1">
      <alignment horizontal="right"/>
    </xf>
    <xf numFmtId="0" fontId="7" fillId="14" borderId="0" xfId="0" applyFont="1" applyFill="1" applyAlignment="1">
      <alignment horizontal="left"/>
    </xf>
    <xf numFmtId="170" fontId="7" fillId="14" borderId="0" xfId="0" applyNumberFormat="1" applyFont="1" applyFill="1" applyAlignment="1">
      <alignment horizontal="right"/>
    </xf>
    <xf numFmtId="0" fontId="21" fillId="14" borderId="0" xfId="0" applyFont="1" applyFill="1" applyAlignment="1">
      <alignment horizontal="left"/>
    </xf>
    <xf numFmtId="0" fontId="21" fillId="14" borderId="0" xfId="0" applyFont="1" applyFill="1" applyAlignment="1">
      <alignment horizontal="right"/>
    </xf>
    <xf numFmtId="170" fontId="7" fillId="14" borderId="0" xfId="0" applyNumberFormat="1" applyFont="1" applyFill="1"/>
    <xf numFmtId="0" fontId="32" fillId="16" borderId="0" xfId="0" applyFont="1" applyFill="1"/>
    <xf numFmtId="0" fontId="26" fillId="17" borderId="0" xfId="0" applyFont="1" applyFill="1"/>
    <xf numFmtId="0" fontId="8" fillId="17" borderId="0" xfId="0" applyFont="1" applyFill="1" applyAlignment="1">
      <alignment horizontal="right"/>
    </xf>
    <xf numFmtId="0" fontId="8" fillId="17" borderId="0" xfId="0" applyFont="1" applyFill="1" applyAlignment="1">
      <alignment horizontal="left"/>
    </xf>
    <xf numFmtId="170" fontId="8" fillId="17" borderId="0" xfId="0" applyNumberFormat="1" applyFont="1" applyFill="1" applyAlignment="1">
      <alignment horizontal="right"/>
    </xf>
    <xf numFmtId="0" fontId="26" fillId="17" borderId="0" xfId="0" applyFont="1" applyFill="1" applyAlignment="1">
      <alignment horizontal="left"/>
    </xf>
    <xf numFmtId="0" fontId="26" fillId="17" borderId="0" xfId="0" applyFont="1" applyFill="1" applyAlignment="1">
      <alignment horizontal="right"/>
    </xf>
    <xf numFmtId="170" fontId="8" fillId="17" borderId="0" xfId="0" applyNumberFormat="1" applyFont="1" applyFill="1"/>
    <xf numFmtId="0" fontId="33" fillId="41" borderId="0" xfId="0" applyFont="1" applyFill="1"/>
    <xf numFmtId="0" fontId="26" fillId="43" borderId="0" xfId="0" applyFont="1" applyFill="1"/>
    <xf numFmtId="0" fontId="8" fillId="43" borderId="0" xfId="0" applyFont="1" applyFill="1" applyAlignment="1">
      <alignment horizontal="right"/>
    </xf>
    <xf numFmtId="0" fontId="8" fillId="43" borderId="0" xfId="0" applyFont="1" applyFill="1" applyAlignment="1">
      <alignment horizontal="left"/>
    </xf>
    <xf numFmtId="170" fontId="8" fillId="43" borderId="0" xfId="0" applyNumberFormat="1" applyFont="1" applyFill="1" applyAlignment="1">
      <alignment horizontal="right"/>
    </xf>
    <xf numFmtId="0" fontId="26" fillId="43" borderId="0" xfId="0" applyFont="1" applyFill="1" applyAlignment="1">
      <alignment horizontal="left"/>
    </xf>
    <xf numFmtId="0" fontId="26" fillId="43" borderId="0" xfId="0" applyFont="1" applyFill="1" applyAlignment="1">
      <alignment horizontal="right"/>
    </xf>
    <xf numFmtId="170" fontId="8" fillId="43" borderId="0" xfId="0" applyNumberFormat="1" applyFont="1" applyFill="1"/>
    <xf numFmtId="0" fontId="32" fillId="40" borderId="0" xfId="0" applyFont="1" applyFill="1"/>
    <xf numFmtId="0" fontId="26" fillId="42" borderId="0" xfId="0" applyFont="1" applyFill="1"/>
    <xf numFmtId="0" fontId="8" fillId="42" borderId="0" xfId="0" applyFont="1" applyFill="1" applyAlignment="1">
      <alignment horizontal="right"/>
    </xf>
    <xf numFmtId="0" fontId="8" fillId="42" borderId="0" xfId="0" applyFont="1" applyFill="1" applyAlignment="1">
      <alignment horizontal="left"/>
    </xf>
    <xf numFmtId="170" fontId="8" fillId="42" borderId="0" xfId="0" applyNumberFormat="1" applyFont="1" applyFill="1" applyAlignment="1">
      <alignment horizontal="right"/>
    </xf>
    <xf numFmtId="0" fontId="26" fillId="42" borderId="0" xfId="0" applyFont="1" applyFill="1" applyAlignment="1">
      <alignment horizontal="left"/>
    </xf>
    <xf numFmtId="0" fontId="26" fillId="42" borderId="0" xfId="0" applyFont="1" applyFill="1" applyAlignment="1">
      <alignment horizontal="right"/>
    </xf>
    <xf numFmtId="0" fontId="32" fillId="18" borderId="0" xfId="0" applyFont="1" applyFill="1"/>
    <xf numFmtId="0" fontId="26" fillId="19" borderId="0" xfId="0" applyFont="1" applyFill="1"/>
    <xf numFmtId="0" fontId="8" fillId="19" borderId="0" xfId="0" applyFont="1" applyFill="1" applyAlignment="1">
      <alignment horizontal="right"/>
    </xf>
    <xf numFmtId="0" fontId="8" fillId="19" borderId="0" xfId="0" applyFont="1" applyFill="1" applyAlignment="1">
      <alignment horizontal="left"/>
    </xf>
    <xf numFmtId="170" fontId="8" fillId="19" borderId="0" xfId="0" applyNumberFormat="1" applyFont="1" applyFill="1" applyAlignment="1">
      <alignment horizontal="right"/>
    </xf>
    <xf numFmtId="0" fontId="26" fillId="19" borderId="0" xfId="0" applyFont="1" applyFill="1" applyAlignment="1">
      <alignment horizontal="left"/>
    </xf>
    <xf numFmtId="0" fontId="26" fillId="19" borderId="0" xfId="0" applyFont="1" applyFill="1" applyAlignment="1">
      <alignment horizontal="right"/>
    </xf>
    <xf numFmtId="170" fontId="8" fillId="19" borderId="0" xfId="0" applyNumberFormat="1" applyFont="1" applyFill="1"/>
    <xf numFmtId="0" fontId="32" fillId="20" borderId="0" xfId="0" applyFont="1" applyFill="1"/>
    <xf numFmtId="0" fontId="26" fillId="21" borderId="0" xfId="0" applyFont="1" applyFill="1"/>
    <xf numFmtId="170" fontId="8" fillId="21" borderId="0" xfId="0" applyNumberFormat="1" applyFont="1" applyFill="1" applyAlignment="1">
      <alignment horizontal="right"/>
    </xf>
    <xf numFmtId="0" fontId="26" fillId="21" borderId="0" xfId="0" applyFont="1" applyFill="1" applyAlignment="1">
      <alignment horizontal="left"/>
    </xf>
    <xf numFmtId="0" fontId="26" fillId="21" borderId="0" xfId="0" applyFont="1" applyFill="1" applyAlignment="1">
      <alignment horizontal="right"/>
    </xf>
    <xf numFmtId="170" fontId="8" fillId="21" borderId="0" xfId="0" applyNumberFormat="1" applyFont="1" applyFill="1"/>
    <xf numFmtId="0" fontId="33" fillId="22" borderId="0" xfId="0" applyFont="1" applyFill="1"/>
    <xf numFmtId="0" fontId="26" fillId="23" borderId="0" xfId="0" applyFont="1" applyFill="1"/>
    <xf numFmtId="170" fontId="8" fillId="23" borderId="0" xfId="0" applyNumberFormat="1" applyFont="1" applyFill="1" applyAlignment="1">
      <alignment horizontal="right"/>
    </xf>
    <xf numFmtId="0" fontId="26" fillId="23" borderId="0" xfId="0" applyFont="1" applyFill="1" applyAlignment="1">
      <alignment horizontal="left"/>
    </xf>
    <xf numFmtId="0" fontId="26" fillId="23" borderId="0" xfId="0" applyFont="1" applyFill="1" applyAlignment="1">
      <alignment horizontal="right"/>
    </xf>
    <xf numFmtId="170" fontId="8" fillId="23" borderId="0" xfId="0" applyNumberFormat="1" applyFont="1" applyFill="1"/>
    <xf numFmtId="0" fontId="32" fillId="24" borderId="0" xfId="0" applyFont="1" applyFill="1"/>
    <xf numFmtId="0" fontId="26" fillId="25" borderId="0" xfId="0" applyFont="1" applyFill="1"/>
    <xf numFmtId="0" fontId="8" fillId="25" borderId="0" xfId="0" applyFont="1" applyFill="1" applyAlignment="1">
      <alignment horizontal="right"/>
    </xf>
    <xf numFmtId="0" fontId="8" fillId="25" borderId="0" xfId="0" applyFont="1" applyFill="1" applyAlignment="1">
      <alignment horizontal="left"/>
    </xf>
    <xf numFmtId="170" fontId="8" fillId="25" borderId="0" xfId="0" applyNumberFormat="1" applyFont="1" applyFill="1" applyAlignment="1">
      <alignment horizontal="right"/>
    </xf>
    <xf numFmtId="0" fontId="26" fillId="25" borderId="0" xfId="0" applyFont="1" applyFill="1" applyAlignment="1">
      <alignment horizontal="left"/>
    </xf>
    <xf numFmtId="0" fontId="26" fillId="25" borderId="0" xfId="0" applyFont="1" applyFill="1" applyAlignment="1">
      <alignment horizontal="right"/>
    </xf>
    <xf numFmtId="170" fontId="8" fillId="25" borderId="0" xfId="0" applyNumberFormat="1" applyFont="1" applyFill="1"/>
    <xf numFmtId="0" fontId="32" fillId="26" borderId="0" xfId="0" applyFont="1" applyFill="1"/>
    <xf numFmtId="0" fontId="26" fillId="27" borderId="0" xfId="0" applyFont="1" applyFill="1"/>
    <xf numFmtId="170" fontId="8" fillId="27" borderId="0" xfId="0" applyNumberFormat="1" applyFont="1" applyFill="1" applyAlignment="1">
      <alignment horizontal="right"/>
    </xf>
    <xf numFmtId="0" fontId="26" fillId="27" borderId="0" xfId="0" applyFont="1" applyFill="1" applyAlignment="1">
      <alignment horizontal="left"/>
    </xf>
    <xf numFmtId="0" fontId="26" fillId="27" borderId="0" xfId="0" applyFont="1" applyFill="1" applyAlignment="1">
      <alignment horizontal="right"/>
    </xf>
    <xf numFmtId="170" fontId="8" fillId="27" borderId="0" xfId="0" applyNumberFormat="1" applyFont="1" applyFill="1"/>
    <xf numFmtId="0" fontId="32" fillId="60" borderId="0" xfId="0" applyFont="1" applyFill="1"/>
    <xf numFmtId="0" fontId="21" fillId="61" borderId="0" xfId="0" applyFont="1" applyFill="1"/>
    <xf numFmtId="0" fontId="7" fillId="61" borderId="0" xfId="0" applyFont="1" applyFill="1" applyAlignment="1">
      <alignment horizontal="right"/>
    </xf>
    <xf numFmtId="0" fontId="7" fillId="61" borderId="0" xfId="0" applyFont="1" applyFill="1" applyAlignment="1">
      <alignment horizontal="left"/>
    </xf>
    <xf numFmtId="170" fontId="7" fillId="61" borderId="0" xfId="0" applyNumberFormat="1" applyFont="1" applyFill="1" applyAlignment="1">
      <alignment horizontal="right"/>
    </xf>
    <xf numFmtId="0" fontId="21" fillId="61" borderId="0" xfId="0" applyFont="1" applyFill="1" applyAlignment="1">
      <alignment horizontal="left"/>
    </xf>
    <xf numFmtId="0" fontId="21" fillId="61" borderId="0" xfId="0" applyFont="1" applyFill="1" applyAlignment="1">
      <alignment horizontal="right"/>
    </xf>
    <xf numFmtId="170" fontId="7" fillId="61" borderId="0" xfId="0" applyNumberFormat="1" applyFont="1" applyFill="1"/>
    <xf numFmtId="0" fontId="26" fillId="28" borderId="0" xfId="0" applyFont="1" applyFill="1"/>
    <xf numFmtId="0" fontId="8" fillId="28" borderId="0" xfId="0" applyFont="1" applyFill="1" applyAlignment="1">
      <alignment horizontal="right"/>
    </xf>
    <xf numFmtId="0" fontId="8" fillId="28" borderId="0" xfId="0" applyFont="1" applyFill="1" applyAlignment="1">
      <alignment horizontal="left"/>
    </xf>
    <xf numFmtId="170" fontId="8" fillId="28" borderId="0" xfId="0" applyNumberFormat="1" applyFont="1" applyFill="1" applyAlignment="1">
      <alignment horizontal="right"/>
    </xf>
    <xf numFmtId="0" fontId="26" fillId="28" borderId="0" xfId="0" applyFont="1" applyFill="1" applyAlignment="1">
      <alignment horizontal="left"/>
    </xf>
    <xf numFmtId="0" fontId="26" fillId="28" borderId="0" xfId="0" applyFont="1" applyFill="1" applyAlignment="1">
      <alignment horizontal="right"/>
    </xf>
    <xf numFmtId="170" fontId="8" fillId="28" borderId="0" xfId="0" applyNumberFormat="1" applyFont="1" applyFill="1"/>
    <xf numFmtId="0" fontId="32" fillId="29" borderId="0" xfId="0" applyFont="1" applyFill="1"/>
    <xf numFmtId="0" fontId="26" fillId="30" borderId="0" xfId="0" applyFont="1" applyFill="1"/>
    <xf numFmtId="170" fontId="8" fillId="30" borderId="0" xfId="0" applyNumberFormat="1" applyFont="1" applyFill="1" applyAlignment="1">
      <alignment horizontal="right"/>
    </xf>
    <xf numFmtId="0" fontId="26" fillId="30" borderId="0" xfId="0" applyFont="1" applyFill="1" applyAlignment="1">
      <alignment horizontal="left"/>
    </xf>
    <xf numFmtId="0" fontId="26" fillId="30" borderId="0" xfId="0" applyFont="1" applyFill="1" applyAlignment="1">
      <alignment horizontal="right"/>
    </xf>
    <xf numFmtId="170" fontId="8" fillId="30" borderId="0" xfId="0" applyNumberFormat="1" applyFont="1" applyFill="1"/>
    <xf numFmtId="0" fontId="32" fillId="31" borderId="0" xfId="0" applyFont="1" applyFill="1"/>
    <xf numFmtId="0" fontId="26" fillId="32" borderId="0" xfId="0" applyFont="1" applyFill="1"/>
    <xf numFmtId="170" fontId="8" fillId="32" borderId="0" xfId="0" applyNumberFormat="1" applyFont="1" applyFill="1" applyAlignment="1">
      <alignment horizontal="right"/>
    </xf>
    <xf numFmtId="0" fontId="26" fillId="32" borderId="0" xfId="0" applyFont="1" applyFill="1" applyAlignment="1">
      <alignment horizontal="left"/>
    </xf>
    <xf numFmtId="0" fontId="26" fillId="32" borderId="0" xfId="0" applyFont="1" applyFill="1" applyAlignment="1">
      <alignment horizontal="right"/>
    </xf>
    <xf numFmtId="170" fontId="8" fillId="32" borderId="0" xfId="0" applyNumberFormat="1" applyFont="1" applyFill="1"/>
    <xf numFmtId="0" fontId="33" fillId="33" borderId="0" xfId="0" applyFont="1" applyFill="1"/>
    <xf numFmtId="0" fontId="26" fillId="34" borderId="0" xfId="0" applyFont="1" applyFill="1"/>
    <xf numFmtId="170" fontId="8" fillId="34" borderId="0" xfId="0" applyNumberFormat="1" applyFont="1" applyFill="1" applyAlignment="1">
      <alignment horizontal="right"/>
    </xf>
    <xf numFmtId="0" fontId="26" fillId="34" borderId="0" xfId="0" applyFont="1" applyFill="1" applyAlignment="1">
      <alignment horizontal="left"/>
    </xf>
    <xf numFmtId="0" fontId="26" fillId="34" borderId="0" xfId="0" applyFont="1" applyFill="1" applyAlignment="1">
      <alignment horizontal="right"/>
    </xf>
    <xf numFmtId="170" fontId="8" fillId="34" borderId="0" xfId="0" applyNumberFormat="1" applyFont="1" applyFill="1"/>
    <xf numFmtId="0" fontId="34" fillId="0" borderId="0" xfId="0" applyFont="1"/>
    <xf numFmtId="0" fontId="14" fillId="63" borderId="0" xfId="0" applyFont="1" applyFill="1"/>
    <xf numFmtId="0" fontId="7" fillId="64" borderId="0" xfId="0" applyFont="1" applyFill="1"/>
    <xf numFmtId="0" fontId="26" fillId="63" borderId="0" xfId="0" applyFont="1" applyFill="1"/>
    <xf numFmtId="0" fontId="8" fillId="63" borderId="0" xfId="0" applyFont="1" applyFill="1"/>
    <xf numFmtId="0" fontId="8" fillId="63" borderId="0" xfId="0" applyFont="1" applyFill="1" applyAlignment="1">
      <alignment horizontal="right"/>
    </xf>
    <xf numFmtId="0" fontId="8" fillId="63" borderId="0" xfId="0" applyFont="1" applyFill="1" applyAlignment="1">
      <alignment horizontal="left"/>
    </xf>
    <xf numFmtId="170" fontId="8" fillId="63" borderId="0" xfId="0" applyNumberFormat="1" applyFont="1" applyFill="1" applyAlignment="1">
      <alignment horizontal="right"/>
    </xf>
    <xf numFmtId="0" fontId="26" fillId="63" borderId="0" xfId="0" applyFont="1" applyFill="1" applyAlignment="1">
      <alignment horizontal="left"/>
    </xf>
    <xf numFmtId="0" fontId="26" fillId="63" borderId="0" xfId="0" applyFont="1" applyFill="1" applyAlignment="1">
      <alignment horizontal="right"/>
    </xf>
    <xf numFmtId="0" fontId="32" fillId="53" borderId="0" xfId="0" applyFont="1" applyFill="1"/>
    <xf numFmtId="0" fontId="35" fillId="0" borderId="1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168" fontId="35" fillId="0" borderId="1" xfId="0" applyNumberFormat="1" applyFont="1" applyBorder="1"/>
    <xf numFmtId="168" fontId="35" fillId="0" borderId="6" xfId="0" applyNumberFormat="1" applyFont="1" applyBorder="1"/>
    <xf numFmtId="165" fontId="23" fillId="0" borderId="5" xfId="0" applyNumberFormat="1" applyFont="1" applyBorder="1" applyAlignment="1">
      <alignment horizontal="right"/>
    </xf>
    <xf numFmtId="165" fontId="23" fillId="0" borderId="6" xfId="0" applyNumberFormat="1" applyFont="1" applyBorder="1"/>
    <xf numFmtId="1" fontId="23" fillId="0" borderId="0" xfId="0" applyNumberFormat="1" applyFont="1"/>
    <xf numFmtId="0" fontId="23" fillId="0" borderId="0" xfId="0" applyFont="1"/>
    <xf numFmtId="1" fontId="35" fillId="0" borderId="0" xfId="0" applyNumberFormat="1" applyFont="1"/>
    <xf numFmtId="2" fontId="23" fillId="65" borderId="3" xfId="0" applyNumberFormat="1" applyFont="1" applyFill="1" applyBorder="1" applyAlignment="1">
      <alignment horizontal="center"/>
    </xf>
    <xf numFmtId="164" fontId="23" fillId="55" borderId="2" xfId="0" applyNumberFormat="1" applyFont="1" applyFill="1" applyBorder="1" applyAlignment="1">
      <alignment horizontal="left"/>
    </xf>
    <xf numFmtId="165" fontId="23" fillId="55" borderId="7" xfId="0" applyNumberFormat="1" applyFont="1" applyFill="1" applyBorder="1" applyAlignment="1">
      <alignment horizontal="right"/>
    </xf>
    <xf numFmtId="165" fontId="35" fillId="37" borderId="0" xfId="0" applyNumberFormat="1" applyFont="1" applyFill="1" applyAlignment="1">
      <alignment horizontal="center"/>
    </xf>
    <xf numFmtId="165" fontId="35" fillId="37" borderId="0" xfId="0" applyNumberFormat="1" applyFont="1" applyFill="1"/>
    <xf numFmtId="165" fontId="35" fillId="37" borderId="3" xfId="0" applyNumberFormat="1" applyFont="1" applyFill="1" applyBorder="1"/>
    <xf numFmtId="0" fontId="23" fillId="36" borderId="7" xfId="0" applyFont="1" applyFill="1" applyBorder="1" applyAlignment="1">
      <alignment horizontal="center"/>
    </xf>
    <xf numFmtId="0" fontId="23" fillId="56" borderId="7" xfId="0" applyFont="1" applyFill="1" applyBorder="1" applyAlignment="1">
      <alignment horizontal="center"/>
    </xf>
    <xf numFmtId="0" fontId="35" fillId="57" borderId="7" xfId="0" applyFont="1" applyFill="1" applyBorder="1" applyAlignment="1">
      <alignment horizontal="right"/>
    </xf>
    <xf numFmtId="1" fontId="23" fillId="35" borderId="7" xfId="0" applyNumberFormat="1" applyFont="1" applyFill="1" applyBorder="1" applyAlignment="1" applyProtection="1">
      <alignment horizontal="center"/>
      <protection locked="0"/>
    </xf>
    <xf numFmtId="0" fontId="35" fillId="57" borderId="7" xfId="0" applyFont="1" applyFill="1" applyBorder="1" applyAlignment="1">
      <alignment horizontal="left"/>
    </xf>
    <xf numFmtId="166" fontId="23" fillId="37" borderId="7" xfId="0" applyNumberFormat="1" applyFont="1" applyFill="1" applyBorder="1"/>
    <xf numFmtId="165" fontId="35" fillId="37" borderId="7" xfId="0" applyNumberFormat="1" applyFont="1" applyFill="1" applyBorder="1" applyAlignment="1">
      <alignment horizontal="center"/>
    </xf>
    <xf numFmtId="1" fontId="27" fillId="54" borderId="7" xfId="0" applyNumberFormat="1" applyFont="1" applyFill="1" applyBorder="1" applyAlignment="1" applyProtection="1">
      <alignment horizontal="center"/>
      <protection hidden="1"/>
    </xf>
    <xf numFmtId="0" fontId="35" fillId="37" borderId="7" xfId="0" applyFont="1" applyFill="1" applyBorder="1" applyAlignment="1">
      <alignment horizontal="center"/>
    </xf>
    <xf numFmtId="0" fontId="35" fillId="37" borderId="3" xfId="0" applyFont="1" applyFill="1" applyBorder="1" applyAlignment="1">
      <alignment horizontal="center"/>
    </xf>
    <xf numFmtId="167" fontId="35" fillId="38" borderId="2" xfId="0" applyNumberFormat="1" applyFont="1" applyFill="1" applyBorder="1"/>
    <xf numFmtId="167" fontId="35" fillId="38" borderId="0" xfId="0" applyNumberFormat="1" applyFont="1" applyFill="1"/>
    <xf numFmtId="1" fontId="0" fillId="65" borderId="1" xfId="0" applyNumberFormat="1" applyFill="1" applyBorder="1" applyAlignment="1">
      <alignment horizontal="center"/>
    </xf>
    <xf numFmtId="1" fontId="0" fillId="65" borderId="2" xfId="0" applyNumberFormat="1" applyFill="1" applyBorder="1" applyAlignment="1">
      <alignment horizontal="center"/>
    </xf>
    <xf numFmtId="1" fontId="0" fillId="65" borderId="8" xfId="0" applyNumberFormat="1" applyFill="1" applyBorder="1" applyAlignment="1">
      <alignment horizontal="center"/>
    </xf>
    <xf numFmtId="0" fontId="12" fillId="5" borderId="0" xfId="0" applyFont="1" applyFill="1" applyAlignment="1">
      <alignment horizontal="right"/>
    </xf>
    <xf numFmtId="0" fontId="12" fillId="9" borderId="0" xfId="0" applyFont="1" applyFill="1" applyAlignment="1">
      <alignment horizontal="right"/>
    </xf>
    <xf numFmtId="0" fontId="12" fillId="11" borderId="0" xfId="0" applyFont="1" applyFill="1" applyAlignment="1">
      <alignment horizontal="right"/>
    </xf>
    <xf numFmtId="0" fontId="12" fillId="13" borderId="0" xfId="0" applyFont="1" applyFill="1" applyAlignment="1">
      <alignment horizontal="right"/>
    </xf>
    <xf numFmtId="0" fontId="12" fillId="21" borderId="0" xfId="0" applyFont="1" applyFill="1" applyAlignment="1">
      <alignment horizontal="right"/>
    </xf>
    <xf numFmtId="0" fontId="12" fillId="27" borderId="0" xfId="0" applyFont="1" applyFill="1" applyAlignment="1">
      <alignment horizontal="right"/>
    </xf>
    <xf numFmtId="0" fontId="12" fillId="30" borderId="0" xfId="0" applyFont="1" applyFill="1" applyAlignment="1">
      <alignment horizontal="right"/>
    </xf>
    <xf numFmtId="0" fontId="12" fillId="23" borderId="0" xfId="0" applyFont="1" applyFill="1" applyAlignment="1">
      <alignment horizontal="right"/>
    </xf>
    <xf numFmtId="0" fontId="12" fillId="32" borderId="0" xfId="0" applyFont="1" applyFill="1" applyAlignment="1">
      <alignment horizontal="right"/>
    </xf>
    <xf numFmtId="0" fontId="12" fillId="34" borderId="0" xfId="0" applyFont="1" applyFill="1" applyAlignment="1">
      <alignment horizontal="right"/>
    </xf>
    <xf numFmtId="171" fontId="14" fillId="0" borderId="0" xfId="0" applyNumberFormat="1" applyFont="1"/>
    <xf numFmtId="170" fontId="8" fillId="63" borderId="0" xfId="0" applyNumberFormat="1" applyFont="1" applyFill="1"/>
    <xf numFmtId="170" fontId="8" fillId="42" borderId="0" xfId="0" applyNumberFormat="1" applyFont="1" applyFill="1"/>
    <xf numFmtId="170" fontId="26" fillId="5" borderId="0" xfId="0" applyNumberFormat="1" applyFont="1" applyFill="1"/>
    <xf numFmtId="1" fontId="6" fillId="37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right" indent="1"/>
    </xf>
    <xf numFmtId="1" fontId="8" fillId="5" borderId="0" xfId="0" applyNumberFormat="1" applyFont="1" applyFill="1" applyAlignment="1">
      <alignment horizontal="left"/>
    </xf>
    <xf numFmtId="0" fontId="8" fillId="5" borderId="0" xfId="0" applyFont="1" applyFill="1" applyAlignment="1">
      <alignment horizontal="left" indent="1"/>
    </xf>
    <xf numFmtId="170" fontId="8" fillId="5" borderId="0" xfId="0" applyNumberFormat="1" applyFont="1" applyFill="1" applyAlignment="1">
      <alignment horizontal="left"/>
    </xf>
    <xf numFmtId="170" fontId="7" fillId="7" borderId="0" xfId="0" applyNumberFormat="1" applyFont="1" applyFill="1" applyAlignment="1">
      <alignment horizontal="left"/>
    </xf>
    <xf numFmtId="170" fontId="8" fillId="59" borderId="0" xfId="0" applyNumberFormat="1" applyFont="1" applyFill="1" applyAlignment="1">
      <alignment horizontal="left"/>
    </xf>
    <xf numFmtId="170" fontId="8" fillId="63" borderId="0" xfId="0" applyNumberFormat="1" applyFont="1" applyFill="1" applyAlignment="1">
      <alignment horizontal="left"/>
    </xf>
    <xf numFmtId="170" fontId="8" fillId="9" borderId="0" xfId="0" applyNumberFormat="1" applyFont="1" applyFill="1" applyAlignment="1">
      <alignment horizontal="left"/>
    </xf>
    <xf numFmtId="170" fontId="8" fillId="13" borderId="0" xfId="0" applyNumberFormat="1" applyFont="1" applyFill="1" applyAlignment="1">
      <alignment horizontal="left"/>
    </xf>
    <xf numFmtId="170" fontId="7" fillId="14" borderId="0" xfId="0" applyNumberFormat="1" applyFont="1" applyFill="1" applyAlignment="1">
      <alignment horizontal="left"/>
    </xf>
    <xf numFmtId="170" fontId="8" fillId="17" borderId="0" xfId="0" applyNumberFormat="1" applyFont="1" applyFill="1" applyAlignment="1">
      <alignment horizontal="left"/>
    </xf>
    <xf numFmtId="170" fontId="8" fillId="43" borderId="0" xfId="0" applyNumberFormat="1" applyFont="1" applyFill="1" applyAlignment="1">
      <alignment horizontal="left"/>
    </xf>
    <xf numFmtId="170" fontId="8" fillId="42" borderId="0" xfId="0" applyNumberFormat="1" applyFont="1" applyFill="1" applyAlignment="1">
      <alignment horizontal="left"/>
    </xf>
    <xf numFmtId="170" fontId="8" fillId="19" borderId="0" xfId="0" applyNumberFormat="1" applyFont="1" applyFill="1" applyAlignment="1">
      <alignment horizontal="left"/>
    </xf>
    <xf numFmtId="170" fontId="8" fillId="21" borderId="0" xfId="0" applyNumberFormat="1" applyFont="1" applyFill="1" applyAlignment="1">
      <alignment horizontal="left"/>
    </xf>
    <xf numFmtId="170" fontId="8" fillId="23" borderId="0" xfId="0" applyNumberFormat="1" applyFont="1" applyFill="1" applyAlignment="1">
      <alignment horizontal="left"/>
    </xf>
    <xf numFmtId="170" fontId="8" fillId="25" borderId="0" xfId="0" applyNumberFormat="1" applyFont="1" applyFill="1" applyAlignment="1">
      <alignment horizontal="left"/>
    </xf>
    <xf numFmtId="170" fontId="8" fillId="27" borderId="0" xfId="0" applyNumberFormat="1" applyFont="1" applyFill="1" applyAlignment="1">
      <alignment horizontal="left"/>
    </xf>
    <xf numFmtId="170" fontId="7" fillId="61" borderId="0" xfId="0" applyNumberFormat="1" applyFont="1" applyFill="1" applyAlignment="1">
      <alignment horizontal="left"/>
    </xf>
    <xf numFmtId="170" fontId="8" fillId="28" borderId="0" xfId="0" applyNumberFormat="1" applyFont="1" applyFill="1" applyAlignment="1">
      <alignment horizontal="left"/>
    </xf>
    <xf numFmtId="170" fontId="8" fillId="30" borderId="0" xfId="0" applyNumberFormat="1" applyFont="1" applyFill="1" applyAlignment="1">
      <alignment horizontal="left"/>
    </xf>
    <xf numFmtId="170" fontId="8" fillId="32" borderId="0" xfId="0" applyNumberFormat="1" applyFont="1" applyFill="1" applyAlignment="1">
      <alignment horizontal="left"/>
    </xf>
    <xf numFmtId="170" fontId="8" fillId="34" borderId="0" xfId="0" applyNumberFormat="1" applyFont="1" applyFill="1" applyAlignment="1">
      <alignment horizontal="left"/>
    </xf>
    <xf numFmtId="0" fontId="22" fillId="0" borderId="0" xfId="0" applyFont="1" applyAlignment="1">
      <alignment horizontal="center" wrapText="1"/>
    </xf>
    <xf numFmtId="0" fontId="36" fillId="0" borderId="0" xfId="0" applyFont="1"/>
    <xf numFmtId="171" fontId="14" fillId="0" borderId="0" xfId="0" applyNumberFormat="1" applyFont="1" applyAlignment="1">
      <alignment horizontal="left"/>
    </xf>
    <xf numFmtId="0" fontId="36" fillId="0" borderId="0" xfId="0" applyFont="1" applyAlignment="1">
      <alignment horizontal="left"/>
    </xf>
    <xf numFmtId="171" fontId="8" fillId="5" borderId="0" xfId="0" applyNumberFormat="1" applyFont="1" applyFill="1"/>
    <xf numFmtId="0" fontId="36" fillId="0" borderId="0" xfId="0" applyFont="1" applyAlignment="1">
      <alignment horizontal="right"/>
    </xf>
    <xf numFmtId="171" fontId="36" fillId="0" borderId="0" xfId="0" applyNumberFormat="1" applyFont="1"/>
    <xf numFmtId="0" fontId="6" fillId="66" borderId="2" xfId="0" applyFont="1" applyFill="1" applyBorder="1"/>
    <xf numFmtId="165" fontId="9" fillId="37" borderId="0" xfId="0" applyNumberFormat="1" applyFont="1" applyFill="1" applyAlignment="1">
      <alignment horizontal="right"/>
    </xf>
    <xf numFmtId="167" fontId="9" fillId="38" borderId="0" xfId="0" applyNumberFormat="1" applyFont="1" applyFill="1" applyAlignment="1">
      <alignment vertical="center"/>
    </xf>
    <xf numFmtId="165" fontId="0" fillId="0" borderId="0" xfId="0" applyNumberFormat="1"/>
    <xf numFmtId="1" fontId="0" fillId="35" borderId="16" xfId="0" applyNumberFormat="1" applyFill="1" applyBorder="1" applyAlignment="1" applyProtection="1">
      <alignment horizontal="center"/>
      <protection locked="0"/>
    </xf>
    <xf numFmtId="1" fontId="0" fillId="35" borderId="17" xfId="0" applyNumberFormat="1" applyFill="1" applyBorder="1" applyAlignment="1" applyProtection="1">
      <alignment horizontal="center"/>
      <protection locked="0"/>
    </xf>
    <xf numFmtId="1" fontId="0" fillId="35" borderId="18" xfId="0" applyNumberFormat="1" applyFill="1" applyBorder="1" applyAlignment="1" applyProtection="1">
      <alignment horizontal="center"/>
      <protection locked="0"/>
    </xf>
    <xf numFmtId="0" fontId="34" fillId="0" borderId="5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6" fillId="67" borderId="1" xfId="0" applyFont="1" applyFill="1" applyBorder="1"/>
    <xf numFmtId="0" fontId="6" fillId="67" borderId="2" xfId="0" applyFont="1" applyFill="1" applyBorder="1"/>
    <xf numFmtId="0" fontId="6" fillId="67" borderId="3" xfId="0" applyFont="1" applyFill="1" applyBorder="1"/>
    <xf numFmtId="0" fontId="6" fillId="67" borderId="8" xfId="0" applyFont="1" applyFill="1" applyBorder="1"/>
    <xf numFmtId="0" fontId="24" fillId="67" borderId="6" xfId="0" applyFont="1" applyFill="1" applyBorder="1" applyAlignment="1">
      <alignment horizontal="right"/>
    </xf>
    <xf numFmtId="0" fontId="15" fillId="67" borderId="10" xfId="0" applyFont="1" applyFill="1" applyBorder="1" applyAlignment="1">
      <alignment horizontal="right"/>
    </xf>
    <xf numFmtId="0" fontId="37" fillId="67" borderId="2" xfId="0" applyFont="1" applyFill="1" applyBorder="1"/>
    <xf numFmtId="0" fontId="22" fillId="0" borderId="15" xfId="0" applyFont="1" applyBorder="1" applyAlignment="1">
      <alignment horizontal="center"/>
    </xf>
    <xf numFmtId="0" fontId="22" fillId="0" borderId="1" xfId="0" applyFont="1" applyBorder="1" applyAlignment="1">
      <alignment horizontal="center" wrapText="1"/>
    </xf>
    <xf numFmtId="0" fontId="22" fillId="0" borderId="5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15" xfId="0" applyFont="1" applyBorder="1" applyAlignment="1">
      <alignment horizontal="center" wrapText="1"/>
    </xf>
    <xf numFmtId="0" fontId="22" fillId="0" borderId="14" xfId="0" applyFont="1" applyBorder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</cellXfs>
  <cellStyles count="4">
    <cellStyle name="Bad" xfId="1" builtinId="27"/>
    <cellStyle name="Good" xfId="2" builtinId="26"/>
    <cellStyle name="Hyperlink" xfId="3" builtinId="8"/>
    <cellStyle name="Normal" xfId="0" builtinId="0"/>
  </cellStyles>
  <dxfs count="45"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0.0%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0.0%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0.0%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h:mm;@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h:mm;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horizontal/>
      </border>
    </dxf>
    <dxf>
      <numFmt numFmtId="166" formatCode="[$-409]m/d/yy\ h:mm\ AM/PM;@"/>
      <border diagonalUp="0" diagonalDown="0">
        <left style="medium">
          <color indexed="64"/>
        </left>
        <right style="medium">
          <color indexed="64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CC99FF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horizontal/>
      </border>
    </dxf>
    <dxf>
      <numFmt numFmtId="1" formatCode="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indexed="64"/>
        </vertical>
        <horizontal style="medium">
          <color auto="1"/>
        </horizontal>
      </border>
      <protection locked="0" hidden="0"/>
    </dxf>
    <dxf>
      <numFmt numFmtId="1" formatCode="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indexed="64"/>
        </vertical>
        <horizontal style="medium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CC99FF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horizontal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h:mm;@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h:mm;@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h:mm;@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h:mm;@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165" formatCode="h:mm;@"/>
      <fill>
        <patternFill patternType="solid">
          <fgColor indexed="64"/>
          <bgColor theme="8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8003C"/>
        <name val="Calibri"/>
        <family val="2"/>
        <scheme val="minor"/>
      </font>
      <numFmt numFmtId="164" formatCode="[$-F800]dddd\,\ mmmm\ dd\,\ yyyy"/>
      <fill>
        <patternFill patternType="solid">
          <fgColor indexed="64"/>
          <bgColor theme="8" tint="0.59999389629810485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horizontal/>
      </border>
    </dxf>
    <dxf>
      <numFmt numFmtId="1" formatCode="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emf"/><Relationship Id="rId13" Type="http://schemas.openxmlformats.org/officeDocument/2006/relationships/image" Target="../media/image33.emf"/><Relationship Id="rId18" Type="http://schemas.openxmlformats.org/officeDocument/2006/relationships/image" Target="../media/image38.emf"/><Relationship Id="rId3" Type="http://schemas.openxmlformats.org/officeDocument/2006/relationships/image" Target="../media/image23.emf"/><Relationship Id="rId21" Type="http://schemas.openxmlformats.org/officeDocument/2006/relationships/image" Target="../media/image41.emf"/><Relationship Id="rId7" Type="http://schemas.openxmlformats.org/officeDocument/2006/relationships/image" Target="../media/image27.emf"/><Relationship Id="rId12" Type="http://schemas.openxmlformats.org/officeDocument/2006/relationships/image" Target="../media/image32.emf"/><Relationship Id="rId17" Type="http://schemas.openxmlformats.org/officeDocument/2006/relationships/image" Target="../media/image37.emf"/><Relationship Id="rId2" Type="http://schemas.openxmlformats.org/officeDocument/2006/relationships/image" Target="../media/image22.emf"/><Relationship Id="rId16" Type="http://schemas.openxmlformats.org/officeDocument/2006/relationships/image" Target="../media/image36.emf"/><Relationship Id="rId20" Type="http://schemas.openxmlformats.org/officeDocument/2006/relationships/image" Target="../media/image40.emf"/><Relationship Id="rId1" Type="http://schemas.openxmlformats.org/officeDocument/2006/relationships/image" Target="../media/image21.emf"/><Relationship Id="rId6" Type="http://schemas.openxmlformats.org/officeDocument/2006/relationships/image" Target="../media/image26.emf"/><Relationship Id="rId11" Type="http://schemas.openxmlformats.org/officeDocument/2006/relationships/image" Target="../media/image31.emf"/><Relationship Id="rId5" Type="http://schemas.openxmlformats.org/officeDocument/2006/relationships/image" Target="../media/image25.emf"/><Relationship Id="rId15" Type="http://schemas.openxmlformats.org/officeDocument/2006/relationships/image" Target="../media/image35.emf"/><Relationship Id="rId10" Type="http://schemas.openxmlformats.org/officeDocument/2006/relationships/image" Target="../media/image30.emf"/><Relationship Id="rId19" Type="http://schemas.openxmlformats.org/officeDocument/2006/relationships/image" Target="../media/image39.emf"/><Relationship Id="rId4" Type="http://schemas.openxmlformats.org/officeDocument/2006/relationships/image" Target="../media/image24.emf"/><Relationship Id="rId9" Type="http://schemas.openxmlformats.org/officeDocument/2006/relationships/image" Target="../media/image29.emf"/><Relationship Id="rId14" Type="http://schemas.openxmlformats.org/officeDocument/2006/relationships/image" Target="../media/image34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0.emf"/><Relationship Id="rId13" Type="http://schemas.openxmlformats.org/officeDocument/2006/relationships/image" Target="../media/image75.emf"/><Relationship Id="rId18" Type="http://schemas.openxmlformats.org/officeDocument/2006/relationships/image" Target="../media/image80.emf"/><Relationship Id="rId3" Type="http://schemas.openxmlformats.org/officeDocument/2006/relationships/image" Target="../media/image65.emf"/><Relationship Id="rId7" Type="http://schemas.openxmlformats.org/officeDocument/2006/relationships/image" Target="../media/image69.emf"/><Relationship Id="rId12" Type="http://schemas.openxmlformats.org/officeDocument/2006/relationships/image" Target="../media/image74.emf"/><Relationship Id="rId17" Type="http://schemas.openxmlformats.org/officeDocument/2006/relationships/image" Target="../media/image79.emf"/><Relationship Id="rId2" Type="http://schemas.openxmlformats.org/officeDocument/2006/relationships/image" Target="../media/image64.emf"/><Relationship Id="rId16" Type="http://schemas.openxmlformats.org/officeDocument/2006/relationships/image" Target="../media/image78.emf"/><Relationship Id="rId20" Type="http://schemas.openxmlformats.org/officeDocument/2006/relationships/image" Target="../media/image82.emf"/><Relationship Id="rId1" Type="http://schemas.openxmlformats.org/officeDocument/2006/relationships/image" Target="../media/image63.emf"/><Relationship Id="rId6" Type="http://schemas.openxmlformats.org/officeDocument/2006/relationships/image" Target="../media/image68.emf"/><Relationship Id="rId11" Type="http://schemas.openxmlformats.org/officeDocument/2006/relationships/image" Target="../media/image73.emf"/><Relationship Id="rId5" Type="http://schemas.openxmlformats.org/officeDocument/2006/relationships/image" Target="../media/image67.emf"/><Relationship Id="rId15" Type="http://schemas.openxmlformats.org/officeDocument/2006/relationships/image" Target="../media/image77.emf"/><Relationship Id="rId10" Type="http://schemas.openxmlformats.org/officeDocument/2006/relationships/image" Target="../media/image72.emf"/><Relationship Id="rId19" Type="http://schemas.openxmlformats.org/officeDocument/2006/relationships/image" Target="../media/image81.emf"/><Relationship Id="rId4" Type="http://schemas.openxmlformats.org/officeDocument/2006/relationships/image" Target="../media/image66.emf"/><Relationship Id="rId9" Type="http://schemas.openxmlformats.org/officeDocument/2006/relationships/image" Target="../media/image71.emf"/><Relationship Id="rId14" Type="http://schemas.openxmlformats.org/officeDocument/2006/relationships/image" Target="../media/image76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9.png"/><Relationship Id="rId18" Type="http://schemas.openxmlformats.org/officeDocument/2006/relationships/image" Target="../media/image16.png"/><Relationship Id="rId26" Type="http://schemas.openxmlformats.org/officeDocument/2006/relationships/image" Target="../media/image6.png"/><Relationship Id="rId39" Type="http://schemas.openxmlformats.org/officeDocument/2006/relationships/image" Target="../media/image102.png"/><Relationship Id="rId21" Type="http://schemas.openxmlformats.org/officeDocument/2006/relationships/image" Target="../media/image93.png"/><Relationship Id="rId34" Type="http://schemas.openxmlformats.org/officeDocument/2006/relationships/image" Target="../media/image5.png"/><Relationship Id="rId7" Type="http://schemas.openxmlformats.org/officeDocument/2006/relationships/image" Target="../media/image86.png"/><Relationship Id="rId12" Type="http://schemas.openxmlformats.org/officeDocument/2006/relationships/image" Target="../media/image3.png"/><Relationship Id="rId17" Type="http://schemas.openxmlformats.org/officeDocument/2006/relationships/image" Target="../media/image91.png"/><Relationship Id="rId25" Type="http://schemas.openxmlformats.org/officeDocument/2006/relationships/image" Target="../media/image95.png"/><Relationship Id="rId33" Type="http://schemas.openxmlformats.org/officeDocument/2006/relationships/image" Target="../media/image99.png"/><Relationship Id="rId38" Type="http://schemas.openxmlformats.org/officeDocument/2006/relationships/image" Target="../media/image13.png"/><Relationship Id="rId2" Type="http://schemas.openxmlformats.org/officeDocument/2006/relationships/image" Target="../media/image1.png"/><Relationship Id="rId16" Type="http://schemas.openxmlformats.org/officeDocument/2006/relationships/image" Target="../media/image10.png"/><Relationship Id="rId20" Type="http://schemas.openxmlformats.org/officeDocument/2006/relationships/image" Target="../media/image15.png"/><Relationship Id="rId29" Type="http://schemas.openxmlformats.org/officeDocument/2006/relationships/image" Target="../media/image97.png"/><Relationship Id="rId1" Type="http://schemas.openxmlformats.org/officeDocument/2006/relationships/image" Target="../media/image83.png"/><Relationship Id="rId6" Type="http://schemas.openxmlformats.org/officeDocument/2006/relationships/image" Target="../media/image12.png"/><Relationship Id="rId11" Type="http://schemas.openxmlformats.org/officeDocument/2006/relationships/image" Target="../media/image88.png"/><Relationship Id="rId24" Type="http://schemas.openxmlformats.org/officeDocument/2006/relationships/image" Target="../media/image18.png"/><Relationship Id="rId32" Type="http://schemas.openxmlformats.org/officeDocument/2006/relationships/image" Target="../media/image11.png"/><Relationship Id="rId37" Type="http://schemas.openxmlformats.org/officeDocument/2006/relationships/image" Target="../media/image101.png"/><Relationship Id="rId40" Type="http://schemas.openxmlformats.org/officeDocument/2006/relationships/image" Target="../media/image19.png"/><Relationship Id="rId5" Type="http://schemas.openxmlformats.org/officeDocument/2006/relationships/image" Target="../media/image85.png"/><Relationship Id="rId15" Type="http://schemas.openxmlformats.org/officeDocument/2006/relationships/image" Target="../media/image90.png"/><Relationship Id="rId23" Type="http://schemas.openxmlformats.org/officeDocument/2006/relationships/image" Target="../media/image94.png"/><Relationship Id="rId28" Type="http://schemas.openxmlformats.org/officeDocument/2006/relationships/image" Target="../media/image8.png"/><Relationship Id="rId36" Type="http://schemas.openxmlformats.org/officeDocument/2006/relationships/image" Target="../media/image14.png"/><Relationship Id="rId10" Type="http://schemas.openxmlformats.org/officeDocument/2006/relationships/image" Target="../media/image2.png"/><Relationship Id="rId19" Type="http://schemas.openxmlformats.org/officeDocument/2006/relationships/image" Target="../media/image92.png"/><Relationship Id="rId31" Type="http://schemas.openxmlformats.org/officeDocument/2006/relationships/image" Target="../media/image98.png"/><Relationship Id="rId4" Type="http://schemas.openxmlformats.org/officeDocument/2006/relationships/image" Target="../media/image7.png"/><Relationship Id="rId9" Type="http://schemas.openxmlformats.org/officeDocument/2006/relationships/image" Target="../media/image87.png"/><Relationship Id="rId14" Type="http://schemas.openxmlformats.org/officeDocument/2006/relationships/image" Target="../media/image20.png"/><Relationship Id="rId22" Type="http://schemas.openxmlformats.org/officeDocument/2006/relationships/image" Target="../media/image17.png"/><Relationship Id="rId27" Type="http://schemas.openxmlformats.org/officeDocument/2006/relationships/image" Target="../media/image96.png"/><Relationship Id="rId30" Type="http://schemas.openxmlformats.org/officeDocument/2006/relationships/image" Target="../media/image4.png"/><Relationship Id="rId35" Type="http://schemas.openxmlformats.org/officeDocument/2006/relationships/image" Target="../media/image100.png"/><Relationship Id="rId8" Type="http://schemas.openxmlformats.org/officeDocument/2006/relationships/image" Target="../media/image9.png"/><Relationship Id="rId3" Type="http://schemas.openxmlformats.org/officeDocument/2006/relationships/image" Target="../media/image8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8.png"/><Relationship Id="rId18" Type="http://schemas.openxmlformats.org/officeDocument/2006/relationships/image" Target="../media/image5.png"/><Relationship Id="rId3" Type="http://schemas.openxmlformats.org/officeDocument/2006/relationships/image" Target="../media/image9.png"/><Relationship Id="rId7" Type="http://schemas.openxmlformats.org/officeDocument/2006/relationships/image" Target="../media/image10.png"/><Relationship Id="rId12" Type="http://schemas.openxmlformats.org/officeDocument/2006/relationships/image" Target="../media/image17.png"/><Relationship Id="rId17" Type="http://schemas.openxmlformats.org/officeDocument/2006/relationships/image" Target="../media/image14.png"/><Relationship Id="rId2" Type="http://schemas.openxmlformats.org/officeDocument/2006/relationships/image" Target="../media/image1.png"/><Relationship Id="rId16" Type="http://schemas.openxmlformats.org/officeDocument/2006/relationships/image" Target="../media/image4.png"/><Relationship Id="rId20" Type="http://schemas.openxmlformats.org/officeDocument/2006/relationships/image" Target="../media/image13.png"/><Relationship Id="rId1" Type="http://schemas.openxmlformats.org/officeDocument/2006/relationships/image" Target="../media/image7.png"/><Relationship Id="rId6" Type="http://schemas.openxmlformats.org/officeDocument/2006/relationships/image" Target="../media/image2.png"/><Relationship Id="rId11" Type="http://schemas.openxmlformats.org/officeDocument/2006/relationships/image" Target="../media/image18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16.png"/><Relationship Id="rId19" Type="http://schemas.openxmlformats.org/officeDocument/2006/relationships/image" Target="../media/image19.png"/><Relationship Id="rId4" Type="http://schemas.openxmlformats.org/officeDocument/2006/relationships/image" Target="../media/image12.png"/><Relationship Id="rId9" Type="http://schemas.openxmlformats.org/officeDocument/2006/relationships/image" Target="../media/image15.png"/><Relationship Id="rId1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49.emf"/><Relationship Id="rId13" Type="http://schemas.openxmlformats.org/officeDocument/2006/relationships/image" Target="../media/image54.emf"/><Relationship Id="rId18" Type="http://schemas.openxmlformats.org/officeDocument/2006/relationships/image" Target="../media/image59.emf"/><Relationship Id="rId3" Type="http://schemas.openxmlformats.org/officeDocument/2006/relationships/image" Target="../media/image44.emf"/><Relationship Id="rId21" Type="http://schemas.openxmlformats.org/officeDocument/2006/relationships/image" Target="../media/image62.emf"/><Relationship Id="rId7" Type="http://schemas.openxmlformats.org/officeDocument/2006/relationships/image" Target="../media/image48.emf"/><Relationship Id="rId12" Type="http://schemas.openxmlformats.org/officeDocument/2006/relationships/image" Target="../media/image53.emf"/><Relationship Id="rId17" Type="http://schemas.openxmlformats.org/officeDocument/2006/relationships/image" Target="../media/image58.emf"/><Relationship Id="rId2" Type="http://schemas.openxmlformats.org/officeDocument/2006/relationships/image" Target="../media/image43.emf"/><Relationship Id="rId16" Type="http://schemas.openxmlformats.org/officeDocument/2006/relationships/image" Target="../media/image57.emf"/><Relationship Id="rId20" Type="http://schemas.openxmlformats.org/officeDocument/2006/relationships/image" Target="../media/image61.emf"/><Relationship Id="rId1" Type="http://schemas.openxmlformats.org/officeDocument/2006/relationships/image" Target="../media/image42.emf"/><Relationship Id="rId6" Type="http://schemas.openxmlformats.org/officeDocument/2006/relationships/image" Target="../media/image47.emf"/><Relationship Id="rId11" Type="http://schemas.openxmlformats.org/officeDocument/2006/relationships/image" Target="../media/image52.emf"/><Relationship Id="rId5" Type="http://schemas.openxmlformats.org/officeDocument/2006/relationships/image" Target="../media/image46.emf"/><Relationship Id="rId15" Type="http://schemas.openxmlformats.org/officeDocument/2006/relationships/image" Target="../media/image56.emf"/><Relationship Id="rId10" Type="http://schemas.openxmlformats.org/officeDocument/2006/relationships/image" Target="../media/image51.emf"/><Relationship Id="rId19" Type="http://schemas.openxmlformats.org/officeDocument/2006/relationships/image" Target="../media/image60.emf"/><Relationship Id="rId4" Type="http://schemas.openxmlformats.org/officeDocument/2006/relationships/image" Target="../media/image45.emf"/><Relationship Id="rId9" Type="http://schemas.openxmlformats.org/officeDocument/2006/relationships/image" Target="../media/image50.emf"/><Relationship Id="rId14" Type="http://schemas.openxmlformats.org/officeDocument/2006/relationships/image" Target="../media/image5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38100</xdr:rowOff>
    </xdr:from>
    <xdr:to>
      <xdr:col>0</xdr:col>
      <xdr:colOff>428625</xdr:colOff>
      <xdr:row>1</xdr:row>
      <xdr:rowOff>295275</xdr:rowOff>
    </xdr:to>
    <xdr:pic>
      <xdr:nvPicPr>
        <xdr:cNvPr id="1028" name="Arsenal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0957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2</xdr:row>
      <xdr:rowOff>38100</xdr:rowOff>
    </xdr:from>
    <xdr:to>
      <xdr:col>0</xdr:col>
      <xdr:colOff>428625</xdr:colOff>
      <xdr:row>2</xdr:row>
      <xdr:rowOff>295275</xdr:rowOff>
    </xdr:to>
    <xdr:pic>
      <xdr:nvPicPr>
        <xdr:cNvPr id="1029" name="Aston Vill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7429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3</xdr:row>
      <xdr:rowOff>38100</xdr:rowOff>
    </xdr:from>
    <xdr:to>
      <xdr:col>0</xdr:col>
      <xdr:colOff>428625</xdr:colOff>
      <xdr:row>3</xdr:row>
      <xdr:rowOff>295275</xdr:rowOff>
    </xdr:to>
    <xdr:pic>
      <xdr:nvPicPr>
        <xdr:cNvPr id="1030" name="Bournemouth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0763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4</xdr:row>
      <xdr:rowOff>38100</xdr:rowOff>
    </xdr:from>
    <xdr:to>
      <xdr:col>0</xdr:col>
      <xdr:colOff>428625</xdr:colOff>
      <xdr:row>4</xdr:row>
      <xdr:rowOff>295275</xdr:rowOff>
    </xdr:to>
    <xdr:pic>
      <xdr:nvPicPr>
        <xdr:cNvPr id="1031" name="Brentford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0970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5</xdr:row>
      <xdr:rowOff>38100</xdr:rowOff>
    </xdr:from>
    <xdr:to>
      <xdr:col>0</xdr:col>
      <xdr:colOff>428625</xdr:colOff>
      <xdr:row>5</xdr:row>
      <xdr:rowOff>295275</xdr:rowOff>
    </xdr:to>
    <xdr:pic>
      <xdr:nvPicPr>
        <xdr:cNvPr id="1032" name="Brighton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74307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6</xdr:row>
      <xdr:rowOff>38100</xdr:rowOff>
    </xdr:from>
    <xdr:to>
      <xdr:col>0</xdr:col>
      <xdr:colOff>428625</xdr:colOff>
      <xdr:row>6</xdr:row>
      <xdr:rowOff>295275</xdr:rowOff>
    </xdr:to>
    <xdr:pic>
      <xdr:nvPicPr>
        <xdr:cNvPr id="1033" name="Chelsea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764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7</xdr:row>
      <xdr:rowOff>38100</xdr:rowOff>
    </xdr:from>
    <xdr:to>
      <xdr:col>0</xdr:col>
      <xdr:colOff>428625</xdr:colOff>
      <xdr:row>7</xdr:row>
      <xdr:rowOff>295275</xdr:rowOff>
    </xdr:to>
    <xdr:pic>
      <xdr:nvPicPr>
        <xdr:cNvPr id="1034" name="Crystal Palace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4098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8</xdr:row>
      <xdr:rowOff>38100</xdr:rowOff>
    </xdr:from>
    <xdr:to>
      <xdr:col>0</xdr:col>
      <xdr:colOff>428625</xdr:colOff>
      <xdr:row>8</xdr:row>
      <xdr:rowOff>295275</xdr:rowOff>
    </xdr:to>
    <xdr:pic>
      <xdr:nvPicPr>
        <xdr:cNvPr id="1035" name="Everton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74320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9</xdr:row>
      <xdr:rowOff>38100</xdr:rowOff>
    </xdr:from>
    <xdr:to>
      <xdr:col>0</xdr:col>
      <xdr:colOff>428625</xdr:colOff>
      <xdr:row>9</xdr:row>
      <xdr:rowOff>295275</xdr:rowOff>
    </xdr:to>
    <xdr:pic>
      <xdr:nvPicPr>
        <xdr:cNvPr id="1036" name="Fulham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07657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10</xdr:row>
      <xdr:rowOff>38100</xdr:rowOff>
    </xdr:from>
    <xdr:to>
      <xdr:col>0</xdr:col>
      <xdr:colOff>428625</xdr:colOff>
      <xdr:row>10</xdr:row>
      <xdr:rowOff>295275</xdr:rowOff>
    </xdr:to>
    <xdr:pic>
      <xdr:nvPicPr>
        <xdr:cNvPr id="1037" name="Leeds Utd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4099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11</xdr:row>
      <xdr:rowOff>38100</xdr:rowOff>
    </xdr:from>
    <xdr:to>
      <xdr:col>0</xdr:col>
      <xdr:colOff>428625</xdr:colOff>
      <xdr:row>11</xdr:row>
      <xdr:rowOff>295275</xdr:rowOff>
    </xdr:to>
    <xdr:pic>
      <xdr:nvPicPr>
        <xdr:cNvPr id="1038" name="Leicester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7433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12</xdr:row>
      <xdr:rowOff>38100</xdr:rowOff>
    </xdr:from>
    <xdr:to>
      <xdr:col>0</xdr:col>
      <xdr:colOff>428625</xdr:colOff>
      <xdr:row>12</xdr:row>
      <xdr:rowOff>295275</xdr:rowOff>
    </xdr:to>
    <xdr:pic>
      <xdr:nvPicPr>
        <xdr:cNvPr id="1039" name="Liverpool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07670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13</xdr:row>
      <xdr:rowOff>38100</xdr:rowOff>
    </xdr:from>
    <xdr:to>
      <xdr:col>0</xdr:col>
      <xdr:colOff>428625</xdr:colOff>
      <xdr:row>13</xdr:row>
      <xdr:rowOff>295275</xdr:rowOff>
    </xdr:to>
    <xdr:pic>
      <xdr:nvPicPr>
        <xdr:cNvPr id="1040" name="Man City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41007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14</xdr:row>
      <xdr:rowOff>47625</xdr:rowOff>
    </xdr:from>
    <xdr:to>
      <xdr:col>0</xdr:col>
      <xdr:colOff>428625</xdr:colOff>
      <xdr:row>14</xdr:row>
      <xdr:rowOff>295275</xdr:rowOff>
    </xdr:to>
    <xdr:pic>
      <xdr:nvPicPr>
        <xdr:cNvPr id="1041" name="Man Utd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75297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15</xdr:row>
      <xdr:rowOff>38100</xdr:rowOff>
    </xdr:from>
    <xdr:to>
      <xdr:col>0</xdr:col>
      <xdr:colOff>428625</xdr:colOff>
      <xdr:row>15</xdr:row>
      <xdr:rowOff>295275</xdr:rowOff>
    </xdr:to>
    <xdr:pic>
      <xdr:nvPicPr>
        <xdr:cNvPr id="1042" name="Newcastle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0768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16</xdr:row>
      <xdr:rowOff>38100</xdr:rowOff>
    </xdr:from>
    <xdr:to>
      <xdr:col>0</xdr:col>
      <xdr:colOff>428625</xdr:colOff>
      <xdr:row>16</xdr:row>
      <xdr:rowOff>295275</xdr:rowOff>
    </xdr:to>
    <xdr:pic>
      <xdr:nvPicPr>
        <xdr:cNvPr id="1043" name="Nottingham Forest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4197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17</xdr:row>
      <xdr:rowOff>38100</xdr:rowOff>
    </xdr:from>
    <xdr:to>
      <xdr:col>0</xdr:col>
      <xdr:colOff>428625</xdr:colOff>
      <xdr:row>17</xdr:row>
      <xdr:rowOff>295275</xdr:rowOff>
    </xdr:to>
    <xdr:pic>
      <xdr:nvPicPr>
        <xdr:cNvPr id="1044" name="Southampton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75310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18</xdr:row>
      <xdr:rowOff>38100</xdr:rowOff>
    </xdr:from>
    <xdr:to>
      <xdr:col>0</xdr:col>
      <xdr:colOff>428625</xdr:colOff>
      <xdr:row>18</xdr:row>
      <xdr:rowOff>295275</xdr:rowOff>
    </xdr:to>
    <xdr:pic>
      <xdr:nvPicPr>
        <xdr:cNvPr id="1045" name="Spurs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608647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19</xdr:row>
      <xdr:rowOff>38100</xdr:rowOff>
    </xdr:from>
    <xdr:to>
      <xdr:col>0</xdr:col>
      <xdr:colOff>428625</xdr:colOff>
      <xdr:row>19</xdr:row>
      <xdr:rowOff>295275</xdr:rowOff>
    </xdr:to>
    <xdr:pic>
      <xdr:nvPicPr>
        <xdr:cNvPr id="1046" name="West Ham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64198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20</xdr:row>
      <xdr:rowOff>38100</xdr:rowOff>
    </xdr:from>
    <xdr:to>
      <xdr:col>0</xdr:col>
      <xdr:colOff>428625</xdr:colOff>
      <xdr:row>20</xdr:row>
      <xdr:rowOff>295275</xdr:rowOff>
    </xdr:to>
    <xdr:pic>
      <xdr:nvPicPr>
        <xdr:cNvPr id="1047" name="Wolves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67532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3</xdr:col>
          <xdr:colOff>9525</xdr:colOff>
          <xdr:row>2</xdr:row>
          <xdr:rowOff>9525</xdr:rowOff>
        </xdr:to>
        <xdr:pic>
          <xdr:nvPicPr>
            <xdr:cNvPr id="46084" name="Team01">
              <a:extLst>
                <a:ext uri="{FF2B5EF4-FFF2-40B4-BE49-F238E27FC236}">
                  <a16:creationId xmlns:a16="http://schemas.microsoft.com/office/drawing/2014/main" id="{096F4C95-EF74-0C63-1877-10F7943004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01" spid="_x0000_s4616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562225" y="24765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</xdr:row>
          <xdr:rowOff>0</xdr:rowOff>
        </xdr:from>
        <xdr:to>
          <xdr:col>17</xdr:col>
          <xdr:colOff>28575</xdr:colOff>
          <xdr:row>2</xdr:row>
          <xdr:rowOff>9525</xdr:rowOff>
        </xdr:to>
        <xdr:pic>
          <xdr:nvPicPr>
            <xdr:cNvPr id="46085" name="HA01">
              <a:extLst>
                <a:ext uri="{FF2B5EF4-FFF2-40B4-BE49-F238E27FC236}">
                  <a16:creationId xmlns:a16="http://schemas.microsoft.com/office/drawing/2014/main" id="{A2BBF76C-AB63-75B6-3BC8-5B27D0522C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01" spid="_x0000_s4616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934450" y="24765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3</xdr:col>
          <xdr:colOff>9525</xdr:colOff>
          <xdr:row>3</xdr:row>
          <xdr:rowOff>9525</xdr:rowOff>
        </xdr:to>
        <xdr:pic>
          <xdr:nvPicPr>
            <xdr:cNvPr id="46086" name="Team02">
              <a:extLst>
                <a:ext uri="{FF2B5EF4-FFF2-40B4-BE49-F238E27FC236}">
                  <a16:creationId xmlns:a16="http://schemas.microsoft.com/office/drawing/2014/main" id="{B8C0AA36-F401-0D8F-7FB8-41D9F996437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02" spid="_x0000_s4616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562225" y="58102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</xdr:row>
          <xdr:rowOff>0</xdr:rowOff>
        </xdr:from>
        <xdr:to>
          <xdr:col>17</xdr:col>
          <xdr:colOff>28575</xdr:colOff>
          <xdr:row>3</xdr:row>
          <xdr:rowOff>9525</xdr:rowOff>
        </xdr:to>
        <xdr:pic>
          <xdr:nvPicPr>
            <xdr:cNvPr id="46087" name="HA02">
              <a:extLst>
                <a:ext uri="{FF2B5EF4-FFF2-40B4-BE49-F238E27FC236}">
                  <a16:creationId xmlns:a16="http://schemas.microsoft.com/office/drawing/2014/main" id="{76C771C8-C401-3B22-431C-A284E4F816D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02" spid="_x0000_s4616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8934450" y="58102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9525</xdr:rowOff>
        </xdr:to>
        <xdr:pic>
          <xdr:nvPicPr>
            <xdr:cNvPr id="46088" name="Team03">
              <a:extLst>
                <a:ext uri="{FF2B5EF4-FFF2-40B4-BE49-F238E27FC236}">
                  <a16:creationId xmlns:a16="http://schemas.microsoft.com/office/drawing/2014/main" id="{4EE5590F-E68E-2EB3-476E-0C005CF6695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03" spid="_x0000_s4616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2562225" y="91440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0</xdr:rowOff>
        </xdr:from>
        <xdr:to>
          <xdr:col>17</xdr:col>
          <xdr:colOff>28575</xdr:colOff>
          <xdr:row>4</xdr:row>
          <xdr:rowOff>9525</xdr:rowOff>
        </xdr:to>
        <xdr:pic>
          <xdr:nvPicPr>
            <xdr:cNvPr id="46089" name="HA03">
              <a:extLst>
                <a:ext uri="{FF2B5EF4-FFF2-40B4-BE49-F238E27FC236}">
                  <a16:creationId xmlns:a16="http://schemas.microsoft.com/office/drawing/2014/main" id="{7A1B22EB-61AF-AC23-1552-642DBA85AF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03" spid="_x0000_s4616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8934450" y="91440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9525</xdr:colOff>
          <xdr:row>5</xdr:row>
          <xdr:rowOff>9525</xdr:rowOff>
        </xdr:to>
        <xdr:pic>
          <xdr:nvPicPr>
            <xdr:cNvPr id="46090" name="Team04">
              <a:extLst>
                <a:ext uri="{FF2B5EF4-FFF2-40B4-BE49-F238E27FC236}">
                  <a16:creationId xmlns:a16="http://schemas.microsoft.com/office/drawing/2014/main" id="{03830463-B700-F5E9-030A-920B06A695D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04" spid="_x0000_s4617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2562225" y="124777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</xdr:row>
          <xdr:rowOff>0</xdr:rowOff>
        </xdr:from>
        <xdr:to>
          <xdr:col>17</xdr:col>
          <xdr:colOff>28575</xdr:colOff>
          <xdr:row>5</xdr:row>
          <xdr:rowOff>9525</xdr:rowOff>
        </xdr:to>
        <xdr:pic>
          <xdr:nvPicPr>
            <xdr:cNvPr id="46091" name="HA04">
              <a:extLst>
                <a:ext uri="{FF2B5EF4-FFF2-40B4-BE49-F238E27FC236}">
                  <a16:creationId xmlns:a16="http://schemas.microsoft.com/office/drawing/2014/main" id="{B68789C7-C128-8069-A7D4-EFB5ACAD5AC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04" spid="_x0000_s46171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8934450" y="124777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9525</xdr:colOff>
          <xdr:row>6</xdr:row>
          <xdr:rowOff>9525</xdr:rowOff>
        </xdr:to>
        <xdr:pic>
          <xdr:nvPicPr>
            <xdr:cNvPr id="46092" name="Team05">
              <a:extLst>
                <a:ext uri="{FF2B5EF4-FFF2-40B4-BE49-F238E27FC236}">
                  <a16:creationId xmlns:a16="http://schemas.microsoft.com/office/drawing/2014/main" id="{10FA0D47-4C4E-0783-F893-BB83164DEA3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05" spid="_x0000_s46172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2562225" y="158115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5</xdr:row>
          <xdr:rowOff>0</xdr:rowOff>
        </xdr:from>
        <xdr:to>
          <xdr:col>17</xdr:col>
          <xdr:colOff>28575</xdr:colOff>
          <xdr:row>6</xdr:row>
          <xdr:rowOff>9525</xdr:rowOff>
        </xdr:to>
        <xdr:pic>
          <xdr:nvPicPr>
            <xdr:cNvPr id="46093" name="HA05">
              <a:extLst>
                <a:ext uri="{FF2B5EF4-FFF2-40B4-BE49-F238E27FC236}">
                  <a16:creationId xmlns:a16="http://schemas.microsoft.com/office/drawing/2014/main" id="{87F42B8F-EDD2-710F-7E73-E3042B6DF7F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05" spid="_x0000_s46173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8934450" y="158115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9525</xdr:colOff>
          <xdr:row>7</xdr:row>
          <xdr:rowOff>9525</xdr:rowOff>
        </xdr:to>
        <xdr:pic>
          <xdr:nvPicPr>
            <xdr:cNvPr id="46094" name="Team06">
              <a:extLst>
                <a:ext uri="{FF2B5EF4-FFF2-40B4-BE49-F238E27FC236}">
                  <a16:creationId xmlns:a16="http://schemas.microsoft.com/office/drawing/2014/main" id="{43A70A76-CDF6-E4A6-E37C-F8A3171FDED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06" spid="_x0000_s46174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2562225" y="191452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6</xdr:row>
          <xdr:rowOff>0</xdr:rowOff>
        </xdr:from>
        <xdr:to>
          <xdr:col>17</xdr:col>
          <xdr:colOff>28575</xdr:colOff>
          <xdr:row>7</xdr:row>
          <xdr:rowOff>9525</xdr:rowOff>
        </xdr:to>
        <xdr:pic>
          <xdr:nvPicPr>
            <xdr:cNvPr id="46095" name="HA06">
              <a:extLst>
                <a:ext uri="{FF2B5EF4-FFF2-40B4-BE49-F238E27FC236}">
                  <a16:creationId xmlns:a16="http://schemas.microsoft.com/office/drawing/2014/main" id="{85DD22FA-B04F-BF5A-D4B0-CA5B74233FF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06" spid="_x0000_s46175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8934450" y="191452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9525</xdr:colOff>
          <xdr:row>8</xdr:row>
          <xdr:rowOff>9525</xdr:rowOff>
        </xdr:to>
        <xdr:pic>
          <xdr:nvPicPr>
            <xdr:cNvPr id="46096" name="Team07">
              <a:extLst>
                <a:ext uri="{FF2B5EF4-FFF2-40B4-BE49-F238E27FC236}">
                  <a16:creationId xmlns:a16="http://schemas.microsoft.com/office/drawing/2014/main" id="{614C2B4B-F1D0-2419-3E71-3774F0B7BF3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07" spid="_x0000_s46176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2562225" y="224790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</xdr:row>
          <xdr:rowOff>0</xdr:rowOff>
        </xdr:from>
        <xdr:to>
          <xdr:col>17</xdr:col>
          <xdr:colOff>28575</xdr:colOff>
          <xdr:row>8</xdr:row>
          <xdr:rowOff>9525</xdr:rowOff>
        </xdr:to>
        <xdr:pic>
          <xdr:nvPicPr>
            <xdr:cNvPr id="46097" name="HA07">
              <a:extLst>
                <a:ext uri="{FF2B5EF4-FFF2-40B4-BE49-F238E27FC236}">
                  <a16:creationId xmlns:a16="http://schemas.microsoft.com/office/drawing/2014/main" id="{76D95CED-3186-33E6-FADE-57E6E07D647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07" spid="_x0000_s46177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8934450" y="224790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9525</xdr:colOff>
          <xdr:row>9</xdr:row>
          <xdr:rowOff>9525</xdr:rowOff>
        </xdr:to>
        <xdr:pic>
          <xdr:nvPicPr>
            <xdr:cNvPr id="46098" name="Team08">
              <a:extLst>
                <a:ext uri="{FF2B5EF4-FFF2-40B4-BE49-F238E27FC236}">
                  <a16:creationId xmlns:a16="http://schemas.microsoft.com/office/drawing/2014/main" id="{2411F645-0EE0-3B22-0FDD-B9ACC46684A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08" spid="_x0000_s46178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2562225" y="258127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8</xdr:row>
          <xdr:rowOff>0</xdr:rowOff>
        </xdr:from>
        <xdr:to>
          <xdr:col>17</xdr:col>
          <xdr:colOff>28575</xdr:colOff>
          <xdr:row>9</xdr:row>
          <xdr:rowOff>9525</xdr:rowOff>
        </xdr:to>
        <xdr:pic>
          <xdr:nvPicPr>
            <xdr:cNvPr id="46099" name="HA08">
              <a:extLst>
                <a:ext uri="{FF2B5EF4-FFF2-40B4-BE49-F238E27FC236}">
                  <a16:creationId xmlns:a16="http://schemas.microsoft.com/office/drawing/2014/main" id="{0F90408E-9C5A-93EB-DC3A-07D7110E353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08" spid="_x0000_s46179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8934450" y="258127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3</xdr:col>
          <xdr:colOff>9525</xdr:colOff>
          <xdr:row>10</xdr:row>
          <xdr:rowOff>9525</xdr:rowOff>
        </xdr:to>
        <xdr:pic>
          <xdr:nvPicPr>
            <xdr:cNvPr id="46100" name="Team09">
              <a:extLst>
                <a:ext uri="{FF2B5EF4-FFF2-40B4-BE49-F238E27FC236}">
                  <a16:creationId xmlns:a16="http://schemas.microsoft.com/office/drawing/2014/main" id="{56D4CA40-CB2F-2BE8-D075-8AB3AC34C0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09" spid="_x0000_s4618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562225" y="291465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9</xdr:row>
          <xdr:rowOff>0</xdr:rowOff>
        </xdr:from>
        <xdr:to>
          <xdr:col>17</xdr:col>
          <xdr:colOff>28575</xdr:colOff>
          <xdr:row>10</xdr:row>
          <xdr:rowOff>9525</xdr:rowOff>
        </xdr:to>
        <xdr:pic>
          <xdr:nvPicPr>
            <xdr:cNvPr id="46101" name="HA09">
              <a:extLst>
                <a:ext uri="{FF2B5EF4-FFF2-40B4-BE49-F238E27FC236}">
                  <a16:creationId xmlns:a16="http://schemas.microsoft.com/office/drawing/2014/main" id="{2CD9D1C9-1BC7-6062-A1C9-F8B4FE973A8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09" spid="_x0000_s46181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8934450" y="291465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9525</xdr:colOff>
          <xdr:row>11</xdr:row>
          <xdr:rowOff>9525</xdr:rowOff>
        </xdr:to>
        <xdr:pic>
          <xdr:nvPicPr>
            <xdr:cNvPr id="46102" name="Team10">
              <a:extLst>
                <a:ext uri="{FF2B5EF4-FFF2-40B4-BE49-F238E27FC236}">
                  <a16:creationId xmlns:a16="http://schemas.microsoft.com/office/drawing/2014/main" id="{DCD9A94D-8571-95E0-9383-821136E9DDA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10" spid="_x0000_s4618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2562225" y="324802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10</xdr:row>
          <xdr:rowOff>0</xdr:rowOff>
        </xdr:from>
        <xdr:to>
          <xdr:col>17</xdr:col>
          <xdr:colOff>28575</xdr:colOff>
          <xdr:row>11</xdr:row>
          <xdr:rowOff>9525</xdr:rowOff>
        </xdr:to>
        <xdr:pic>
          <xdr:nvPicPr>
            <xdr:cNvPr id="46103" name="HA10">
              <a:extLst>
                <a:ext uri="{FF2B5EF4-FFF2-40B4-BE49-F238E27FC236}">
                  <a16:creationId xmlns:a16="http://schemas.microsoft.com/office/drawing/2014/main" id="{15C067F2-3FA3-68F7-942A-D1FF99809C8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10" spid="_x0000_s4618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8934450" y="324802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9525</xdr:colOff>
          <xdr:row>12</xdr:row>
          <xdr:rowOff>9525</xdr:rowOff>
        </xdr:to>
        <xdr:pic>
          <xdr:nvPicPr>
            <xdr:cNvPr id="46104" name="Team11">
              <a:extLst>
                <a:ext uri="{FF2B5EF4-FFF2-40B4-BE49-F238E27FC236}">
                  <a16:creationId xmlns:a16="http://schemas.microsoft.com/office/drawing/2014/main" id="{D57EC24F-4D44-1B7C-F963-468EFAEFB39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11" spid="_x0000_s46184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2562225" y="358140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11</xdr:row>
          <xdr:rowOff>0</xdr:rowOff>
        </xdr:from>
        <xdr:to>
          <xdr:col>17</xdr:col>
          <xdr:colOff>28575</xdr:colOff>
          <xdr:row>12</xdr:row>
          <xdr:rowOff>9525</xdr:rowOff>
        </xdr:to>
        <xdr:pic>
          <xdr:nvPicPr>
            <xdr:cNvPr id="46105" name="HA11">
              <a:extLst>
                <a:ext uri="{FF2B5EF4-FFF2-40B4-BE49-F238E27FC236}">
                  <a16:creationId xmlns:a16="http://schemas.microsoft.com/office/drawing/2014/main" id="{6E3C952B-AF61-3813-8E9E-595173A1DA3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11" spid="_x0000_s46185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8934450" y="358140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3</xdr:col>
          <xdr:colOff>9525</xdr:colOff>
          <xdr:row>13</xdr:row>
          <xdr:rowOff>9525</xdr:rowOff>
        </xdr:to>
        <xdr:pic>
          <xdr:nvPicPr>
            <xdr:cNvPr id="46106" name="Team12">
              <a:extLst>
                <a:ext uri="{FF2B5EF4-FFF2-40B4-BE49-F238E27FC236}">
                  <a16:creationId xmlns:a16="http://schemas.microsoft.com/office/drawing/2014/main" id="{242BC7FD-6CBF-9227-B275-36DAD1A27A4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12" spid="_x0000_s46186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2562225" y="391477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12</xdr:row>
          <xdr:rowOff>0</xdr:rowOff>
        </xdr:from>
        <xdr:to>
          <xdr:col>17</xdr:col>
          <xdr:colOff>28575</xdr:colOff>
          <xdr:row>13</xdr:row>
          <xdr:rowOff>9525</xdr:rowOff>
        </xdr:to>
        <xdr:pic>
          <xdr:nvPicPr>
            <xdr:cNvPr id="46107" name="HA12">
              <a:extLst>
                <a:ext uri="{FF2B5EF4-FFF2-40B4-BE49-F238E27FC236}">
                  <a16:creationId xmlns:a16="http://schemas.microsoft.com/office/drawing/2014/main" id="{E728E3B2-A819-8052-1BCA-E1AA4FA0F33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12" spid="_x0000_s4618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8934450" y="391477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3</xdr:col>
          <xdr:colOff>9525</xdr:colOff>
          <xdr:row>14</xdr:row>
          <xdr:rowOff>9525</xdr:rowOff>
        </xdr:to>
        <xdr:pic>
          <xdr:nvPicPr>
            <xdr:cNvPr id="46108" name="Team13">
              <a:extLst>
                <a:ext uri="{FF2B5EF4-FFF2-40B4-BE49-F238E27FC236}">
                  <a16:creationId xmlns:a16="http://schemas.microsoft.com/office/drawing/2014/main" id="{B5EB000A-DD47-FE12-731E-D7816E1D1EA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13" spid="_x0000_s4618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562225" y="424815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13</xdr:row>
          <xdr:rowOff>0</xdr:rowOff>
        </xdr:from>
        <xdr:to>
          <xdr:col>17</xdr:col>
          <xdr:colOff>28575</xdr:colOff>
          <xdr:row>14</xdr:row>
          <xdr:rowOff>9525</xdr:rowOff>
        </xdr:to>
        <xdr:pic>
          <xdr:nvPicPr>
            <xdr:cNvPr id="46109" name="HA13">
              <a:extLst>
                <a:ext uri="{FF2B5EF4-FFF2-40B4-BE49-F238E27FC236}">
                  <a16:creationId xmlns:a16="http://schemas.microsoft.com/office/drawing/2014/main" id="{E4EB64AF-31C0-8AE2-371A-B1939174BA4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13" spid="_x0000_s4618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8934450" y="424815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3</xdr:col>
          <xdr:colOff>9525</xdr:colOff>
          <xdr:row>15</xdr:row>
          <xdr:rowOff>9525</xdr:rowOff>
        </xdr:to>
        <xdr:pic>
          <xdr:nvPicPr>
            <xdr:cNvPr id="46110" name="Team14">
              <a:extLst>
                <a:ext uri="{FF2B5EF4-FFF2-40B4-BE49-F238E27FC236}">
                  <a16:creationId xmlns:a16="http://schemas.microsoft.com/office/drawing/2014/main" id="{87F6DF5B-E352-9767-9502-7ADBAF8767F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14" spid="_x0000_s46190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2562225" y="458152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17</xdr:col>
          <xdr:colOff>28575</xdr:colOff>
          <xdr:row>15</xdr:row>
          <xdr:rowOff>9525</xdr:rowOff>
        </xdr:to>
        <xdr:pic>
          <xdr:nvPicPr>
            <xdr:cNvPr id="46111" name="HA14">
              <a:extLst>
                <a:ext uri="{FF2B5EF4-FFF2-40B4-BE49-F238E27FC236}">
                  <a16:creationId xmlns:a16="http://schemas.microsoft.com/office/drawing/2014/main" id="{95C46FCD-7B92-5FE6-AF9A-F857C9E6126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14" spid="_x0000_s46191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8934450" y="458152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3</xdr:col>
          <xdr:colOff>9525</xdr:colOff>
          <xdr:row>16</xdr:row>
          <xdr:rowOff>9525</xdr:rowOff>
        </xdr:to>
        <xdr:pic>
          <xdr:nvPicPr>
            <xdr:cNvPr id="46112" name="Team15">
              <a:extLst>
                <a:ext uri="{FF2B5EF4-FFF2-40B4-BE49-F238E27FC236}">
                  <a16:creationId xmlns:a16="http://schemas.microsoft.com/office/drawing/2014/main" id="{68BCFBC9-860B-3B77-C558-EE83A0F3523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15" spid="_x0000_s46192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2562225" y="491490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15</xdr:row>
          <xdr:rowOff>0</xdr:rowOff>
        </xdr:from>
        <xdr:to>
          <xdr:col>17</xdr:col>
          <xdr:colOff>28575</xdr:colOff>
          <xdr:row>16</xdr:row>
          <xdr:rowOff>9525</xdr:rowOff>
        </xdr:to>
        <xdr:pic>
          <xdr:nvPicPr>
            <xdr:cNvPr id="46113" name="HA15">
              <a:extLst>
                <a:ext uri="{FF2B5EF4-FFF2-40B4-BE49-F238E27FC236}">
                  <a16:creationId xmlns:a16="http://schemas.microsoft.com/office/drawing/2014/main" id="{B3B3F343-A3F0-CD5D-84A0-8AE95DE9827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15" spid="_x0000_s46193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8934450" y="491490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3</xdr:col>
          <xdr:colOff>9525</xdr:colOff>
          <xdr:row>17</xdr:row>
          <xdr:rowOff>9525</xdr:rowOff>
        </xdr:to>
        <xdr:pic>
          <xdr:nvPicPr>
            <xdr:cNvPr id="46114" name="Team16">
              <a:extLst>
                <a:ext uri="{FF2B5EF4-FFF2-40B4-BE49-F238E27FC236}">
                  <a16:creationId xmlns:a16="http://schemas.microsoft.com/office/drawing/2014/main" id="{15C5638C-DF4D-977A-3999-B666E814952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16" spid="_x0000_s46194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2562225" y="524827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16</xdr:row>
          <xdr:rowOff>0</xdr:rowOff>
        </xdr:from>
        <xdr:to>
          <xdr:col>17</xdr:col>
          <xdr:colOff>28575</xdr:colOff>
          <xdr:row>17</xdr:row>
          <xdr:rowOff>9525</xdr:rowOff>
        </xdr:to>
        <xdr:pic>
          <xdr:nvPicPr>
            <xdr:cNvPr id="46115" name="HA16">
              <a:extLst>
                <a:ext uri="{FF2B5EF4-FFF2-40B4-BE49-F238E27FC236}">
                  <a16:creationId xmlns:a16="http://schemas.microsoft.com/office/drawing/2014/main" id="{6C8AB79A-2393-0146-EB56-C9CAA30A3D2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16" spid="_x0000_s46195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8934450" y="524827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3</xdr:col>
          <xdr:colOff>9525</xdr:colOff>
          <xdr:row>18</xdr:row>
          <xdr:rowOff>9525</xdr:rowOff>
        </xdr:to>
        <xdr:pic>
          <xdr:nvPicPr>
            <xdr:cNvPr id="46116" name="Team17">
              <a:extLst>
                <a:ext uri="{FF2B5EF4-FFF2-40B4-BE49-F238E27FC236}">
                  <a16:creationId xmlns:a16="http://schemas.microsoft.com/office/drawing/2014/main" id="{CFE7A2C9-A06D-A07F-6C08-2B12DC52BA6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17" spid="_x0000_s46196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2562225" y="558165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17</xdr:row>
          <xdr:rowOff>0</xdr:rowOff>
        </xdr:from>
        <xdr:to>
          <xdr:col>17</xdr:col>
          <xdr:colOff>28575</xdr:colOff>
          <xdr:row>18</xdr:row>
          <xdr:rowOff>9525</xdr:rowOff>
        </xdr:to>
        <xdr:pic>
          <xdr:nvPicPr>
            <xdr:cNvPr id="46117" name="HA17">
              <a:extLst>
                <a:ext uri="{FF2B5EF4-FFF2-40B4-BE49-F238E27FC236}">
                  <a16:creationId xmlns:a16="http://schemas.microsoft.com/office/drawing/2014/main" id="{99C78787-6262-E112-EBA9-871E5C19BAB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17" spid="_x0000_s46197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8934450" y="558165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3</xdr:col>
          <xdr:colOff>9525</xdr:colOff>
          <xdr:row>19</xdr:row>
          <xdr:rowOff>9525</xdr:rowOff>
        </xdr:to>
        <xdr:pic>
          <xdr:nvPicPr>
            <xdr:cNvPr id="46118" name="Team18">
              <a:extLst>
                <a:ext uri="{FF2B5EF4-FFF2-40B4-BE49-F238E27FC236}">
                  <a16:creationId xmlns:a16="http://schemas.microsoft.com/office/drawing/2014/main" id="{27D6D8BF-F9AD-A849-2EBE-4E52988B321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18" spid="_x0000_s46198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2562225" y="591502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18</xdr:row>
          <xdr:rowOff>0</xdr:rowOff>
        </xdr:from>
        <xdr:to>
          <xdr:col>17</xdr:col>
          <xdr:colOff>28575</xdr:colOff>
          <xdr:row>19</xdr:row>
          <xdr:rowOff>9525</xdr:rowOff>
        </xdr:to>
        <xdr:pic>
          <xdr:nvPicPr>
            <xdr:cNvPr id="46119" name="HA18">
              <a:extLst>
                <a:ext uri="{FF2B5EF4-FFF2-40B4-BE49-F238E27FC236}">
                  <a16:creationId xmlns:a16="http://schemas.microsoft.com/office/drawing/2014/main" id="{D6F6C71C-05EC-3773-3443-02F1D732E8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18" spid="_x0000_s46199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8934450" y="591502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3</xdr:col>
          <xdr:colOff>9525</xdr:colOff>
          <xdr:row>20</xdr:row>
          <xdr:rowOff>9525</xdr:rowOff>
        </xdr:to>
        <xdr:pic>
          <xdr:nvPicPr>
            <xdr:cNvPr id="46120" name="Team19">
              <a:extLst>
                <a:ext uri="{FF2B5EF4-FFF2-40B4-BE49-F238E27FC236}">
                  <a16:creationId xmlns:a16="http://schemas.microsoft.com/office/drawing/2014/main" id="{4590400C-4BC4-11C0-D511-A7F08DEA4FD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19" spid="_x0000_s46200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2562225" y="624840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19</xdr:row>
          <xdr:rowOff>0</xdr:rowOff>
        </xdr:from>
        <xdr:to>
          <xdr:col>17</xdr:col>
          <xdr:colOff>28575</xdr:colOff>
          <xdr:row>20</xdr:row>
          <xdr:rowOff>9525</xdr:rowOff>
        </xdr:to>
        <xdr:pic>
          <xdr:nvPicPr>
            <xdr:cNvPr id="46121" name="HA19">
              <a:extLst>
                <a:ext uri="{FF2B5EF4-FFF2-40B4-BE49-F238E27FC236}">
                  <a16:creationId xmlns:a16="http://schemas.microsoft.com/office/drawing/2014/main" id="{29792A0C-8493-E304-E5D2-55BCA2BACBD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19" spid="_x0000_s46201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8934450" y="6248400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3</xdr:col>
          <xdr:colOff>9525</xdr:colOff>
          <xdr:row>21</xdr:row>
          <xdr:rowOff>0</xdr:rowOff>
        </xdr:to>
        <xdr:pic>
          <xdr:nvPicPr>
            <xdr:cNvPr id="46122" name="Team20">
              <a:extLst>
                <a:ext uri="{FF2B5EF4-FFF2-40B4-BE49-F238E27FC236}">
                  <a16:creationId xmlns:a16="http://schemas.microsoft.com/office/drawing/2014/main" id="{EE1A2EFE-5BE0-DF6F-FB4E-3AFFE36FCB4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_20" spid="_x0000_s46202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2562225" y="658177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20</xdr:row>
          <xdr:rowOff>0</xdr:rowOff>
        </xdr:from>
        <xdr:to>
          <xdr:col>17</xdr:col>
          <xdr:colOff>28575</xdr:colOff>
          <xdr:row>21</xdr:row>
          <xdr:rowOff>0</xdr:rowOff>
        </xdr:to>
        <xdr:pic>
          <xdr:nvPicPr>
            <xdr:cNvPr id="46123" name="HA20">
              <a:extLst>
                <a:ext uri="{FF2B5EF4-FFF2-40B4-BE49-F238E27FC236}">
                  <a16:creationId xmlns:a16="http://schemas.microsoft.com/office/drawing/2014/main" id="{5A53DEE5-6CE0-D21E-6D29-2B3BDFAEC79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A_20" spid="_x0000_s46203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8934450" y="6581775"/>
              <a:ext cx="447675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38100</xdr:rowOff>
    </xdr:from>
    <xdr:to>
      <xdr:col>2</xdr:col>
      <xdr:colOff>342900</xdr:colOff>
      <xdr:row>1</xdr:row>
      <xdr:rowOff>295275</xdr:rowOff>
    </xdr:to>
    <xdr:pic>
      <xdr:nvPicPr>
        <xdr:cNvPr id="47105" name="Picture 24">
          <a:extLst>
            <a:ext uri="{FF2B5EF4-FFF2-40B4-BE49-F238E27FC236}">
              <a16:creationId xmlns:a16="http://schemas.microsoft.com/office/drawing/2014/main" id="{00000000-0008-0000-0200-000001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762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13</xdr:row>
      <xdr:rowOff>38100</xdr:rowOff>
    </xdr:from>
    <xdr:to>
      <xdr:col>2</xdr:col>
      <xdr:colOff>342900</xdr:colOff>
      <xdr:row>13</xdr:row>
      <xdr:rowOff>295275</xdr:rowOff>
    </xdr:to>
    <xdr:pic>
      <xdr:nvPicPr>
        <xdr:cNvPr id="47106" name="Picture 26">
          <a:extLst>
            <a:ext uri="{FF2B5EF4-FFF2-40B4-BE49-F238E27FC236}">
              <a16:creationId xmlns:a16="http://schemas.microsoft.com/office/drawing/2014/main" id="{00000000-0008-0000-0200-000002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42767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18</xdr:row>
      <xdr:rowOff>38100</xdr:rowOff>
    </xdr:from>
    <xdr:to>
      <xdr:col>2</xdr:col>
      <xdr:colOff>342900</xdr:colOff>
      <xdr:row>18</xdr:row>
      <xdr:rowOff>295275</xdr:rowOff>
    </xdr:to>
    <xdr:pic>
      <xdr:nvPicPr>
        <xdr:cNvPr id="47107" name="Picture 28">
          <a:extLst>
            <a:ext uri="{FF2B5EF4-FFF2-40B4-BE49-F238E27FC236}">
              <a16:creationId xmlns:a16="http://schemas.microsoft.com/office/drawing/2014/main" id="{00000000-0008-0000-0200-000003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594360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6</xdr:row>
      <xdr:rowOff>38100</xdr:rowOff>
    </xdr:from>
    <xdr:to>
      <xdr:col>2</xdr:col>
      <xdr:colOff>342900</xdr:colOff>
      <xdr:row>6</xdr:row>
      <xdr:rowOff>295275</xdr:rowOff>
    </xdr:to>
    <xdr:pic>
      <xdr:nvPicPr>
        <xdr:cNvPr id="47108" name="Picture 30">
          <a:extLst>
            <a:ext uri="{FF2B5EF4-FFF2-40B4-BE49-F238E27FC236}">
              <a16:creationId xmlns:a16="http://schemas.microsoft.com/office/drawing/2014/main" id="{00000000-0008-0000-0200-000004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94310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14</xdr:row>
      <xdr:rowOff>38100</xdr:rowOff>
    </xdr:from>
    <xdr:to>
      <xdr:col>2</xdr:col>
      <xdr:colOff>342900</xdr:colOff>
      <xdr:row>14</xdr:row>
      <xdr:rowOff>295275</xdr:rowOff>
    </xdr:to>
    <xdr:pic>
      <xdr:nvPicPr>
        <xdr:cNvPr id="47109" name="Picture 32">
          <a:extLst>
            <a:ext uri="{FF2B5EF4-FFF2-40B4-BE49-F238E27FC236}">
              <a16:creationId xmlns:a16="http://schemas.microsoft.com/office/drawing/2014/main" id="{00000000-0008-0000-0200-000005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461010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15</xdr:row>
      <xdr:rowOff>38100</xdr:rowOff>
    </xdr:from>
    <xdr:to>
      <xdr:col>2</xdr:col>
      <xdr:colOff>342900</xdr:colOff>
      <xdr:row>15</xdr:row>
      <xdr:rowOff>295275</xdr:rowOff>
    </xdr:to>
    <xdr:pic>
      <xdr:nvPicPr>
        <xdr:cNvPr id="47110" name="Picture 34">
          <a:extLst>
            <a:ext uri="{FF2B5EF4-FFF2-40B4-BE49-F238E27FC236}">
              <a16:creationId xmlns:a16="http://schemas.microsoft.com/office/drawing/2014/main" id="{00000000-0008-0000-0200-000006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494347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5</xdr:row>
      <xdr:rowOff>38100</xdr:rowOff>
    </xdr:from>
    <xdr:to>
      <xdr:col>2</xdr:col>
      <xdr:colOff>342900</xdr:colOff>
      <xdr:row>5</xdr:row>
      <xdr:rowOff>295275</xdr:rowOff>
    </xdr:to>
    <xdr:pic>
      <xdr:nvPicPr>
        <xdr:cNvPr id="47111" name="Picture 36">
          <a:extLst>
            <a:ext uri="{FF2B5EF4-FFF2-40B4-BE49-F238E27FC236}">
              <a16:creationId xmlns:a16="http://schemas.microsoft.com/office/drawing/2014/main" id="{00000000-0008-0000-0200-000007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6097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3</xdr:row>
      <xdr:rowOff>38100</xdr:rowOff>
    </xdr:from>
    <xdr:to>
      <xdr:col>2</xdr:col>
      <xdr:colOff>342900</xdr:colOff>
      <xdr:row>3</xdr:row>
      <xdr:rowOff>295275</xdr:rowOff>
    </xdr:to>
    <xdr:pic>
      <xdr:nvPicPr>
        <xdr:cNvPr id="47112" name="Picture 38">
          <a:extLst>
            <a:ext uri="{FF2B5EF4-FFF2-40B4-BE49-F238E27FC236}">
              <a16:creationId xmlns:a16="http://schemas.microsoft.com/office/drawing/2014/main" id="{00000000-0008-0000-0200-000008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94297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9</xdr:row>
      <xdr:rowOff>38100</xdr:rowOff>
    </xdr:from>
    <xdr:to>
      <xdr:col>2</xdr:col>
      <xdr:colOff>342900</xdr:colOff>
      <xdr:row>9</xdr:row>
      <xdr:rowOff>295275</xdr:rowOff>
    </xdr:to>
    <xdr:pic>
      <xdr:nvPicPr>
        <xdr:cNvPr id="47113" name="Picture 40">
          <a:extLst>
            <a:ext uri="{FF2B5EF4-FFF2-40B4-BE49-F238E27FC236}">
              <a16:creationId xmlns:a16="http://schemas.microsoft.com/office/drawing/2014/main" id="{00000000-0008-0000-0200-000009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9432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12</xdr:row>
      <xdr:rowOff>38100</xdr:rowOff>
    </xdr:from>
    <xdr:to>
      <xdr:col>2</xdr:col>
      <xdr:colOff>342900</xdr:colOff>
      <xdr:row>12</xdr:row>
      <xdr:rowOff>295275</xdr:rowOff>
    </xdr:to>
    <xdr:pic>
      <xdr:nvPicPr>
        <xdr:cNvPr id="47114" name="Picture 42">
          <a:extLst>
            <a:ext uri="{FF2B5EF4-FFF2-40B4-BE49-F238E27FC236}">
              <a16:creationId xmlns:a16="http://schemas.microsoft.com/office/drawing/2014/main" id="{00000000-0008-0000-0200-00000A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39433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4</xdr:row>
      <xdr:rowOff>38100</xdr:rowOff>
    </xdr:from>
    <xdr:to>
      <xdr:col>2</xdr:col>
      <xdr:colOff>342900</xdr:colOff>
      <xdr:row>4</xdr:row>
      <xdr:rowOff>295275</xdr:rowOff>
    </xdr:to>
    <xdr:pic>
      <xdr:nvPicPr>
        <xdr:cNvPr id="47115" name="Picture 44">
          <a:extLst>
            <a:ext uri="{FF2B5EF4-FFF2-40B4-BE49-F238E27FC236}">
              <a16:creationId xmlns:a16="http://schemas.microsoft.com/office/drawing/2014/main" id="{00000000-0008-0000-0200-00000B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2763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8</xdr:row>
      <xdr:rowOff>38100</xdr:rowOff>
    </xdr:from>
    <xdr:to>
      <xdr:col>2</xdr:col>
      <xdr:colOff>342900</xdr:colOff>
      <xdr:row>8</xdr:row>
      <xdr:rowOff>295275</xdr:rowOff>
    </xdr:to>
    <xdr:pic>
      <xdr:nvPicPr>
        <xdr:cNvPr id="47116" name="Picture 46">
          <a:extLst>
            <a:ext uri="{FF2B5EF4-FFF2-40B4-BE49-F238E27FC236}">
              <a16:creationId xmlns:a16="http://schemas.microsoft.com/office/drawing/2014/main" id="{00000000-0008-0000-0200-00000C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6098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19</xdr:row>
      <xdr:rowOff>38100</xdr:rowOff>
    </xdr:from>
    <xdr:to>
      <xdr:col>2</xdr:col>
      <xdr:colOff>342900</xdr:colOff>
      <xdr:row>19</xdr:row>
      <xdr:rowOff>295275</xdr:rowOff>
    </xdr:to>
    <xdr:pic>
      <xdr:nvPicPr>
        <xdr:cNvPr id="47117" name="Picture 48">
          <a:extLst>
            <a:ext uri="{FF2B5EF4-FFF2-40B4-BE49-F238E27FC236}">
              <a16:creationId xmlns:a16="http://schemas.microsoft.com/office/drawing/2014/main" id="{00000000-0008-0000-0200-00000D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27697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10</xdr:row>
      <xdr:rowOff>38100</xdr:rowOff>
    </xdr:from>
    <xdr:to>
      <xdr:col>2</xdr:col>
      <xdr:colOff>342900</xdr:colOff>
      <xdr:row>10</xdr:row>
      <xdr:rowOff>295275</xdr:rowOff>
    </xdr:to>
    <xdr:pic>
      <xdr:nvPicPr>
        <xdr:cNvPr id="47118" name="Picture 50">
          <a:extLst>
            <a:ext uri="{FF2B5EF4-FFF2-40B4-BE49-F238E27FC236}">
              <a16:creationId xmlns:a16="http://schemas.microsoft.com/office/drawing/2014/main" id="{00000000-0008-0000-0200-00000E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327660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7</xdr:row>
      <xdr:rowOff>38100</xdr:rowOff>
    </xdr:from>
    <xdr:to>
      <xdr:col>2</xdr:col>
      <xdr:colOff>342900</xdr:colOff>
      <xdr:row>7</xdr:row>
      <xdr:rowOff>295275</xdr:rowOff>
    </xdr:to>
    <xdr:pic>
      <xdr:nvPicPr>
        <xdr:cNvPr id="47119" name="Picture 52">
          <a:extLst>
            <a:ext uri="{FF2B5EF4-FFF2-40B4-BE49-F238E27FC236}">
              <a16:creationId xmlns:a16="http://schemas.microsoft.com/office/drawing/2014/main" id="{00000000-0008-0000-0200-00000F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27647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2</xdr:row>
      <xdr:rowOff>38100</xdr:rowOff>
    </xdr:from>
    <xdr:to>
      <xdr:col>2</xdr:col>
      <xdr:colOff>342900</xdr:colOff>
      <xdr:row>2</xdr:row>
      <xdr:rowOff>295275</xdr:rowOff>
    </xdr:to>
    <xdr:pic>
      <xdr:nvPicPr>
        <xdr:cNvPr id="47120" name="Picture 54">
          <a:extLst>
            <a:ext uri="{FF2B5EF4-FFF2-40B4-BE49-F238E27FC236}">
              <a16:creationId xmlns:a16="http://schemas.microsoft.com/office/drawing/2014/main" id="{00000000-0008-0000-0200-000010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0960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17</xdr:row>
      <xdr:rowOff>38100</xdr:rowOff>
    </xdr:from>
    <xdr:to>
      <xdr:col>2</xdr:col>
      <xdr:colOff>342900</xdr:colOff>
      <xdr:row>17</xdr:row>
      <xdr:rowOff>295275</xdr:rowOff>
    </xdr:to>
    <xdr:pic>
      <xdr:nvPicPr>
        <xdr:cNvPr id="47121" name="Picture 56">
          <a:extLst>
            <a:ext uri="{FF2B5EF4-FFF2-40B4-BE49-F238E27FC236}">
              <a16:creationId xmlns:a16="http://schemas.microsoft.com/office/drawing/2014/main" id="{00000000-0008-0000-0200-000011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56102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20</xdr:row>
      <xdr:rowOff>38100</xdr:rowOff>
    </xdr:from>
    <xdr:to>
      <xdr:col>2</xdr:col>
      <xdr:colOff>342900</xdr:colOff>
      <xdr:row>20</xdr:row>
      <xdr:rowOff>295275</xdr:rowOff>
    </xdr:to>
    <xdr:pic>
      <xdr:nvPicPr>
        <xdr:cNvPr id="47122" name="Picture 58">
          <a:extLst>
            <a:ext uri="{FF2B5EF4-FFF2-40B4-BE49-F238E27FC236}">
              <a16:creationId xmlns:a16="http://schemas.microsoft.com/office/drawing/2014/main" id="{00000000-0008-0000-0200-000012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6103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16</xdr:row>
      <xdr:rowOff>38100</xdr:rowOff>
    </xdr:from>
    <xdr:to>
      <xdr:col>2</xdr:col>
      <xdr:colOff>342900</xdr:colOff>
      <xdr:row>16</xdr:row>
      <xdr:rowOff>295275</xdr:rowOff>
    </xdr:to>
    <xdr:pic>
      <xdr:nvPicPr>
        <xdr:cNvPr id="47123" name="Picture 60">
          <a:extLst>
            <a:ext uri="{FF2B5EF4-FFF2-40B4-BE49-F238E27FC236}">
              <a16:creationId xmlns:a16="http://schemas.microsoft.com/office/drawing/2014/main" id="{00000000-0008-0000-0200-000013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52768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11</xdr:row>
      <xdr:rowOff>47625</xdr:rowOff>
    </xdr:from>
    <xdr:to>
      <xdr:col>2</xdr:col>
      <xdr:colOff>342900</xdr:colOff>
      <xdr:row>11</xdr:row>
      <xdr:rowOff>295275</xdr:rowOff>
    </xdr:to>
    <xdr:pic>
      <xdr:nvPicPr>
        <xdr:cNvPr id="47124" name="Picture 62">
          <a:extLst>
            <a:ext uri="{FF2B5EF4-FFF2-40B4-BE49-F238E27FC236}">
              <a16:creationId xmlns:a16="http://schemas.microsoft.com/office/drawing/2014/main" id="{00000000-0008-0000-0200-000014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3619500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38100</xdr:rowOff>
    </xdr:from>
    <xdr:to>
      <xdr:col>0</xdr:col>
      <xdr:colOff>428625</xdr:colOff>
      <xdr:row>1</xdr:row>
      <xdr:rowOff>295275</xdr:rowOff>
    </xdr:to>
    <xdr:pic>
      <xdr:nvPicPr>
        <xdr:cNvPr id="48129" name="Arsenal">
          <a:extLst>
            <a:ext uri="{FF2B5EF4-FFF2-40B4-BE49-F238E27FC236}">
              <a16:creationId xmlns:a16="http://schemas.microsoft.com/office/drawing/2014/main" id="{00000000-0008-0000-0300-000001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8100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2</xdr:row>
      <xdr:rowOff>38100</xdr:rowOff>
    </xdr:from>
    <xdr:to>
      <xdr:col>0</xdr:col>
      <xdr:colOff>428625</xdr:colOff>
      <xdr:row>2</xdr:row>
      <xdr:rowOff>295275</xdr:rowOff>
    </xdr:to>
    <xdr:pic>
      <xdr:nvPicPr>
        <xdr:cNvPr id="48130" name="Aston Villa">
          <a:extLst>
            <a:ext uri="{FF2B5EF4-FFF2-40B4-BE49-F238E27FC236}">
              <a16:creationId xmlns:a16="http://schemas.microsoft.com/office/drawing/2014/main" id="{00000000-0008-0000-0300-000002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71437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3</xdr:row>
      <xdr:rowOff>38100</xdr:rowOff>
    </xdr:from>
    <xdr:to>
      <xdr:col>0</xdr:col>
      <xdr:colOff>428625</xdr:colOff>
      <xdr:row>3</xdr:row>
      <xdr:rowOff>295275</xdr:rowOff>
    </xdr:to>
    <xdr:pic>
      <xdr:nvPicPr>
        <xdr:cNvPr id="48131" name="Bournemouth">
          <a:extLst>
            <a:ext uri="{FF2B5EF4-FFF2-40B4-BE49-F238E27FC236}">
              <a16:creationId xmlns:a16="http://schemas.microsoft.com/office/drawing/2014/main" id="{00000000-0008-0000-0300-000003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0477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4</xdr:row>
      <xdr:rowOff>38100</xdr:rowOff>
    </xdr:from>
    <xdr:to>
      <xdr:col>0</xdr:col>
      <xdr:colOff>428625</xdr:colOff>
      <xdr:row>4</xdr:row>
      <xdr:rowOff>295275</xdr:rowOff>
    </xdr:to>
    <xdr:pic>
      <xdr:nvPicPr>
        <xdr:cNvPr id="48132" name="Brentford">
          <a:extLst>
            <a:ext uri="{FF2B5EF4-FFF2-40B4-BE49-F238E27FC236}">
              <a16:creationId xmlns:a16="http://schemas.microsoft.com/office/drawing/2014/main" id="{00000000-0008-0000-0300-000004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811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5</xdr:row>
      <xdr:rowOff>38100</xdr:rowOff>
    </xdr:from>
    <xdr:to>
      <xdr:col>0</xdr:col>
      <xdr:colOff>428625</xdr:colOff>
      <xdr:row>5</xdr:row>
      <xdr:rowOff>295275</xdr:rowOff>
    </xdr:to>
    <xdr:pic>
      <xdr:nvPicPr>
        <xdr:cNvPr id="48133" name="Brighton">
          <a:extLst>
            <a:ext uri="{FF2B5EF4-FFF2-40B4-BE49-F238E27FC236}">
              <a16:creationId xmlns:a16="http://schemas.microsoft.com/office/drawing/2014/main" id="{00000000-0008-0000-0300-000005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71450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6</xdr:row>
      <xdr:rowOff>38100</xdr:rowOff>
    </xdr:from>
    <xdr:to>
      <xdr:col>0</xdr:col>
      <xdr:colOff>428625</xdr:colOff>
      <xdr:row>6</xdr:row>
      <xdr:rowOff>295275</xdr:rowOff>
    </xdr:to>
    <xdr:pic>
      <xdr:nvPicPr>
        <xdr:cNvPr id="48134" name="Chelsea">
          <a:extLst>
            <a:ext uri="{FF2B5EF4-FFF2-40B4-BE49-F238E27FC236}">
              <a16:creationId xmlns:a16="http://schemas.microsoft.com/office/drawing/2014/main" id="{00000000-0008-0000-0300-000006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4787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7</xdr:row>
      <xdr:rowOff>38100</xdr:rowOff>
    </xdr:from>
    <xdr:to>
      <xdr:col>0</xdr:col>
      <xdr:colOff>428625</xdr:colOff>
      <xdr:row>7</xdr:row>
      <xdr:rowOff>295275</xdr:rowOff>
    </xdr:to>
    <xdr:pic>
      <xdr:nvPicPr>
        <xdr:cNvPr id="48135" name="Crystal Palace">
          <a:extLst>
            <a:ext uri="{FF2B5EF4-FFF2-40B4-BE49-F238E27FC236}">
              <a16:creationId xmlns:a16="http://schemas.microsoft.com/office/drawing/2014/main" id="{00000000-0008-0000-0300-000007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3812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8</xdr:row>
      <xdr:rowOff>38100</xdr:rowOff>
    </xdr:from>
    <xdr:to>
      <xdr:col>0</xdr:col>
      <xdr:colOff>428625</xdr:colOff>
      <xdr:row>8</xdr:row>
      <xdr:rowOff>295275</xdr:rowOff>
    </xdr:to>
    <xdr:pic>
      <xdr:nvPicPr>
        <xdr:cNvPr id="48136" name="Everton">
          <a:extLst>
            <a:ext uri="{FF2B5EF4-FFF2-40B4-BE49-F238E27FC236}">
              <a16:creationId xmlns:a16="http://schemas.microsoft.com/office/drawing/2014/main" id="{00000000-0008-0000-0300-000008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7146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9</xdr:row>
      <xdr:rowOff>38100</xdr:rowOff>
    </xdr:from>
    <xdr:to>
      <xdr:col>0</xdr:col>
      <xdr:colOff>428625</xdr:colOff>
      <xdr:row>9</xdr:row>
      <xdr:rowOff>295275</xdr:rowOff>
    </xdr:to>
    <xdr:pic>
      <xdr:nvPicPr>
        <xdr:cNvPr id="48137" name="Fulham">
          <a:extLst>
            <a:ext uri="{FF2B5EF4-FFF2-40B4-BE49-F238E27FC236}">
              <a16:creationId xmlns:a16="http://schemas.microsoft.com/office/drawing/2014/main" id="{00000000-0008-0000-0300-000009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04800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10</xdr:row>
      <xdr:rowOff>38100</xdr:rowOff>
    </xdr:from>
    <xdr:to>
      <xdr:col>0</xdr:col>
      <xdr:colOff>428625</xdr:colOff>
      <xdr:row>10</xdr:row>
      <xdr:rowOff>295275</xdr:rowOff>
    </xdr:to>
    <xdr:pic>
      <xdr:nvPicPr>
        <xdr:cNvPr id="48138" name="Leeds Utd">
          <a:extLst>
            <a:ext uri="{FF2B5EF4-FFF2-40B4-BE49-F238E27FC236}">
              <a16:creationId xmlns:a16="http://schemas.microsoft.com/office/drawing/2014/main" id="{00000000-0008-0000-0300-00000A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38137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11</xdr:row>
      <xdr:rowOff>38100</xdr:rowOff>
    </xdr:from>
    <xdr:to>
      <xdr:col>0</xdr:col>
      <xdr:colOff>428625</xdr:colOff>
      <xdr:row>11</xdr:row>
      <xdr:rowOff>295275</xdr:rowOff>
    </xdr:to>
    <xdr:pic>
      <xdr:nvPicPr>
        <xdr:cNvPr id="48139" name="Leicester">
          <a:extLst>
            <a:ext uri="{FF2B5EF4-FFF2-40B4-BE49-F238E27FC236}">
              <a16:creationId xmlns:a16="http://schemas.microsoft.com/office/drawing/2014/main" id="{00000000-0008-0000-0300-00000B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7147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12</xdr:row>
      <xdr:rowOff>38100</xdr:rowOff>
    </xdr:from>
    <xdr:to>
      <xdr:col>0</xdr:col>
      <xdr:colOff>428625</xdr:colOff>
      <xdr:row>12</xdr:row>
      <xdr:rowOff>295275</xdr:rowOff>
    </xdr:to>
    <xdr:pic>
      <xdr:nvPicPr>
        <xdr:cNvPr id="48140" name="Liverpool">
          <a:extLst>
            <a:ext uri="{FF2B5EF4-FFF2-40B4-BE49-F238E27FC236}">
              <a16:creationId xmlns:a16="http://schemas.microsoft.com/office/drawing/2014/main" id="{00000000-0008-0000-0300-00000C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0481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13</xdr:row>
      <xdr:rowOff>38100</xdr:rowOff>
    </xdr:from>
    <xdr:to>
      <xdr:col>0</xdr:col>
      <xdr:colOff>428625</xdr:colOff>
      <xdr:row>13</xdr:row>
      <xdr:rowOff>295275</xdr:rowOff>
    </xdr:to>
    <xdr:pic>
      <xdr:nvPicPr>
        <xdr:cNvPr id="48141" name="Man City">
          <a:extLst>
            <a:ext uri="{FF2B5EF4-FFF2-40B4-BE49-F238E27FC236}">
              <a16:creationId xmlns:a16="http://schemas.microsoft.com/office/drawing/2014/main" id="{00000000-0008-0000-0300-00000D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38150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14</xdr:row>
      <xdr:rowOff>38100</xdr:rowOff>
    </xdr:from>
    <xdr:to>
      <xdr:col>0</xdr:col>
      <xdr:colOff>428625</xdr:colOff>
      <xdr:row>14</xdr:row>
      <xdr:rowOff>295275</xdr:rowOff>
    </xdr:to>
    <xdr:pic>
      <xdr:nvPicPr>
        <xdr:cNvPr id="48142" name="Man Utd">
          <a:extLst>
            <a:ext uri="{FF2B5EF4-FFF2-40B4-BE49-F238E27FC236}">
              <a16:creationId xmlns:a16="http://schemas.microsoft.com/office/drawing/2014/main" id="{00000000-0008-0000-0300-00000E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71487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15</xdr:row>
      <xdr:rowOff>38100</xdr:rowOff>
    </xdr:from>
    <xdr:to>
      <xdr:col>0</xdr:col>
      <xdr:colOff>428625</xdr:colOff>
      <xdr:row>15</xdr:row>
      <xdr:rowOff>295275</xdr:rowOff>
    </xdr:to>
    <xdr:pic>
      <xdr:nvPicPr>
        <xdr:cNvPr id="48143" name="Newcastle">
          <a:extLst>
            <a:ext uri="{FF2B5EF4-FFF2-40B4-BE49-F238E27FC236}">
              <a16:creationId xmlns:a16="http://schemas.microsoft.com/office/drawing/2014/main" id="{00000000-0008-0000-0300-00000F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0482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16</xdr:row>
      <xdr:rowOff>38100</xdr:rowOff>
    </xdr:from>
    <xdr:to>
      <xdr:col>0</xdr:col>
      <xdr:colOff>428625</xdr:colOff>
      <xdr:row>16</xdr:row>
      <xdr:rowOff>295275</xdr:rowOff>
    </xdr:to>
    <xdr:pic>
      <xdr:nvPicPr>
        <xdr:cNvPr id="48144" name="Nottingham Forest">
          <a:extLst>
            <a:ext uri="{FF2B5EF4-FFF2-40B4-BE49-F238E27FC236}">
              <a16:creationId xmlns:a16="http://schemas.microsoft.com/office/drawing/2014/main" id="{00000000-0008-0000-0300-000010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3816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17</xdr:row>
      <xdr:rowOff>38100</xdr:rowOff>
    </xdr:from>
    <xdr:to>
      <xdr:col>0</xdr:col>
      <xdr:colOff>428625</xdr:colOff>
      <xdr:row>17</xdr:row>
      <xdr:rowOff>295275</xdr:rowOff>
    </xdr:to>
    <xdr:pic>
      <xdr:nvPicPr>
        <xdr:cNvPr id="48145" name="Southampton">
          <a:extLst>
            <a:ext uri="{FF2B5EF4-FFF2-40B4-BE49-F238E27FC236}">
              <a16:creationId xmlns:a16="http://schemas.microsoft.com/office/drawing/2014/main" id="{00000000-0008-0000-0300-000011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71500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18</xdr:row>
      <xdr:rowOff>38100</xdr:rowOff>
    </xdr:from>
    <xdr:to>
      <xdr:col>0</xdr:col>
      <xdr:colOff>428625</xdr:colOff>
      <xdr:row>18</xdr:row>
      <xdr:rowOff>295275</xdr:rowOff>
    </xdr:to>
    <xdr:pic>
      <xdr:nvPicPr>
        <xdr:cNvPr id="48146" name="Spurs">
          <a:extLst>
            <a:ext uri="{FF2B5EF4-FFF2-40B4-BE49-F238E27FC236}">
              <a16:creationId xmlns:a16="http://schemas.microsoft.com/office/drawing/2014/main" id="{00000000-0008-0000-0300-000012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604837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19</xdr:row>
      <xdr:rowOff>38100</xdr:rowOff>
    </xdr:from>
    <xdr:to>
      <xdr:col>0</xdr:col>
      <xdr:colOff>428625</xdr:colOff>
      <xdr:row>19</xdr:row>
      <xdr:rowOff>295275</xdr:rowOff>
    </xdr:to>
    <xdr:pic>
      <xdr:nvPicPr>
        <xdr:cNvPr id="48147" name="West Ham">
          <a:extLst>
            <a:ext uri="{FF2B5EF4-FFF2-40B4-BE49-F238E27FC236}">
              <a16:creationId xmlns:a16="http://schemas.microsoft.com/office/drawing/2014/main" id="{00000000-0008-0000-0300-000013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63817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20</xdr:row>
      <xdr:rowOff>47625</xdr:rowOff>
    </xdr:from>
    <xdr:to>
      <xdr:col>0</xdr:col>
      <xdr:colOff>428625</xdr:colOff>
      <xdr:row>20</xdr:row>
      <xdr:rowOff>295275</xdr:rowOff>
    </xdr:to>
    <xdr:pic>
      <xdr:nvPicPr>
        <xdr:cNvPr id="48148" name="Wolves">
          <a:extLst>
            <a:ext uri="{FF2B5EF4-FFF2-40B4-BE49-F238E27FC236}">
              <a16:creationId xmlns:a16="http://schemas.microsoft.com/office/drawing/2014/main" id="{00000000-0008-0000-0300-000014B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6724650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500063</xdr:colOff>
      <xdr:row>0</xdr:row>
      <xdr:rowOff>66675</xdr:rowOff>
    </xdr:from>
    <xdr:to>
      <xdr:col>72</xdr:col>
      <xdr:colOff>957263</xdr:colOff>
      <xdr:row>0</xdr:row>
      <xdr:rowOff>523875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208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</xdr:row>
      <xdr:rowOff>39688</xdr:rowOff>
    </xdr:from>
    <xdr:to>
      <xdr:col>75</xdr:col>
      <xdr:colOff>460375</xdr:colOff>
      <xdr:row>2</xdr:row>
      <xdr:rowOff>293688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0</xdr:col>
      <xdr:colOff>500063</xdr:colOff>
      <xdr:row>0</xdr:row>
      <xdr:rowOff>66675</xdr:rowOff>
    </xdr:from>
    <xdr:to>
      <xdr:col>0</xdr:col>
      <xdr:colOff>957263</xdr:colOff>
      <xdr:row>0</xdr:row>
      <xdr:rowOff>523875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3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</xdr:row>
      <xdr:rowOff>39688</xdr:rowOff>
    </xdr:from>
    <xdr:to>
      <xdr:col>3</xdr:col>
      <xdr:colOff>460375</xdr:colOff>
      <xdr:row>2</xdr:row>
      <xdr:rowOff>293688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96</xdr:col>
      <xdr:colOff>500063</xdr:colOff>
      <xdr:row>0</xdr:row>
      <xdr:rowOff>66675</xdr:rowOff>
    </xdr:from>
    <xdr:to>
      <xdr:col>96</xdr:col>
      <xdr:colOff>957263</xdr:colOff>
      <xdr:row>0</xdr:row>
      <xdr:rowOff>523875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3698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2</xdr:row>
      <xdr:rowOff>39688</xdr:rowOff>
    </xdr:from>
    <xdr:to>
      <xdr:col>99</xdr:col>
      <xdr:colOff>460375</xdr:colOff>
      <xdr:row>2</xdr:row>
      <xdr:rowOff>293688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132</xdr:col>
      <xdr:colOff>347663</xdr:colOff>
      <xdr:row>0</xdr:row>
      <xdr:rowOff>66675</xdr:rowOff>
    </xdr:from>
    <xdr:to>
      <xdr:col>132</xdr:col>
      <xdr:colOff>804863</xdr:colOff>
      <xdr:row>0</xdr:row>
      <xdr:rowOff>523875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5433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</xdr:row>
      <xdr:rowOff>39688</xdr:rowOff>
    </xdr:from>
    <xdr:to>
      <xdr:col>135</xdr:col>
      <xdr:colOff>460375</xdr:colOff>
      <xdr:row>2</xdr:row>
      <xdr:rowOff>293688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24</xdr:col>
      <xdr:colOff>500063</xdr:colOff>
      <xdr:row>0</xdr:row>
      <xdr:rowOff>66675</xdr:rowOff>
    </xdr:from>
    <xdr:to>
      <xdr:col>24</xdr:col>
      <xdr:colOff>957263</xdr:colOff>
      <xdr:row>0</xdr:row>
      <xdr:rowOff>523875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0228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</xdr:row>
      <xdr:rowOff>39688</xdr:rowOff>
    </xdr:from>
    <xdr:to>
      <xdr:col>27</xdr:col>
      <xdr:colOff>460375</xdr:colOff>
      <xdr:row>2</xdr:row>
      <xdr:rowOff>293688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12</xdr:col>
      <xdr:colOff>347663</xdr:colOff>
      <xdr:row>0</xdr:row>
      <xdr:rowOff>66675</xdr:rowOff>
    </xdr:from>
    <xdr:to>
      <xdr:col>12</xdr:col>
      <xdr:colOff>804863</xdr:colOff>
      <xdr:row>0</xdr:row>
      <xdr:rowOff>523875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983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2</xdr:row>
      <xdr:rowOff>39688</xdr:rowOff>
    </xdr:from>
    <xdr:to>
      <xdr:col>15</xdr:col>
      <xdr:colOff>460375</xdr:colOff>
      <xdr:row>2</xdr:row>
      <xdr:rowOff>293688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108</xdr:col>
      <xdr:colOff>347663</xdr:colOff>
      <xdr:row>0</xdr:row>
      <xdr:rowOff>66675</xdr:rowOff>
    </xdr:from>
    <xdr:to>
      <xdr:col>108</xdr:col>
      <xdr:colOff>804863</xdr:colOff>
      <xdr:row>0</xdr:row>
      <xdr:rowOff>523875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943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</xdr:row>
      <xdr:rowOff>39688</xdr:rowOff>
    </xdr:from>
    <xdr:to>
      <xdr:col>111</xdr:col>
      <xdr:colOff>460375</xdr:colOff>
      <xdr:row>2</xdr:row>
      <xdr:rowOff>293688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228</xdr:col>
      <xdr:colOff>347663</xdr:colOff>
      <xdr:row>0</xdr:row>
      <xdr:rowOff>66675</xdr:rowOff>
    </xdr:from>
    <xdr:to>
      <xdr:col>228</xdr:col>
      <xdr:colOff>804863</xdr:colOff>
      <xdr:row>0</xdr:row>
      <xdr:rowOff>523875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23393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2</xdr:row>
      <xdr:rowOff>39688</xdr:rowOff>
    </xdr:from>
    <xdr:to>
      <xdr:col>231</xdr:col>
      <xdr:colOff>460375</xdr:colOff>
      <xdr:row>2</xdr:row>
      <xdr:rowOff>293688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168</xdr:col>
      <xdr:colOff>500063</xdr:colOff>
      <xdr:row>0</xdr:row>
      <xdr:rowOff>66675</xdr:rowOff>
    </xdr:from>
    <xdr:to>
      <xdr:col>168</xdr:col>
      <xdr:colOff>957263</xdr:colOff>
      <xdr:row>0</xdr:row>
      <xdr:rowOff>523875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7168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2</xdr:row>
      <xdr:rowOff>39688</xdr:rowOff>
    </xdr:from>
    <xdr:to>
      <xdr:col>171</xdr:col>
      <xdr:colOff>460375</xdr:colOff>
      <xdr:row>2</xdr:row>
      <xdr:rowOff>293688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180</xdr:col>
      <xdr:colOff>448246</xdr:colOff>
      <xdr:row>0</xdr:row>
      <xdr:rowOff>66675</xdr:rowOff>
    </xdr:from>
    <xdr:to>
      <xdr:col>180</xdr:col>
      <xdr:colOff>704278</xdr:colOff>
      <xdr:row>0</xdr:row>
      <xdr:rowOff>523875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44721" y="66675"/>
          <a:ext cx="256032" cy="4572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</xdr:row>
      <xdr:rowOff>39688</xdr:rowOff>
    </xdr:from>
    <xdr:to>
      <xdr:col>183</xdr:col>
      <xdr:colOff>460375</xdr:colOff>
      <xdr:row>2</xdr:row>
      <xdr:rowOff>293688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204</xdr:col>
      <xdr:colOff>464889</xdr:colOff>
      <xdr:row>0</xdr:row>
      <xdr:rowOff>66675</xdr:rowOff>
    </xdr:from>
    <xdr:to>
      <xdr:col>204</xdr:col>
      <xdr:colOff>687642</xdr:colOff>
      <xdr:row>0</xdr:row>
      <xdr:rowOff>523875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006264" y="66675"/>
          <a:ext cx="222753" cy="4572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</xdr:row>
      <xdr:rowOff>39688</xdr:rowOff>
    </xdr:from>
    <xdr:to>
      <xdr:col>207</xdr:col>
      <xdr:colOff>460375</xdr:colOff>
      <xdr:row>2</xdr:row>
      <xdr:rowOff>293688</xdr:rowOff>
    </xdr:to>
    <xdr:pic>
      <xdr:nvPicPr>
        <xdr:cNvPr id="55042" name="Picture 55041">
          <a:extLst>
            <a:ext uri="{FF2B5EF4-FFF2-40B4-BE49-F238E27FC236}">
              <a16:creationId xmlns:a16="http://schemas.microsoft.com/office/drawing/2014/main" id="{00000000-0008-0000-0A00-000002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192</xdr:col>
      <xdr:colOff>500063</xdr:colOff>
      <xdr:row>0</xdr:row>
      <xdr:rowOff>66675</xdr:rowOff>
    </xdr:from>
    <xdr:to>
      <xdr:col>192</xdr:col>
      <xdr:colOff>957263</xdr:colOff>
      <xdr:row>0</xdr:row>
      <xdr:rowOff>523875</xdr:rowOff>
    </xdr:to>
    <xdr:pic>
      <xdr:nvPicPr>
        <xdr:cNvPr id="55045" name="Picture 55044">
          <a:extLst>
            <a:ext uri="{FF2B5EF4-FFF2-40B4-BE49-F238E27FC236}">
              <a16:creationId xmlns:a16="http://schemas.microsoft.com/office/drawing/2014/main" id="{00000000-0008-0000-0A00-000005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71658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2</xdr:row>
      <xdr:rowOff>39688</xdr:rowOff>
    </xdr:from>
    <xdr:to>
      <xdr:col>195</xdr:col>
      <xdr:colOff>460375</xdr:colOff>
      <xdr:row>2</xdr:row>
      <xdr:rowOff>293688</xdr:rowOff>
    </xdr:to>
    <xdr:pic>
      <xdr:nvPicPr>
        <xdr:cNvPr id="55048" name="Picture 55047">
          <a:extLst>
            <a:ext uri="{FF2B5EF4-FFF2-40B4-BE49-F238E27FC236}">
              <a16:creationId xmlns:a16="http://schemas.microsoft.com/office/drawing/2014/main" id="{00000000-0008-0000-0A00-000008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84</xdr:col>
      <xdr:colOff>347663</xdr:colOff>
      <xdr:row>0</xdr:row>
      <xdr:rowOff>66675</xdr:rowOff>
    </xdr:from>
    <xdr:to>
      <xdr:col>84</xdr:col>
      <xdr:colOff>804863</xdr:colOff>
      <xdr:row>0</xdr:row>
      <xdr:rowOff>523875</xdr:rowOff>
    </xdr:to>
    <xdr:pic>
      <xdr:nvPicPr>
        <xdr:cNvPr id="55051" name="Picture 55050">
          <a:extLst>
            <a:ext uri="{FF2B5EF4-FFF2-40B4-BE49-F238E27FC236}">
              <a16:creationId xmlns:a16="http://schemas.microsoft.com/office/drawing/2014/main" id="{00000000-0008-0000-0A00-00000B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453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</xdr:row>
      <xdr:rowOff>39688</xdr:rowOff>
    </xdr:from>
    <xdr:to>
      <xdr:col>87</xdr:col>
      <xdr:colOff>460375</xdr:colOff>
      <xdr:row>2</xdr:row>
      <xdr:rowOff>293688</xdr:rowOff>
    </xdr:to>
    <xdr:pic>
      <xdr:nvPicPr>
        <xdr:cNvPr id="55054" name="Picture 55053">
          <a:extLst>
            <a:ext uri="{FF2B5EF4-FFF2-40B4-BE49-F238E27FC236}">
              <a16:creationId xmlns:a16="http://schemas.microsoft.com/office/drawing/2014/main" id="{00000000-0008-0000-0A00-00000E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60</xdr:col>
      <xdr:colOff>347663</xdr:colOff>
      <xdr:row>0</xdr:row>
      <xdr:rowOff>66675</xdr:rowOff>
    </xdr:from>
    <xdr:to>
      <xdr:col>60</xdr:col>
      <xdr:colOff>804863</xdr:colOff>
      <xdr:row>0</xdr:row>
      <xdr:rowOff>523875</xdr:rowOff>
    </xdr:to>
    <xdr:pic>
      <xdr:nvPicPr>
        <xdr:cNvPr id="55057" name="Picture 55056">
          <a:extLst>
            <a:ext uri="{FF2B5EF4-FFF2-40B4-BE49-F238E27FC236}">
              <a16:creationId xmlns:a16="http://schemas.microsoft.com/office/drawing/2014/main" id="{00000000-0008-0000-0A00-000011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963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</xdr:row>
      <xdr:rowOff>39688</xdr:rowOff>
    </xdr:from>
    <xdr:to>
      <xdr:col>63</xdr:col>
      <xdr:colOff>460375</xdr:colOff>
      <xdr:row>2</xdr:row>
      <xdr:rowOff>293688</xdr:rowOff>
    </xdr:to>
    <xdr:pic>
      <xdr:nvPicPr>
        <xdr:cNvPr id="55060" name="Picture 55059">
          <a:extLst>
            <a:ext uri="{FF2B5EF4-FFF2-40B4-BE49-F238E27FC236}">
              <a16:creationId xmlns:a16="http://schemas.microsoft.com/office/drawing/2014/main" id="{00000000-0008-0000-0A00-000014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120</xdr:col>
      <xdr:colOff>500063</xdr:colOff>
      <xdr:row>0</xdr:row>
      <xdr:rowOff>66675</xdr:rowOff>
    </xdr:from>
    <xdr:to>
      <xdr:col>120</xdr:col>
      <xdr:colOff>957263</xdr:colOff>
      <xdr:row>0</xdr:row>
      <xdr:rowOff>523875</xdr:rowOff>
    </xdr:to>
    <xdr:pic>
      <xdr:nvPicPr>
        <xdr:cNvPr id="55063" name="Picture 55062">
          <a:extLst>
            <a:ext uri="{FF2B5EF4-FFF2-40B4-BE49-F238E27FC236}">
              <a16:creationId xmlns:a16="http://schemas.microsoft.com/office/drawing/2014/main" id="{00000000-0008-0000-0A00-000017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8188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2</xdr:row>
      <xdr:rowOff>39688</xdr:rowOff>
    </xdr:from>
    <xdr:to>
      <xdr:col>123</xdr:col>
      <xdr:colOff>460375</xdr:colOff>
      <xdr:row>2</xdr:row>
      <xdr:rowOff>293688</xdr:rowOff>
    </xdr:to>
    <xdr:pic>
      <xdr:nvPicPr>
        <xdr:cNvPr id="55066" name="Picture 55065">
          <a:extLst>
            <a:ext uri="{FF2B5EF4-FFF2-40B4-BE49-F238E27FC236}">
              <a16:creationId xmlns:a16="http://schemas.microsoft.com/office/drawing/2014/main" id="{00000000-0008-0000-0A00-00001A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36</xdr:col>
      <xdr:colOff>347663</xdr:colOff>
      <xdr:row>0</xdr:row>
      <xdr:rowOff>66675</xdr:rowOff>
    </xdr:from>
    <xdr:to>
      <xdr:col>36</xdr:col>
      <xdr:colOff>804863</xdr:colOff>
      <xdr:row>0</xdr:row>
      <xdr:rowOff>523875</xdr:rowOff>
    </xdr:to>
    <xdr:pic>
      <xdr:nvPicPr>
        <xdr:cNvPr id="55069" name="Picture 55068">
          <a:extLst>
            <a:ext uri="{FF2B5EF4-FFF2-40B4-BE49-F238E27FC236}">
              <a16:creationId xmlns:a16="http://schemas.microsoft.com/office/drawing/2014/main" id="{00000000-0008-0000-0A00-00001D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473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</xdr:row>
      <xdr:rowOff>39688</xdr:rowOff>
    </xdr:from>
    <xdr:to>
      <xdr:col>39</xdr:col>
      <xdr:colOff>460375</xdr:colOff>
      <xdr:row>2</xdr:row>
      <xdr:rowOff>293688</xdr:rowOff>
    </xdr:to>
    <xdr:pic>
      <xdr:nvPicPr>
        <xdr:cNvPr id="55072" name="Picture 55071">
          <a:extLst>
            <a:ext uri="{FF2B5EF4-FFF2-40B4-BE49-F238E27FC236}">
              <a16:creationId xmlns:a16="http://schemas.microsoft.com/office/drawing/2014/main" id="{00000000-0008-0000-0A00-000020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156</xdr:col>
      <xdr:colOff>347663</xdr:colOff>
      <xdr:row>0</xdr:row>
      <xdr:rowOff>66675</xdr:rowOff>
    </xdr:from>
    <xdr:to>
      <xdr:col>156</xdr:col>
      <xdr:colOff>804863</xdr:colOff>
      <xdr:row>0</xdr:row>
      <xdr:rowOff>523875</xdr:rowOff>
    </xdr:to>
    <xdr:pic>
      <xdr:nvPicPr>
        <xdr:cNvPr id="55075" name="Picture 55074">
          <a:extLst>
            <a:ext uri="{FF2B5EF4-FFF2-40B4-BE49-F238E27FC236}">
              <a16:creationId xmlns:a16="http://schemas.microsoft.com/office/drawing/2014/main" id="{00000000-0008-0000-0A00-000023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9923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</xdr:row>
      <xdr:rowOff>39688</xdr:rowOff>
    </xdr:from>
    <xdr:to>
      <xdr:col>159</xdr:col>
      <xdr:colOff>460375</xdr:colOff>
      <xdr:row>2</xdr:row>
      <xdr:rowOff>293688</xdr:rowOff>
    </xdr:to>
    <xdr:pic>
      <xdr:nvPicPr>
        <xdr:cNvPr id="55078" name="Picture 55077">
          <a:extLst>
            <a:ext uri="{FF2B5EF4-FFF2-40B4-BE49-F238E27FC236}">
              <a16:creationId xmlns:a16="http://schemas.microsoft.com/office/drawing/2014/main" id="{00000000-0008-0000-0A00-000026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48</xdr:col>
      <xdr:colOff>500063</xdr:colOff>
      <xdr:row>0</xdr:row>
      <xdr:rowOff>66675</xdr:rowOff>
    </xdr:from>
    <xdr:to>
      <xdr:col>48</xdr:col>
      <xdr:colOff>957263</xdr:colOff>
      <xdr:row>0</xdr:row>
      <xdr:rowOff>523875</xdr:rowOff>
    </xdr:to>
    <xdr:pic>
      <xdr:nvPicPr>
        <xdr:cNvPr id="55081" name="Picture 55080">
          <a:extLst>
            <a:ext uri="{FF2B5EF4-FFF2-40B4-BE49-F238E27FC236}">
              <a16:creationId xmlns:a16="http://schemas.microsoft.com/office/drawing/2014/main" id="{00000000-0008-0000-0A00-000029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4718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2</xdr:row>
      <xdr:rowOff>39688</xdr:rowOff>
    </xdr:from>
    <xdr:to>
      <xdr:col>51</xdr:col>
      <xdr:colOff>460375</xdr:colOff>
      <xdr:row>2</xdr:row>
      <xdr:rowOff>293688</xdr:rowOff>
    </xdr:to>
    <xdr:pic>
      <xdr:nvPicPr>
        <xdr:cNvPr id="55084" name="Picture 55083">
          <a:extLst>
            <a:ext uri="{FF2B5EF4-FFF2-40B4-BE49-F238E27FC236}">
              <a16:creationId xmlns:a16="http://schemas.microsoft.com/office/drawing/2014/main" id="{00000000-0008-0000-0A00-00002C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216</xdr:col>
      <xdr:colOff>500063</xdr:colOff>
      <xdr:row>0</xdr:row>
      <xdr:rowOff>66675</xdr:rowOff>
    </xdr:from>
    <xdr:to>
      <xdr:col>216</xdr:col>
      <xdr:colOff>957263</xdr:colOff>
      <xdr:row>0</xdr:row>
      <xdr:rowOff>523875</xdr:rowOff>
    </xdr:to>
    <xdr:pic>
      <xdr:nvPicPr>
        <xdr:cNvPr id="55087" name="Picture 55086">
          <a:extLst>
            <a:ext uri="{FF2B5EF4-FFF2-40B4-BE49-F238E27FC236}">
              <a16:creationId xmlns:a16="http://schemas.microsoft.com/office/drawing/2014/main" id="{00000000-0008-0000-0A00-00002F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148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</xdr:row>
      <xdr:rowOff>39688</xdr:rowOff>
    </xdr:from>
    <xdr:to>
      <xdr:col>219</xdr:col>
      <xdr:colOff>460375</xdr:colOff>
      <xdr:row>2</xdr:row>
      <xdr:rowOff>293688</xdr:rowOff>
    </xdr:to>
    <xdr:pic>
      <xdr:nvPicPr>
        <xdr:cNvPr id="55090" name="Picture 55089">
          <a:extLst>
            <a:ext uri="{FF2B5EF4-FFF2-40B4-BE49-F238E27FC236}">
              <a16:creationId xmlns:a16="http://schemas.microsoft.com/office/drawing/2014/main" id="{00000000-0008-0000-0A00-000032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144</xdr:col>
      <xdr:colOff>500063</xdr:colOff>
      <xdr:row>0</xdr:row>
      <xdr:rowOff>66675</xdr:rowOff>
    </xdr:from>
    <xdr:to>
      <xdr:col>144</xdr:col>
      <xdr:colOff>957263</xdr:colOff>
      <xdr:row>0</xdr:row>
      <xdr:rowOff>523875</xdr:rowOff>
    </xdr:to>
    <xdr:pic>
      <xdr:nvPicPr>
        <xdr:cNvPr id="55093" name="Picture 55092">
          <a:extLst>
            <a:ext uri="{FF2B5EF4-FFF2-40B4-BE49-F238E27FC236}">
              <a16:creationId xmlns:a16="http://schemas.microsoft.com/office/drawing/2014/main" id="{00000000-0008-0000-0A00-000035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26788" y="66675"/>
          <a:ext cx="457200" cy="4572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2</xdr:row>
      <xdr:rowOff>39688</xdr:rowOff>
    </xdr:from>
    <xdr:to>
      <xdr:col>147</xdr:col>
      <xdr:colOff>460375</xdr:colOff>
      <xdr:row>2</xdr:row>
      <xdr:rowOff>293688</xdr:rowOff>
    </xdr:to>
    <xdr:pic>
      <xdr:nvPicPr>
        <xdr:cNvPr id="55096" name="Picture 55095">
          <a:extLst>
            <a:ext uri="{FF2B5EF4-FFF2-40B4-BE49-F238E27FC236}">
              <a16:creationId xmlns:a16="http://schemas.microsoft.com/office/drawing/2014/main" id="{00000000-0008-0000-0A00-000038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96361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</xdr:row>
      <xdr:rowOff>39688</xdr:rowOff>
    </xdr:from>
    <xdr:to>
      <xdr:col>15</xdr:col>
      <xdr:colOff>460375</xdr:colOff>
      <xdr:row>3</xdr:row>
      <xdr:rowOff>293688</xdr:rowOff>
    </xdr:to>
    <xdr:pic>
      <xdr:nvPicPr>
        <xdr:cNvPr id="55099" name="Picture 55098">
          <a:extLst>
            <a:ext uri="{FF2B5EF4-FFF2-40B4-BE49-F238E27FC236}">
              <a16:creationId xmlns:a16="http://schemas.microsoft.com/office/drawing/2014/main" id="{00000000-0008-0000-0A00-00003B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3</xdr:row>
      <xdr:rowOff>39688</xdr:rowOff>
    </xdr:from>
    <xdr:to>
      <xdr:col>87</xdr:col>
      <xdr:colOff>460375</xdr:colOff>
      <xdr:row>3</xdr:row>
      <xdr:rowOff>293688</xdr:rowOff>
    </xdr:to>
    <xdr:pic>
      <xdr:nvPicPr>
        <xdr:cNvPr id="55102" name="Picture 55101">
          <a:extLst>
            <a:ext uri="{FF2B5EF4-FFF2-40B4-BE49-F238E27FC236}">
              <a16:creationId xmlns:a16="http://schemas.microsoft.com/office/drawing/2014/main" id="{00000000-0008-0000-0A00-00003E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3</xdr:row>
      <xdr:rowOff>39688</xdr:rowOff>
    </xdr:from>
    <xdr:to>
      <xdr:col>3</xdr:col>
      <xdr:colOff>460375</xdr:colOff>
      <xdr:row>3</xdr:row>
      <xdr:rowOff>293688</xdr:rowOff>
    </xdr:to>
    <xdr:pic>
      <xdr:nvPicPr>
        <xdr:cNvPr id="55105" name="Picture 55104">
          <a:extLst>
            <a:ext uri="{FF2B5EF4-FFF2-40B4-BE49-F238E27FC236}">
              <a16:creationId xmlns:a16="http://schemas.microsoft.com/office/drawing/2014/main" id="{00000000-0008-0000-0A00-000041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3</xdr:row>
      <xdr:rowOff>39688</xdr:rowOff>
    </xdr:from>
    <xdr:to>
      <xdr:col>123</xdr:col>
      <xdr:colOff>460375</xdr:colOff>
      <xdr:row>3</xdr:row>
      <xdr:rowOff>293688</xdr:rowOff>
    </xdr:to>
    <xdr:pic>
      <xdr:nvPicPr>
        <xdr:cNvPr id="55108" name="Picture 55107">
          <a:extLst>
            <a:ext uri="{FF2B5EF4-FFF2-40B4-BE49-F238E27FC236}">
              <a16:creationId xmlns:a16="http://schemas.microsoft.com/office/drawing/2014/main" id="{00000000-0008-0000-0A00-000044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</xdr:row>
      <xdr:rowOff>39688</xdr:rowOff>
    </xdr:from>
    <xdr:to>
      <xdr:col>51</xdr:col>
      <xdr:colOff>460375</xdr:colOff>
      <xdr:row>3</xdr:row>
      <xdr:rowOff>293688</xdr:rowOff>
    </xdr:to>
    <xdr:pic>
      <xdr:nvPicPr>
        <xdr:cNvPr id="55111" name="Picture 55110">
          <a:extLst>
            <a:ext uri="{FF2B5EF4-FFF2-40B4-BE49-F238E27FC236}">
              <a16:creationId xmlns:a16="http://schemas.microsoft.com/office/drawing/2014/main" id="{00000000-0008-0000-0A00-000047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</xdr:row>
      <xdr:rowOff>39688</xdr:rowOff>
    </xdr:from>
    <xdr:to>
      <xdr:col>171</xdr:col>
      <xdr:colOff>460375</xdr:colOff>
      <xdr:row>3</xdr:row>
      <xdr:rowOff>293688</xdr:rowOff>
    </xdr:to>
    <xdr:pic>
      <xdr:nvPicPr>
        <xdr:cNvPr id="55114" name="Picture 55113">
          <a:extLst>
            <a:ext uri="{FF2B5EF4-FFF2-40B4-BE49-F238E27FC236}">
              <a16:creationId xmlns:a16="http://schemas.microsoft.com/office/drawing/2014/main" id="{00000000-0008-0000-0A00-00004A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</xdr:row>
      <xdr:rowOff>39688</xdr:rowOff>
    </xdr:from>
    <xdr:to>
      <xdr:col>147</xdr:col>
      <xdr:colOff>460375</xdr:colOff>
      <xdr:row>3</xdr:row>
      <xdr:rowOff>293688</xdr:rowOff>
    </xdr:to>
    <xdr:pic>
      <xdr:nvPicPr>
        <xdr:cNvPr id="55117" name="Picture 55116">
          <a:extLst>
            <a:ext uri="{FF2B5EF4-FFF2-40B4-BE49-F238E27FC236}">
              <a16:creationId xmlns:a16="http://schemas.microsoft.com/office/drawing/2014/main" id="{00000000-0008-0000-0A00-00004D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3</xdr:row>
      <xdr:rowOff>39688</xdr:rowOff>
    </xdr:from>
    <xdr:to>
      <xdr:col>27</xdr:col>
      <xdr:colOff>460375</xdr:colOff>
      <xdr:row>3</xdr:row>
      <xdr:rowOff>293688</xdr:rowOff>
    </xdr:to>
    <xdr:pic>
      <xdr:nvPicPr>
        <xdr:cNvPr id="55120" name="Picture 55119">
          <a:extLst>
            <a:ext uri="{FF2B5EF4-FFF2-40B4-BE49-F238E27FC236}">
              <a16:creationId xmlns:a16="http://schemas.microsoft.com/office/drawing/2014/main" id="{00000000-0008-0000-0A00-000050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</xdr:row>
      <xdr:rowOff>39688</xdr:rowOff>
    </xdr:from>
    <xdr:to>
      <xdr:col>195</xdr:col>
      <xdr:colOff>460375</xdr:colOff>
      <xdr:row>3</xdr:row>
      <xdr:rowOff>293688</xdr:rowOff>
    </xdr:to>
    <xdr:pic>
      <xdr:nvPicPr>
        <xdr:cNvPr id="55123" name="Picture 55122">
          <a:extLst>
            <a:ext uri="{FF2B5EF4-FFF2-40B4-BE49-F238E27FC236}">
              <a16:creationId xmlns:a16="http://schemas.microsoft.com/office/drawing/2014/main" id="{00000000-0008-0000-0A00-000053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</xdr:row>
      <xdr:rowOff>39688</xdr:rowOff>
    </xdr:from>
    <xdr:to>
      <xdr:col>111</xdr:col>
      <xdr:colOff>460375</xdr:colOff>
      <xdr:row>3</xdr:row>
      <xdr:rowOff>293688</xdr:rowOff>
    </xdr:to>
    <xdr:pic>
      <xdr:nvPicPr>
        <xdr:cNvPr id="55126" name="Picture 55125">
          <a:extLst>
            <a:ext uri="{FF2B5EF4-FFF2-40B4-BE49-F238E27FC236}">
              <a16:creationId xmlns:a16="http://schemas.microsoft.com/office/drawing/2014/main" id="{00000000-0008-0000-0A00-000056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</xdr:row>
      <xdr:rowOff>39688</xdr:rowOff>
    </xdr:from>
    <xdr:to>
      <xdr:col>231</xdr:col>
      <xdr:colOff>460375</xdr:colOff>
      <xdr:row>3</xdr:row>
      <xdr:rowOff>293688</xdr:rowOff>
    </xdr:to>
    <xdr:pic>
      <xdr:nvPicPr>
        <xdr:cNvPr id="55129" name="Picture 55128">
          <a:extLst>
            <a:ext uri="{FF2B5EF4-FFF2-40B4-BE49-F238E27FC236}">
              <a16:creationId xmlns:a16="http://schemas.microsoft.com/office/drawing/2014/main" id="{00000000-0008-0000-0A00-000059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</xdr:row>
      <xdr:rowOff>39688</xdr:rowOff>
    </xdr:from>
    <xdr:to>
      <xdr:col>99</xdr:col>
      <xdr:colOff>460375</xdr:colOff>
      <xdr:row>3</xdr:row>
      <xdr:rowOff>293688</xdr:rowOff>
    </xdr:to>
    <xdr:pic>
      <xdr:nvPicPr>
        <xdr:cNvPr id="55132" name="Picture 55131">
          <a:extLst>
            <a:ext uri="{FF2B5EF4-FFF2-40B4-BE49-F238E27FC236}">
              <a16:creationId xmlns:a16="http://schemas.microsoft.com/office/drawing/2014/main" id="{00000000-0008-0000-0A00-00005C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</xdr:row>
      <xdr:rowOff>39688</xdr:rowOff>
    </xdr:from>
    <xdr:to>
      <xdr:col>39</xdr:col>
      <xdr:colOff>460375</xdr:colOff>
      <xdr:row>3</xdr:row>
      <xdr:rowOff>293688</xdr:rowOff>
    </xdr:to>
    <xdr:pic>
      <xdr:nvPicPr>
        <xdr:cNvPr id="55135" name="Picture 55134">
          <a:extLst>
            <a:ext uri="{FF2B5EF4-FFF2-40B4-BE49-F238E27FC236}">
              <a16:creationId xmlns:a16="http://schemas.microsoft.com/office/drawing/2014/main" id="{00000000-0008-0000-0A00-00005F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</xdr:row>
      <xdr:rowOff>39688</xdr:rowOff>
    </xdr:from>
    <xdr:to>
      <xdr:col>159</xdr:col>
      <xdr:colOff>460375</xdr:colOff>
      <xdr:row>3</xdr:row>
      <xdr:rowOff>293688</xdr:rowOff>
    </xdr:to>
    <xdr:pic>
      <xdr:nvPicPr>
        <xdr:cNvPr id="55138" name="Picture 55137">
          <a:extLst>
            <a:ext uri="{FF2B5EF4-FFF2-40B4-BE49-F238E27FC236}">
              <a16:creationId xmlns:a16="http://schemas.microsoft.com/office/drawing/2014/main" id="{00000000-0008-0000-0A00-000062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</xdr:row>
      <xdr:rowOff>39688</xdr:rowOff>
    </xdr:from>
    <xdr:to>
      <xdr:col>183</xdr:col>
      <xdr:colOff>460375</xdr:colOff>
      <xdr:row>3</xdr:row>
      <xdr:rowOff>293688</xdr:rowOff>
    </xdr:to>
    <xdr:pic>
      <xdr:nvPicPr>
        <xdr:cNvPr id="55141" name="Picture 55140">
          <a:extLst>
            <a:ext uri="{FF2B5EF4-FFF2-40B4-BE49-F238E27FC236}">
              <a16:creationId xmlns:a16="http://schemas.microsoft.com/office/drawing/2014/main" id="{00000000-0008-0000-0A00-000065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</xdr:row>
      <xdr:rowOff>39688</xdr:rowOff>
    </xdr:from>
    <xdr:to>
      <xdr:col>219</xdr:col>
      <xdr:colOff>460375</xdr:colOff>
      <xdr:row>3</xdr:row>
      <xdr:rowOff>293688</xdr:rowOff>
    </xdr:to>
    <xdr:pic>
      <xdr:nvPicPr>
        <xdr:cNvPr id="55144" name="Picture 55143">
          <a:extLst>
            <a:ext uri="{FF2B5EF4-FFF2-40B4-BE49-F238E27FC236}">
              <a16:creationId xmlns:a16="http://schemas.microsoft.com/office/drawing/2014/main" id="{00000000-0008-0000-0A00-000068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</xdr:row>
      <xdr:rowOff>39688</xdr:rowOff>
    </xdr:from>
    <xdr:to>
      <xdr:col>63</xdr:col>
      <xdr:colOff>460375</xdr:colOff>
      <xdr:row>3</xdr:row>
      <xdr:rowOff>293688</xdr:rowOff>
    </xdr:to>
    <xdr:pic>
      <xdr:nvPicPr>
        <xdr:cNvPr id="55147" name="Picture 55146">
          <a:extLst>
            <a:ext uri="{FF2B5EF4-FFF2-40B4-BE49-F238E27FC236}">
              <a16:creationId xmlns:a16="http://schemas.microsoft.com/office/drawing/2014/main" id="{00000000-0008-0000-0A00-00006B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</xdr:row>
      <xdr:rowOff>39688</xdr:rowOff>
    </xdr:from>
    <xdr:to>
      <xdr:col>207</xdr:col>
      <xdr:colOff>460375</xdr:colOff>
      <xdr:row>3</xdr:row>
      <xdr:rowOff>293688</xdr:rowOff>
    </xdr:to>
    <xdr:pic>
      <xdr:nvPicPr>
        <xdr:cNvPr id="55150" name="Picture 55149">
          <a:extLst>
            <a:ext uri="{FF2B5EF4-FFF2-40B4-BE49-F238E27FC236}">
              <a16:creationId xmlns:a16="http://schemas.microsoft.com/office/drawing/2014/main" id="{00000000-0008-0000-0A00-00006E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</xdr:row>
      <xdr:rowOff>39688</xdr:rowOff>
    </xdr:from>
    <xdr:to>
      <xdr:col>135</xdr:col>
      <xdr:colOff>460375</xdr:colOff>
      <xdr:row>3</xdr:row>
      <xdr:rowOff>293688</xdr:rowOff>
    </xdr:to>
    <xdr:pic>
      <xdr:nvPicPr>
        <xdr:cNvPr id="55153" name="Picture 55152">
          <a:extLst>
            <a:ext uri="{FF2B5EF4-FFF2-40B4-BE49-F238E27FC236}">
              <a16:creationId xmlns:a16="http://schemas.microsoft.com/office/drawing/2014/main" id="{00000000-0008-0000-0A00-000071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</xdr:row>
      <xdr:rowOff>39688</xdr:rowOff>
    </xdr:from>
    <xdr:to>
      <xdr:col>75</xdr:col>
      <xdr:colOff>460375</xdr:colOff>
      <xdr:row>3</xdr:row>
      <xdr:rowOff>293688</xdr:rowOff>
    </xdr:to>
    <xdr:pic>
      <xdr:nvPicPr>
        <xdr:cNvPr id="55156" name="Picture 55155">
          <a:extLst>
            <a:ext uri="{FF2B5EF4-FFF2-40B4-BE49-F238E27FC236}">
              <a16:creationId xmlns:a16="http://schemas.microsoft.com/office/drawing/2014/main" id="{00000000-0008-0000-0A00-000074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29698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</xdr:row>
      <xdr:rowOff>39688</xdr:rowOff>
    </xdr:from>
    <xdr:to>
      <xdr:col>207</xdr:col>
      <xdr:colOff>460375</xdr:colOff>
      <xdr:row>4</xdr:row>
      <xdr:rowOff>293688</xdr:rowOff>
    </xdr:to>
    <xdr:pic>
      <xdr:nvPicPr>
        <xdr:cNvPr id="55159" name="Picture 55158">
          <a:extLst>
            <a:ext uri="{FF2B5EF4-FFF2-40B4-BE49-F238E27FC236}">
              <a16:creationId xmlns:a16="http://schemas.microsoft.com/office/drawing/2014/main" id="{00000000-0008-0000-0A00-000077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</xdr:row>
      <xdr:rowOff>39688</xdr:rowOff>
    </xdr:from>
    <xdr:to>
      <xdr:col>231</xdr:col>
      <xdr:colOff>460375</xdr:colOff>
      <xdr:row>4</xdr:row>
      <xdr:rowOff>293688</xdr:rowOff>
    </xdr:to>
    <xdr:pic>
      <xdr:nvPicPr>
        <xdr:cNvPr id="55162" name="Picture 55161">
          <a:extLst>
            <a:ext uri="{FF2B5EF4-FFF2-40B4-BE49-F238E27FC236}">
              <a16:creationId xmlns:a16="http://schemas.microsoft.com/office/drawing/2014/main" id="{00000000-0008-0000-0A00-00007A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</xdr:row>
      <xdr:rowOff>39688</xdr:rowOff>
    </xdr:from>
    <xdr:to>
      <xdr:col>75</xdr:col>
      <xdr:colOff>460375</xdr:colOff>
      <xdr:row>4</xdr:row>
      <xdr:rowOff>293688</xdr:rowOff>
    </xdr:to>
    <xdr:pic>
      <xdr:nvPicPr>
        <xdr:cNvPr id="55165" name="Picture 55164">
          <a:extLst>
            <a:ext uri="{FF2B5EF4-FFF2-40B4-BE49-F238E27FC236}">
              <a16:creationId xmlns:a16="http://schemas.microsoft.com/office/drawing/2014/main" id="{00000000-0008-0000-0A00-00007D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</xdr:row>
      <xdr:rowOff>39688</xdr:rowOff>
    </xdr:from>
    <xdr:to>
      <xdr:col>15</xdr:col>
      <xdr:colOff>460375</xdr:colOff>
      <xdr:row>4</xdr:row>
      <xdr:rowOff>293688</xdr:rowOff>
    </xdr:to>
    <xdr:pic>
      <xdr:nvPicPr>
        <xdr:cNvPr id="55168" name="Picture 55167">
          <a:extLst>
            <a:ext uri="{FF2B5EF4-FFF2-40B4-BE49-F238E27FC236}">
              <a16:creationId xmlns:a16="http://schemas.microsoft.com/office/drawing/2014/main" id="{00000000-0008-0000-0A00-000080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</xdr:row>
      <xdr:rowOff>39688</xdr:rowOff>
    </xdr:from>
    <xdr:to>
      <xdr:col>87</xdr:col>
      <xdr:colOff>460375</xdr:colOff>
      <xdr:row>4</xdr:row>
      <xdr:rowOff>293688</xdr:rowOff>
    </xdr:to>
    <xdr:pic>
      <xdr:nvPicPr>
        <xdr:cNvPr id="55171" name="Picture 55170">
          <a:extLst>
            <a:ext uri="{FF2B5EF4-FFF2-40B4-BE49-F238E27FC236}">
              <a16:creationId xmlns:a16="http://schemas.microsoft.com/office/drawing/2014/main" id="{00000000-0008-0000-0A00-000083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</xdr:row>
      <xdr:rowOff>39688</xdr:rowOff>
    </xdr:from>
    <xdr:to>
      <xdr:col>183</xdr:col>
      <xdr:colOff>460375</xdr:colOff>
      <xdr:row>4</xdr:row>
      <xdr:rowOff>293688</xdr:rowOff>
    </xdr:to>
    <xdr:pic>
      <xdr:nvPicPr>
        <xdr:cNvPr id="55174" name="Picture 55173">
          <a:extLst>
            <a:ext uri="{FF2B5EF4-FFF2-40B4-BE49-F238E27FC236}">
              <a16:creationId xmlns:a16="http://schemas.microsoft.com/office/drawing/2014/main" id="{00000000-0008-0000-0A00-000086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4</xdr:row>
      <xdr:rowOff>39688</xdr:rowOff>
    </xdr:from>
    <xdr:to>
      <xdr:col>99</xdr:col>
      <xdr:colOff>460375</xdr:colOff>
      <xdr:row>4</xdr:row>
      <xdr:rowOff>293688</xdr:rowOff>
    </xdr:to>
    <xdr:pic>
      <xdr:nvPicPr>
        <xdr:cNvPr id="55177" name="Picture 55176">
          <a:extLst>
            <a:ext uri="{FF2B5EF4-FFF2-40B4-BE49-F238E27FC236}">
              <a16:creationId xmlns:a16="http://schemas.microsoft.com/office/drawing/2014/main" id="{00000000-0008-0000-0A00-000089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</xdr:row>
      <xdr:rowOff>39688</xdr:rowOff>
    </xdr:from>
    <xdr:to>
      <xdr:col>39</xdr:col>
      <xdr:colOff>460375</xdr:colOff>
      <xdr:row>4</xdr:row>
      <xdr:rowOff>293688</xdr:rowOff>
    </xdr:to>
    <xdr:pic>
      <xdr:nvPicPr>
        <xdr:cNvPr id="55180" name="Picture 55179">
          <a:extLst>
            <a:ext uri="{FF2B5EF4-FFF2-40B4-BE49-F238E27FC236}">
              <a16:creationId xmlns:a16="http://schemas.microsoft.com/office/drawing/2014/main" id="{00000000-0008-0000-0A00-00008C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</xdr:row>
      <xdr:rowOff>39688</xdr:rowOff>
    </xdr:from>
    <xdr:to>
      <xdr:col>123</xdr:col>
      <xdr:colOff>460375</xdr:colOff>
      <xdr:row>4</xdr:row>
      <xdr:rowOff>293688</xdr:rowOff>
    </xdr:to>
    <xdr:pic>
      <xdr:nvPicPr>
        <xdr:cNvPr id="55183" name="Picture 55182">
          <a:extLst>
            <a:ext uri="{FF2B5EF4-FFF2-40B4-BE49-F238E27FC236}">
              <a16:creationId xmlns:a16="http://schemas.microsoft.com/office/drawing/2014/main" id="{00000000-0008-0000-0A00-00008F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</xdr:row>
      <xdr:rowOff>39688</xdr:rowOff>
    </xdr:from>
    <xdr:to>
      <xdr:col>195</xdr:col>
      <xdr:colOff>460375</xdr:colOff>
      <xdr:row>4</xdr:row>
      <xdr:rowOff>293688</xdr:rowOff>
    </xdr:to>
    <xdr:pic>
      <xdr:nvPicPr>
        <xdr:cNvPr id="55186" name="Picture 55185">
          <a:extLst>
            <a:ext uri="{FF2B5EF4-FFF2-40B4-BE49-F238E27FC236}">
              <a16:creationId xmlns:a16="http://schemas.microsoft.com/office/drawing/2014/main" id="{00000000-0008-0000-0A00-000092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</xdr:row>
      <xdr:rowOff>39688</xdr:rowOff>
    </xdr:from>
    <xdr:to>
      <xdr:col>27</xdr:col>
      <xdr:colOff>460375</xdr:colOff>
      <xdr:row>4</xdr:row>
      <xdr:rowOff>293688</xdr:rowOff>
    </xdr:to>
    <xdr:pic>
      <xdr:nvPicPr>
        <xdr:cNvPr id="55189" name="Picture 55188">
          <a:extLst>
            <a:ext uri="{FF2B5EF4-FFF2-40B4-BE49-F238E27FC236}">
              <a16:creationId xmlns:a16="http://schemas.microsoft.com/office/drawing/2014/main" id="{00000000-0008-0000-0A00-000095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</xdr:row>
      <xdr:rowOff>39688</xdr:rowOff>
    </xdr:from>
    <xdr:to>
      <xdr:col>3</xdr:col>
      <xdr:colOff>460375</xdr:colOff>
      <xdr:row>4</xdr:row>
      <xdr:rowOff>293688</xdr:rowOff>
    </xdr:to>
    <xdr:pic>
      <xdr:nvPicPr>
        <xdr:cNvPr id="55192" name="Picture 55191">
          <a:extLst>
            <a:ext uri="{FF2B5EF4-FFF2-40B4-BE49-F238E27FC236}">
              <a16:creationId xmlns:a16="http://schemas.microsoft.com/office/drawing/2014/main" id="{00000000-0008-0000-0A00-000098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</xdr:row>
      <xdr:rowOff>39688</xdr:rowOff>
    </xdr:from>
    <xdr:to>
      <xdr:col>111</xdr:col>
      <xdr:colOff>460375</xdr:colOff>
      <xdr:row>4</xdr:row>
      <xdr:rowOff>293688</xdr:rowOff>
    </xdr:to>
    <xdr:pic>
      <xdr:nvPicPr>
        <xdr:cNvPr id="55195" name="Picture 55194">
          <a:extLst>
            <a:ext uri="{FF2B5EF4-FFF2-40B4-BE49-F238E27FC236}">
              <a16:creationId xmlns:a16="http://schemas.microsoft.com/office/drawing/2014/main" id="{00000000-0008-0000-0A00-00009B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</xdr:row>
      <xdr:rowOff>39688</xdr:rowOff>
    </xdr:from>
    <xdr:to>
      <xdr:col>63</xdr:col>
      <xdr:colOff>460375</xdr:colOff>
      <xdr:row>4</xdr:row>
      <xdr:rowOff>293688</xdr:rowOff>
    </xdr:to>
    <xdr:pic>
      <xdr:nvPicPr>
        <xdr:cNvPr id="55198" name="Picture 55197">
          <a:extLst>
            <a:ext uri="{FF2B5EF4-FFF2-40B4-BE49-F238E27FC236}">
              <a16:creationId xmlns:a16="http://schemas.microsoft.com/office/drawing/2014/main" id="{00000000-0008-0000-0A00-00009E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</xdr:row>
      <xdr:rowOff>39688</xdr:rowOff>
    </xdr:from>
    <xdr:to>
      <xdr:col>219</xdr:col>
      <xdr:colOff>460375</xdr:colOff>
      <xdr:row>4</xdr:row>
      <xdr:rowOff>293688</xdr:rowOff>
    </xdr:to>
    <xdr:pic>
      <xdr:nvPicPr>
        <xdr:cNvPr id="55201" name="Picture 55200">
          <a:extLst>
            <a:ext uri="{FF2B5EF4-FFF2-40B4-BE49-F238E27FC236}">
              <a16:creationId xmlns:a16="http://schemas.microsoft.com/office/drawing/2014/main" id="{00000000-0008-0000-0A00-0000A1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</xdr:row>
      <xdr:rowOff>39688</xdr:rowOff>
    </xdr:from>
    <xdr:to>
      <xdr:col>51</xdr:col>
      <xdr:colOff>460375</xdr:colOff>
      <xdr:row>4</xdr:row>
      <xdr:rowOff>293688</xdr:rowOff>
    </xdr:to>
    <xdr:pic>
      <xdr:nvPicPr>
        <xdr:cNvPr id="55204" name="Picture 55203">
          <a:extLst>
            <a:ext uri="{FF2B5EF4-FFF2-40B4-BE49-F238E27FC236}">
              <a16:creationId xmlns:a16="http://schemas.microsoft.com/office/drawing/2014/main" id="{00000000-0008-0000-0A00-0000A4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</xdr:row>
      <xdr:rowOff>39688</xdr:rowOff>
    </xdr:from>
    <xdr:to>
      <xdr:col>171</xdr:col>
      <xdr:colOff>460375</xdr:colOff>
      <xdr:row>4</xdr:row>
      <xdr:rowOff>293688</xdr:rowOff>
    </xdr:to>
    <xdr:pic>
      <xdr:nvPicPr>
        <xdr:cNvPr id="55207" name="Picture 55206">
          <a:extLst>
            <a:ext uri="{FF2B5EF4-FFF2-40B4-BE49-F238E27FC236}">
              <a16:creationId xmlns:a16="http://schemas.microsoft.com/office/drawing/2014/main" id="{00000000-0008-0000-0A00-0000A7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</xdr:row>
      <xdr:rowOff>39688</xdr:rowOff>
    </xdr:from>
    <xdr:to>
      <xdr:col>147</xdr:col>
      <xdr:colOff>460375</xdr:colOff>
      <xdr:row>4</xdr:row>
      <xdr:rowOff>293688</xdr:rowOff>
    </xdr:to>
    <xdr:pic>
      <xdr:nvPicPr>
        <xdr:cNvPr id="55210" name="Picture 55209">
          <a:extLst>
            <a:ext uri="{FF2B5EF4-FFF2-40B4-BE49-F238E27FC236}">
              <a16:creationId xmlns:a16="http://schemas.microsoft.com/office/drawing/2014/main" id="{00000000-0008-0000-0A00-0000AA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</xdr:row>
      <xdr:rowOff>39688</xdr:rowOff>
    </xdr:from>
    <xdr:to>
      <xdr:col>159</xdr:col>
      <xdr:colOff>460375</xdr:colOff>
      <xdr:row>4</xdr:row>
      <xdr:rowOff>293688</xdr:rowOff>
    </xdr:to>
    <xdr:pic>
      <xdr:nvPicPr>
        <xdr:cNvPr id="55213" name="Picture 55212">
          <a:extLst>
            <a:ext uri="{FF2B5EF4-FFF2-40B4-BE49-F238E27FC236}">
              <a16:creationId xmlns:a16="http://schemas.microsoft.com/office/drawing/2014/main" id="{00000000-0008-0000-0A00-0000AD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</xdr:row>
      <xdr:rowOff>39688</xdr:rowOff>
    </xdr:from>
    <xdr:to>
      <xdr:col>135</xdr:col>
      <xdr:colOff>460375</xdr:colOff>
      <xdr:row>4</xdr:row>
      <xdr:rowOff>293688</xdr:rowOff>
    </xdr:to>
    <xdr:pic>
      <xdr:nvPicPr>
        <xdr:cNvPr id="55216" name="Picture 55215">
          <a:extLst>
            <a:ext uri="{FF2B5EF4-FFF2-40B4-BE49-F238E27FC236}">
              <a16:creationId xmlns:a16="http://schemas.microsoft.com/office/drawing/2014/main" id="{00000000-0008-0000-0A00-0000B0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63036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5</xdr:row>
      <xdr:rowOff>39688</xdr:rowOff>
    </xdr:from>
    <xdr:to>
      <xdr:col>195</xdr:col>
      <xdr:colOff>460375</xdr:colOff>
      <xdr:row>5</xdr:row>
      <xdr:rowOff>293688</xdr:rowOff>
    </xdr:to>
    <xdr:pic>
      <xdr:nvPicPr>
        <xdr:cNvPr id="55219" name="Picture 55218">
          <a:extLst>
            <a:ext uri="{FF2B5EF4-FFF2-40B4-BE49-F238E27FC236}">
              <a16:creationId xmlns:a16="http://schemas.microsoft.com/office/drawing/2014/main" id="{00000000-0008-0000-0A00-0000B3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5</xdr:row>
      <xdr:rowOff>39688</xdr:rowOff>
    </xdr:from>
    <xdr:to>
      <xdr:col>159</xdr:col>
      <xdr:colOff>460375</xdr:colOff>
      <xdr:row>5</xdr:row>
      <xdr:rowOff>293688</xdr:rowOff>
    </xdr:to>
    <xdr:pic>
      <xdr:nvPicPr>
        <xdr:cNvPr id="55222" name="Picture 55221">
          <a:extLst>
            <a:ext uri="{FF2B5EF4-FFF2-40B4-BE49-F238E27FC236}">
              <a16:creationId xmlns:a16="http://schemas.microsoft.com/office/drawing/2014/main" id="{00000000-0008-0000-0A00-0000B6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5</xdr:row>
      <xdr:rowOff>39688</xdr:rowOff>
    </xdr:from>
    <xdr:to>
      <xdr:col>39</xdr:col>
      <xdr:colOff>460375</xdr:colOff>
      <xdr:row>5</xdr:row>
      <xdr:rowOff>293688</xdr:rowOff>
    </xdr:to>
    <xdr:pic>
      <xdr:nvPicPr>
        <xdr:cNvPr id="55225" name="Picture 55224">
          <a:extLst>
            <a:ext uri="{FF2B5EF4-FFF2-40B4-BE49-F238E27FC236}">
              <a16:creationId xmlns:a16="http://schemas.microsoft.com/office/drawing/2014/main" id="{00000000-0008-0000-0A00-0000B9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5</xdr:row>
      <xdr:rowOff>39688</xdr:rowOff>
    </xdr:from>
    <xdr:to>
      <xdr:col>87</xdr:col>
      <xdr:colOff>460375</xdr:colOff>
      <xdr:row>5</xdr:row>
      <xdr:rowOff>293688</xdr:rowOff>
    </xdr:to>
    <xdr:pic>
      <xdr:nvPicPr>
        <xdr:cNvPr id="55228" name="Picture 55227">
          <a:extLst>
            <a:ext uri="{FF2B5EF4-FFF2-40B4-BE49-F238E27FC236}">
              <a16:creationId xmlns:a16="http://schemas.microsoft.com/office/drawing/2014/main" id="{00000000-0008-0000-0A00-0000BC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5</xdr:row>
      <xdr:rowOff>39688</xdr:rowOff>
    </xdr:from>
    <xdr:to>
      <xdr:col>51</xdr:col>
      <xdr:colOff>460375</xdr:colOff>
      <xdr:row>5</xdr:row>
      <xdr:rowOff>293688</xdr:rowOff>
    </xdr:to>
    <xdr:pic>
      <xdr:nvPicPr>
        <xdr:cNvPr id="55231" name="Picture 55230">
          <a:extLst>
            <a:ext uri="{FF2B5EF4-FFF2-40B4-BE49-F238E27FC236}">
              <a16:creationId xmlns:a16="http://schemas.microsoft.com/office/drawing/2014/main" id="{00000000-0008-0000-0A00-0000BF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5</xdr:row>
      <xdr:rowOff>39688</xdr:rowOff>
    </xdr:from>
    <xdr:to>
      <xdr:col>111</xdr:col>
      <xdr:colOff>460375</xdr:colOff>
      <xdr:row>5</xdr:row>
      <xdr:rowOff>293688</xdr:rowOff>
    </xdr:to>
    <xdr:pic>
      <xdr:nvPicPr>
        <xdr:cNvPr id="55234" name="Picture 55233">
          <a:extLst>
            <a:ext uri="{FF2B5EF4-FFF2-40B4-BE49-F238E27FC236}">
              <a16:creationId xmlns:a16="http://schemas.microsoft.com/office/drawing/2014/main" id="{00000000-0008-0000-0A00-0000C2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5</xdr:row>
      <xdr:rowOff>39688</xdr:rowOff>
    </xdr:from>
    <xdr:to>
      <xdr:col>63</xdr:col>
      <xdr:colOff>460375</xdr:colOff>
      <xdr:row>5</xdr:row>
      <xdr:rowOff>293688</xdr:rowOff>
    </xdr:to>
    <xdr:pic>
      <xdr:nvPicPr>
        <xdr:cNvPr id="55237" name="Picture 55236">
          <a:extLst>
            <a:ext uri="{FF2B5EF4-FFF2-40B4-BE49-F238E27FC236}">
              <a16:creationId xmlns:a16="http://schemas.microsoft.com/office/drawing/2014/main" id="{00000000-0008-0000-0A00-0000C5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5</xdr:row>
      <xdr:rowOff>39688</xdr:rowOff>
    </xdr:from>
    <xdr:to>
      <xdr:col>123</xdr:col>
      <xdr:colOff>460375</xdr:colOff>
      <xdr:row>5</xdr:row>
      <xdr:rowOff>293688</xdr:rowOff>
    </xdr:to>
    <xdr:pic>
      <xdr:nvPicPr>
        <xdr:cNvPr id="55240" name="Picture 55239">
          <a:extLst>
            <a:ext uri="{FF2B5EF4-FFF2-40B4-BE49-F238E27FC236}">
              <a16:creationId xmlns:a16="http://schemas.microsoft.com/office/drawing/2014/main" id="{00000000-0008-0000-0A00-0000C8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5</xdr:row>
      <xdr:rowOff>39688</xdr:rowOff>
    </xdr:from>
    <xdr:to>
      <xdr:col>135</xdr:col>
      <xdr:colOff>460375</xdr:colOff>
      <xdr:row>5</xdr:row>
      <xdr:rowOff>293688</xdr:rowOff>
    </xdr:to>
    <xdr:pic>
      <xdr:nvPicPr>
        <xdr:cNvPr id="55243" name="Picture 55242">
          <a:extLst>
            <a:ext uri="{FF2B5EF4-FFF2-40B4-BE49-F238E27FC236}">
              <a16:creationId xmlns:a16="http://schemas.microsoft.com/office/drawing/2014/main" id="{00000000-0008-0000-0A00-0000CB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5</xdr:row>
      <xdr:rowOff>39688</xdr:rowOff>
    </xdr:from>
    <xdr:to>
      <xdr:col>27</xdr:col>
      <xdr:colOff>460375</xdr:colOff>
      <xdr:row>5</xdr:row>
      <xdr:rowOff>293688</xdr:rowOff>
    </xdr:to>
    <xdr:pic>
      <xdr:nvPicPr>
        <xdr:cNvPr id="55246" name="Picture 55245">
          <a:extLst>
            <a:ext uri="{FF2B5EF4-FFF2-40B4-BE49-F238E27FC236}">
              <a16:creationId xmlns:a16="http://schemas.microsoft.com/office/drawing/2014/main" id="{00000000-0008-0000-0A00-0000CE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5</xdr:row>
      <xdr:rowOff>39688</xdr:rowOff>
    </xdr:from>
    <xdr:to>
      <xdr:col>147</xdr:col>
      <xdr:colOff>460375</xdr:colOff>
      <xdr:row>5</xdr:row>
      <xdr:rowOff>293688</xdr:rowOff>
    </xdr:to>
    <xdr:pic>
      <xdr:nvPicPr>
        <xdr:cNvPr id="55249" name="Picture 55248">
          <a:extLst>
            <a:ext uri="{FF2B5EF4-FFF2-40B4-BE49-F238E27FC236}">
              <a16:creationId xmlns:a16="http://schemas.microsoft.com/office/drawing/2014/main" id="{00000000-0008-0000-0A00-0000D1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5</xdr:row>
      <xdr:rowOff>39688</xdr:rowOff>
    </xdr:from>
    <xdr:to>
      <xdr:col>75</xdr:col>
      <xdr:colOff>460375</xdr:colOff>
      <xdr:row>5</xdr:row>
      <xdr:rowOff>293688</xdr:rowOff>
    </xdr:to>
    <xdr:pic>
      <xdr:nvPicPr>
        <xdr:cNvPr id="55252" name="Picture 55251">
          <a:extLst>
            <a:ext uri="{FF2B5EF4-FFF2-40B4-BE49-F238E27FC236}">
              <a16:creationId xmlns:a16="http://schemas.microsoft.com/office/drawing/2014/main" id="{00000000-0008-0000-0A00-0000D4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5</xdr:row>
      <xdr:rowOff>39688</xdr:rowOff>
    </xdr:from>
    <xdr:to>
      <xdr:col>3</xdr:col>
      <xdr:colOff>460375</xdr:colOff>
      <xdr:row>5</xdr:row>
      <xdr:rowOff>293688</xdr:rowOff>
    </xdr:to>
    <xdr:pic>
      <xdr:nvPicPr>
        <xdr:cNvPr id="55255" name="Picture 55254">
          <a:extLst>
            <a:ext uri="{FF2B5EF4-FFF2-40B4-BE49-F238E27FC236}">
              <a16:creationId xmlns:a16="http://schemas.microsoft.com/office/drawing/2014/main" id="{00000000-0008-0000-0A00-0000D7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5</xdr:row>
      <xdr:rowOff>39688</xdr:rowOff>
    </xdr:from>
    <xdr:to>
      <xdr:col>99</xdr:col>
      <xdr:colOff>460375</xdr:colOff>
      <xdr:row>5</xdr:row>
      <xdr:rowOff>293688</xdr:rowOff>
    </xdr:to>
    <xdr:pic>
      <xdr:nvPicPr>
        <xdr:cNvPr id="55258" name="Picture 55257">
          <a:extLst>
            <a:ext uri="{FF2B5EF4-FFF2-40B4-BE49-F238E27FC236}">
              <a16:creationId xmlns:a16="http://schemas.microsoft.com/office/drawing/2014/main" id="{00000000-0008-0000-0A00-0000DA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5</xdr:row>
      <xdr:rowOff>39688</xdr:rowOff>
    </xdr:from>
    <xdr:to>
      <xdr:col>15</xdr:col>
      <xdr:colOff>460375</xdr:colOff>
      <xdr:row>5</xdr:row>
      <xdr:rowOff>293688</xdr:rowOff>
    </xdr:to>
    <xdr:pic>
      <xdr:nvPicPr>
        <xdr:cNvPr id="55261" name="Picture 55260">
          <a:extLst>
            <a:ext uri="{FF2B5EF4-FFF2-40B4-BE49-F238E27FC236}">
              <a16:creationId xmlns:a16="http://schemas.microsoft.com/office/drawing/2014/main" id="{00000000-0008-0000-0A00-0000DD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5</xdr:row>
      <xdr:rowOff>39688</xdr:rowOff>
    </xdr:from>
    <xdr:to>
      <xdr:col>219</xdr:col>
      <xdr:colOff>460375</xdr:colOff>
      <xdr:row>5</xdr:row>
      <xdr:rowOff>293688</xdr:rowOff>
    </xdr:to>
    <xdr:pic>
      <xdr:nvPicPr>
        <xdr:cNvPr id="55264" name="Picture 55263">
          <a:extLst>
            <a:ext uri="{FF2B5EF4-FFF2-40B4-BE49-F238E27FC236}">
              <a16:creationId xmlns:a16="http://schemas.microsoft.com/office/drawing/2014/main" id="{00000000-0008-0000-0A00-0000E0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5</xdr:row>
      <xdr:rowOff>39688</xdr:rowOff>
    </xdr:from>
    <xdr:to>
      <xdr:col>231</xdr:col>
      <xdr:colOff>460375</xdr:colOff>
      <xdr:row>5</xdr:row>
      <xdr:rowOff>293688</xdr:rowOff>
    </xdr:to>
    <xdr:pic>
      <xdr:nvPicPr>
        <xdr:cNvPr id="55267" name="Picture 55266">
          <a:extLst>
            <a:ext uri="{FF2B5EF4-FFF2-40B4-BE49-F238E27FC236}">
              <a16:creationId xmlns:a16="http://schemas.microsoft.com/office/drawing/2014/main" id="{00000000-0008-0000-0A00-0000E3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5</xdr:row>
      <xdr:rowOff>39688</xdr:rowOff>
    </xdr:from>
    <xdr:to>
      <xdr:col>171</xdr:col>
      <xdr:colOff>460375</xdr:colOff>
      <xdr:row>5</xdr:row>
      <xdr:rowOff>293688</xdr:rowOff>
    </xdr:to>
    <xdr:pic>
      <xdr:nvPicPr>
        <xdr:cNvPr id="55270" name="Picture 55269">
          <a:extLst>
            <a:ext uri="{FF2B5EF4-FFF2-40B4-BE49-F238E27FC236}">
              <a16:creationId xmlns:a16="http://schemas.microsoft.com/office/drawing/2014/main" id="{00000000-0008-0000-0A00-0000E6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5</xdr:row>
      <xdr:rowOff>39688</xdr:rowOff>
    </xdr:from>
    <xdr:to>
      <xdr:col>183</xdr:col>
      <xdr:colOff>460375</xdr:colOff>
      <xdr:row>5</xdr:row>
      <xdr:rowOff>293688</xdr:rowOff>
    </xdr:to>
    <xdr:pic>
      <xdr:nvPicPr>
        <xdr:cNvPr id="55273" name="Picture 55272">
          <a:extLst>
            <a:ext uri="{FF2B5EF4-FFF2-40B4-BE49-F238E27FC236}">
              <a16:creationId xmlns:a16="http://schemas.microsoft.com/office/drawing/2014/main" id="{00000000-0008-0000-0A00-0000E9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5</xdr:row>
      <xdr:rowOff>39688</xdr:rowOff>
    </xdr:from>
    <xdr:to>
      <xdr:col>207</xdr:col>
      <xdr:colOff>460375</xdr:colOff>
      <xdr:row>5</xdr:row>
      <xdr:rowOff>293688</xdr:rowOff>
    </xdr:to>
    <xdr:pic>
      <xdr:nvPicPr>
        <xdr:cNvPr id="55276" name="Picture 55275">
          <a:extLst>
            <a:ext uri="{FF2B5EF4-FFF2-40B4-BE49-F238E27FC236}">
              <a16:creationId xmlns:a16="http://schemas.microsoft.com/office/drawing/2014/main" id="{00000000-0008-0000-0A00-0000EC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96373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6</xdr:row>
      <xdr:rowOff>39688</xdr:rowOff>
    </xdr:from>
    <xdr:to>
      <xdr:col>75</xdr:col>
      <xdr:colOff>460375</xdr:colOff>
      <xdr:row>6</xdr:row>
      <xdr:rowOff>293688</xdr:rowOff>
    </xdr:to>
    <xdr:pic>
      <xdr:nvPicPr>
        <xdr:cNvPr id="55279" name="Picture 55278">
          <a:extLst>
            <a:ext uri="{FF2B5EF4-FFF2-40B4-BE49-F238E27FC236}">
              <a16:creationId xmlns:a16="http://schemas.microsoft.com/office/drawing/2014/main" id="{00000000-0008-0000-0A00-0000EF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6</xdr:row>
      <xdr:rowOff>39688</xdr:rowOff>
    </xdr:from>
    <xdr:to>
      <xdr:col>39</xdr:col>
      <xdr:colOff>460375</xdr:colOff>
      <xdr:row>6</xdr:row>
      <xdr:rowOff>293688</xdr:rowOff>
    </xdr:to>
    <xdr:pic>
      <xdr:nvPicPr>
        <xdr:cNvPr id="55282" name="Picture 55281">
          <a:extLst>
            <a:ext uri="{FF2B5EF4-FFF2-40B4-BE49-F238E27FC236}">
              <a16:creationId xmlns:a16="http://schemas.microsoft.com/office/drawing/2014/main" id="{00000000-0008-0000-0A00-0000F2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6</xdr:row>
      <xdr:rowOff>39688</xdr:rowOff>
    </xdr:from>
    <xdr:to>
      <xdr:col>99</xdr:col>
      <xdr:colOff>460375</xdr:colOff>
      <xdr:row>6</xdr:row>
      <xdr:rowOff>293688</xdr:rowOff>
    </xdr:to>
    <xdr:pic>
      <xdr:nvPicPr>
        <xdr:cNvPr id="55285" name="Picture 55284">
          <a:extLst>
            <a:ext uri="{FF2B5EF4-FFF2-40B4-BE49-F238E27FC236}">
              <a16:creationId xmlns:a16="http://schemas.microsoft.com/office/drawing/2014/main" id="{00000000-0008-0000-0A00-0000F5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6</xdr:row>
      <xdr:rowOff>39688</xdr:rowOff>
    </xdr:from>
    <xdr:to>
      <xdr:col>51</xdr:col>
      <xdr:colOff>460375</xdr:colOff>
      <xdr:row>6</xdr:row>
      <xdr:rowOff>293688</xdr:rowOff>
    </xdr:to>
    <xdr:pic>
      <xdr:nvPicPr>
        <xdr:cNvPr id="55288" name="Picture 55287">
          <a:extLst>
            <a:ext uri="{FF2B5EF4-FFF2-40B4-BE49-F238E27FC236}">
              <a16:creationId xmlns:a16="http://schemas.microsoft.com/office/drawing/2014/main" id="{00000000-0008-0000-0A00-0000F8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6</xdr:row>
      <xdr:rowOff>39688</xdr:rowOff>
    </xdr:from>
    <xdr:to>
      <xdr:col>195</xdr:col>
      <xdr:colOff>460375</xdr:colOff>
      <xdr:row>6</xdr:row>
      <xdr:rowOff>293688</xdr:rowOff>
    </xdr:to>
    <xdr:pic>
      <xdr:nvPicPr>
        <xdr:cNvPr id="55291" name="Picture 55290">
          <a:extLst>
            <a:ext uri="{FF2B5EF4-FFF2-40B4-BE49-F238E27FC236}">
              <a16:creationId xmlns:a16="http://schemas.microsoft.com/office/drawing/2014/main" id="{00000000-0008-0000-0A00-0000FB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6</xdr:row>
      <xdr:rowOff>39688</xdr:rowOff>
    </xdr:from>
    <xdr:to>
      <xdr:col>63</xdr:col>
      <xdr:colOff>460375</xdr:colOff>
      <xdr:row>6</xdr:row>
      <xdr:rowOff>293688</xdr:rowOff>
    </xdr:to>
    <xdr:pic>
      <xdr:nvPicPr>
        <xdr:cNvPr id="55294" name="Picture 55293">
          <a:extLst>
            <a:ext uri="{FF2B5EF4-FFF2-40B4-BE49-F238E27FC236}">
              <a16:creationId xmlns:a16="http://schemas.microsoft.com/office/drawing/2014/main" id="{00000000-0008-0000-0A00-0000FE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6</xdr:row>
      <xdr:rowOff>39688</xdr:rowOff>
    </xdr:from>
    <xdr:to>
      <xdr:col>111</xdr:col>
      <xdr:colOff>460375</xdr:colOff>
      <xdr:row>6</xdr:row>
      <xdr:rowOff>293688</xdr:rowOff>
    </xdr:to>
    <xdr:pic>
      <xdr:nvPicPr>
        <xdr:cNvPr id="52993" name="Picture 52992">
          <a:extLst>
            <a:ext uri="{FF2B5EF4-FFF2-40B4-BE49-F238E27FC236}">
              <a16:creationId xmlns:a16="http://schemas.microsoft.com/office/drawing/2014/main" id="{00000000-0008-0000-0A00-000001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6</xdr:row>
      <xdr:rowOff>39688</xdr:rowOff>
    </xdr:from>
    <xdr:to>
      <xdr:col>87</xdr:col>
      <xdr:colOff>460375</xdr:colOff>
      <xdr:row>6</xdr:row>
      <xdr:rowOff>293688</xdr:rowOff>
    </xdr:to>
    <xdr:pic>
      <xdr:nvPicPr>
        <xdr:cNvPr id="52996" name="Picture 52995">
          <a:extLst>
            <a:ext uri="{FF2B5EF4-FFF2-40B4-BE49-F238E27FC236}">
              <a16:creationId xmlns:a16="http://schemas.microsoft.com/office/drawing/2014/main" id="{00000000-0008-0000-0A00-000004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6</xdr:row>
      <xdr:rowOff>39688</xdr:rowOff>
    </xdr:from>
    <xdr:to>
      <xdr:col>3</xdr:col>
      <xdr:colOff>460375</xdr:colOff>
      <xdr:row>6</xdr:row>
      <xdr:rowOff>293688</xdr:rowOff>
    </xdr:to>
    <xdr:pic>
      <xdr:nvPicPr>
        <xdr:cNvPr id="52999" name="Picture 52998">
          <a:extLst>
            <a:ext uri="{FF2B5EF4-FFF2-40B4-BE49-F238E27FC236}">
              <a16:creationId xmlns:a16="http://schemas.microsoft.com/office/drawing/2014/main" id="{00000000-0008-0000-0A00-000007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6</xdr:row>
      <xdr:rowOff>39688</xdr:rowOff>
    </xdr:from>
    <xdr:to>
      <xdr:col>15</xdr:col>
      <xdr:colOff>460375</xdr:colOff>
      <xdr:row>6</xdr:row>
      <xdr:rowOff>293688</xdr:rowOff>
    </xdr:to>
    <xdr:pic>
      <xdr:nvPicPr>
        <xdr:cNvPr id="53002" name="Picture 53001">
          <a:extLst>
            <a:ext uri="{FF2B5EF4-FFF2-40B4-BE49-F238E27FC236}">
              <a16:creationId xmlns:a16="http://schemas.microsoft.com/office/drawing/2014/main" id="{00000000-0008-0000-0A00-00000A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6</xdr:row>
      <xdr:rowOff>39688</xdr:rowOff>
    </xdr:from>
    <xdr:to>
      <xdr:col>27</xdr:col>
      <xdr:colOff>460375</xdr:colOff>
      <xdr:row>6</xdr:row>
      <xdr:rowOff>293688</xdr:rowOff>
    </xdr:to>
    <xdr:pic>
      <xdr:nvPicPr>
        <xdr:cNvPr id="53005" name="Picture 53004">
          <a:extLst>
            <a:ext uri="{FF2B5EF4-FFF2-40B4-BE49-F238E27FC236}">
              <a16:creationId xmlns:a16="http://schemas.microsoft.com/office/drawing/2014/main" id="{00000000-0008-0000-0A00-00000D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6</xdr:row>
      <xdr:rowOff>39688</xdr:rowOff>
    </xdr:from>
    <xdr:to>
      <xdr:col>231</xdr:col>
      <xdr:colOff>460375</xdr:colOff>
      <xdr:row>6</xdr:row>
      <xdr:rowOff>293688</xdr:rowOff>
    </xdr:to>
    <xdr:pic>
      <xdr:nvPicPr>
        <xdr:cNvPr id="53008" name="Picture 53007">
          <a:extLst>
            <a:ext uri="{FF2B5EF4-FFF2-40B4-BE49-F238E27FC236}">
              <a16:creationId xmlns:a16="http://schemas.microsoft.com/office/drawing/2014/main" id="{00000000-0008-0000-0A00-000010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6</xdr:row>
      <xdr:rowOff>39688</xdr:rowOff>
    </xdr:from>
    <xdr:to>
      <xdr:col>147</xdr:col>
      <xdr:colOff>460375</xdr:colOff>
      <xdr:row>6</xdr:row>
      <xdr:rowOff>293688</xdr:rowOff>
    </xdr:to>
    <xdr:pic>
      <xdr:nvPicPr>
        <xdr:cNvPr id="53011" name="Picture 53010">
          <a:extLst>
            <a:ext uri="{FF2B5EF4-FFF2-40B4-BE49-F238E27FC236}">
              <a16:creationId xmlns:a16="http://schemas.microsoft.com/office/drawing/2014/main" id="{00000000-0008-0000-0A00-000013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6</xdr:row>
      <xdr:rowOff>39688</xdr:rowOff>
    </xdr:from>
    <xdr:to>
      <xdr:col>183</xdr:col>
      <xdr:colOff>460375</xdr:colOff>
      <xdr:row>6</xdr:row>
      <xdr:rowOff>293688</xdr:rowOff>
    </xdr:to>
    <xdr:pic>
      <xdr:nvPicPr>
        <xdr:cNvPr id="53014" name="Picture 53013">
          <a:extLst>
            <a:ext uri="{FF2B5EF4-FFF2-40B4-BE49-F238E27FC236}">
              <a16:creationId xmlns:a16="http://schemas.microsoft.com/office/drawing/2014/main" id="{00000000-0008-0000-0A00-000016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6</xdr:row>
      <xdr:rowOff>39688</xdr:rowOff>
    </xdr:from>
    <xdr:to>
      <xdr:col>219</xdr:col>
      <xdr:colOff>460375</xdr:colOff>
      <xdr:row>6</xdr:row>
      <xdr:rowOff>293688</xdr:rowOff>
    </xdr:to>
    <xdr:pic>
      <xdr:nvPicPr>
        <xdr:cNvPr id="53017" name="Picture 53016">
          <a:extLst>
            <a:ext uri="{FF2B5EF4-FFF2-40B4-BE49-F238E27FC236}">
              <a16:creationId xmlns:a16="http://schemas.microsoft.com/office/drawing/2014/main" id="{00000000-0008-0000-0A00-000019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6</xdr:row>
      <xdr:rowOff>39688</xdr:rowOff>
    </xdr:from>
    <xdr:to>
      <xdr:col>207</xdr:col>
      <xdr:colOff>460375</xdr:colOff>
      <xdr:row>6</xdr:row>
      <xdr:rowOff>293688</xdr:rowOff>
    </xdr:to>
    <xdr:pic>
      <xdr:nvPicPr>
        <xdr:cNvPr id="53020" name="Picture 53019">
          <a:extLst>
            <a:ext uri="{FF2B5EF4-FFF2-40B4-BE49-F238E27FC236}">
              <a16:creationId xmlns:a16="http://schemas.microsoft.com/office/drawing/2014/main" id="{00000000-0008-0000-0A00-00001C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6</xdr:row>
      <xdr:rowOff>39688</xdr:rowOff>
    </xdr:from>
    <xdr:to>
      <xdr:col>135</xdr:col>
      <xdr:colOff>460375</xdr:colOff>
      <xdr:row>6</xdr:row>
      <xdr:rowOff>293688</xdr:rowOff>
    </xdr:to>
    <xdr:pic>
      <xdr:nvPicPr>
        <xdr:cNvPr id="53023" name="Picture 53022">
          <a:extLst>
            <a:ext uri="{FF2B5EF4-FFF2-40B4-BE49-F238E27FC236}">
              <a16:creationId xmlns:a16="http://schemas.microsoft.com/office/drawing/2014/main" id="{00000000-0008-0000-0A00-00001F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6</xdr:row>
      <xdr:rowOff>39688</xdr:rowOff>
    </xdr:from>
    <xdr:to>
      <xdr:col>171</xdr:col>
      <xdr:colOff>460375</xdr:colOff>
      <xdr:row>6</xdr:row>
      <xdr:rowOff>293688</xdr:rowOff>
    </xdr:to>
    <xdr:pic>
      <xdr:nvPicPr>
        <xdr:cNvPr id="53026" name="Picture 53025">
          <a:extLst>
            <a:ext uri="{FF2B5EF4-FFF2-40B4-BE49-F238E27FC236}">
              <a16:creationId xmlns:a16="http://schemas.microsoft.com/office/drawing/2014/main" id="{00000000-0008-0000-0A00-000022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2297113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7</xdr:row>
      <xdr:rowOff>39688</xdr:rowOff>
    </xdr:from>
    <xdr:to>
      <xdr:col>123</xdr:col>
      <xdr:colOff>460375</xdr:colOff>
      <xdr:row>7</xdr:row>
      <xdr:rowOff>293688</xdr:rowOff>
    </xdr:to>
    <xdr:pic>
      <xdr:nvPicPr>
        <xdr:cNvPr id="53029" name="Picture 53028">
          <a:extLst>
            <a:ext uri="{FF2B5EF4-FFF2-40B4-BE49-F238E27FC236}">
              <a16:creationId xmlns:a16="http://schemas.microsoft.com/office/drawing/2014/main" id="{00000000-0008-0000-0A00-000025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263048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7</xdr:row>
      <xdr:rowOff>39688</xdr:rowOff>
    </xdr:from>
    <xdr:to>
      <xdr:col>159</xdr:col>
      <xdr:colOff>460375</xdr:colOff>
      <xdr:row>7</xdr:row>
      <xdr:rowOff>293688</xdr:rowOff>
    </xdr:to>
    <xdr:pic>
      <xdr:nvPicPr>
        <xdr:cNvPr id="53032" name="Picture 53031">
          <a:extLst>
            <a:ext uri="{FF2B5EF4-FFF2-40B4-BE49-F238E27FC236}">
              <a16:creationId xmlns:a16="http://schemas.microsoft.com/office/drawing/2014/main" id="{00000000-0008-0000-0A00-000028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263048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8</xdr:row>
      <xdr:rowOff>39688</xdr:rowOff>
    </xdr:from>
    <xdr:to>
      <xdr:col>87</xdr:col>
      <xdr:colOff>460375</xdr:colOff>
      <xdr:row>8</xdr:row>
      <xdr:rowOff>293688</xdr:rowOff>
    </xdr:to>
    <xdr:pic>
      <xdr:nvPicPr>
        <xdr:cNvPr id="53035" name="Picture 53034">
          <a:extLst>
            <a:ext uri="{FF2B5EF4-FFF2-40B4-BE49-F238E27FC236}">
              <a16:creationId xmlns:a16="http://schemas.microsoft.com/office/drawing/2014/main" id="{00000000-0008-0000-0A00-00002B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8</xdr:row>
      <xdr:rowOff>39688</xdr:rowOff>
    </xdr:from>
    <xdr:to>
      <xdr:col>135</xdr:col>
      <xdr:colOff>460375</xdr:colOff>
      <xdr:row>8</xdr:row>
      <xdr:rowOff>293688</xdr:rowOff>
    </xdr:to>
    <xdr:pic>
      <xdr:nvPicPr>
        <xdr:cNvPr id="53038" name="Picture 53037">
          <a:extLst>
            <a:ext uri="{FF2B5EF4-FFF2-40B4-BE49-F238E27FC236}">
              <a16:creationId xmlns:a16="http://schemas.microsoft.com/office/drawing/2014/main" id="{00000000-0008-0000-0A00-00002E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8</xdr:row>
      <xdr:rowOff>39688</xdr:rowOff>
    </xdr:from>
    <xdr:to>
      <xdr:col>39</xdr:col>
      <xdr:colOff>460375</xdr:colOff>
      <xdr:row>8</xdr:row>
      <xdr:rowOff>293688</xdr:rowOff>
    </xdr:to>
    <xdr:pic>
      <xdr:nvPicPr>
        <xdr:cNvPr id="53041" name="Picture 53040">
          <a:extLst>
            <a:ext uri="{FF2B5EF4-FFF2-40B4-BE49-F238E27FC236}">
              <a16:creationId xmlns:a16="http://schemas.microsoft.com/office/drawing/2014/main" id="{00000000-0008-0000-0A00-000031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8</xdr:row>
      <xdr:rowOff>39688</xdr:rowOff>
    </xdr:from>
    <xdr:to>
      <xdr:col>111</xdr:col>
      <xdr:colOff>460375</xdr:colOff>
      <xdr:row>8</xdr:row>
      <xdr:rowOff>293688</xdr:rowOff>
    </xdr:to>
    <xdr:pic>
      <xdr:nvPicPr>
        <xdr:cNvPr id="53044" name="Picture 53043">
          <a:extLst>
            <a:ext uri="{FF2B5EF4-FFF2-40B4-BE49-F238E27FC236}">
              <a16:creationId xmlns:a16="http://schemas.microsoft.com/office/drawing/2014/main" id="{00000000-0008-0000-0A00-000034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8</xdr:row>
      <xdr:rowOff>39688</xdr:rowOff>
    </xdr:from>
    <xdr:to>
      <xdr:col>63</xdr:col>
      <xdr:colOff>460375</xdr:colOff>
      <xdr:row>8</xdr:row>
      <xdr:rowOff>293688</xdr:rowOff>
    </xdr:to>
    <xdr:pic>
      <xdr:nvPicPr>
        <xdr:cNvPr id="53047" name="Picture 53046">
          <a:extLst>
            <a:ext uri="{FF2B5EF4-FFF2-40B4-BE49-F238E27FC236}">
              <a16:creationId xmlns:a16="http://schemas.microsoft.com/office/drawing/2014/main" id="{00000000-0008-0000-0A00-000037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8</xdr:row>
      <xdr:rowOff>39688</xdr:rowOff>
    </xdr:from>
    <xdr:to>
      <xdr:col>219</xdr:col>
      <xdr:colOff>460375</xdr:colOff>
      <xdr:row>8</xdr:row>
      <xdr:rowOff>293688</xdr:rowOff>
    </xdr:to>
    <xdr:pic>
      <xdr:nvPicPr>
        <xdr:cNvPr id="53050" name="Picture 53049">
          <a:extLst>
            <a:ext uri="{FF2B5EF4-FFF2-40B4-BE49-F238E27FC236}">
              <a16:creationId xmlns:a16="http://schemas.microsoft.com/office/drawing/2014/main" id="{00000000-0008-0000-0A00-00003A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8</xdr:row>
      <xdr:rowOff>39688</xdr:rowOff>
    </xdr:from>
    <xdr:to>
      <xdr:col>171</xdr:col>
      <xdr:colOff>460375</xdr:colOff>
      <xdr:row>8</xdr:row>
      <xdr:rowOff>293688</xdr:rowOff>
    </xdr:to>
    <xdr:pic>
      <xdr:nvPicPr>
        <xdr:cNvPr id="53053" name="Picture 53052">
          <a:extLst>
            <a:ext uri="{FF2B5EF4-FFF2-40B4-BE49-F238E27FC236}">
              <a16:creationId xmlns:a16="http://schemas.microsoft.com/office/drawing/2014/main" id="{00000000-0008-0000-0A00-00003D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8</xdr:row>
      <xdr:rowOff>39688</xdr:rowOff>
    </xdr:from>
    <xdr:to>
      <xdr:col>75</xdr:col>
      <xdr:colOff>460375</xdr:colOff>
      <xdr:row>8</xdr:row>
      <xdr:rowOff>293688</xdr:rowOff>
    </xdr:to>
    <xdr:pic>
      <xdr:nvPicPr>
        <xdr:cNvPr id="53056" name="Picture 53055">
          <a:extLst>
            <a:ext uri="{FF2B5EF4-FFF2-40B4-BE49-F238E27FC236}">
              <a16:creationId xmlns:a16="http://schemas.microsoft.com/office/drawing/2014/main" id="{00000000-0008-0000-0A00-000040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8</xdr:row>
      <xdr:rowOff>39688</xdr:rowOff>
    </xdr:from>
    <xdr:to>
      <xdr:col>183</xdr:col>
      <xdr:colOff>460375</xdr:colOff>
      <xdr:row>8</xdr:row>
      <xdr:rowOff>293688</xdr:rowOff>
    </xdr:to>
    <xdr:pic>
      <xdr:nvPicPr>
        <xdr:cNvPr id="53059" name="Picture 53058">
          <a:extLst>
            <a:ext uri="{FF2B5EF4-FFF2-40B4-BE49-F238E27FC236}">
              <a16:creationId xmlns:a16="http://schemas.microsoft.com/office/drawing/2014/main" id="{00000000-0008-0000-0A00-000043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8</xdr:row>
      <xdr:rowOff>39688</xdr:rowOff>
    </xdr:from>
    <xdr:to>
      <xdr:col>27</xdr:col>
      <xdr:colOff>460375</xdr:colOff>
      <xdr:row>8</xdr:row>
      <xdr:rowOff>293688</xdr:rowOff>
    </xdr:to>
    <xdr:pic>
      <xdr:nvPicPr>
        <xdr:cNvPr id="53062" name="Picture 53061">
          <a:extLst>
            <a:ext uri="{FF2B5EF4-FFF2-40B4-BE49-F238E27FC236}">
              <a16:creationId xmlns:a16="http://schemas.microsoft.com/office/drawing/2014/main" id="{00000000-0008-0000-0A00-000046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8</xdr:row>
      <xdr:rowOff>39688</xdr:rowOff>
    </xdr:from>
    <xdr:to>
      <xdr:col>207</xdr:col>
      <xdr:colOff>460375</xdr:colOff>
      <xdr:row>8</xdr:row>
      <xdr:rowOff>293688</xdr:rowOff>
    </xdr:to>
    <xdr:pic>
      <xdr:nvPicPr>
        <xdr:cNvPr id="53065" name="Picture 53064">
          <a:extLst>
            <a:ext uri="{FF2B5EF4-FFF2-40B4-BE49-F238E27FC236}">
              <a16:creationId xmlns:a16="http://schemas.microsoft.com/office/drawing/2014/main" id="{00000000-0008-0000-0A00-000049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8</xdr:row>
      <xdr:rowOff>39688</xdr:rowOff>
    </xdr:from>
    <xdr:to>
      <xdr:col>99</xdr:col>
      <xdr:colOff>460375</xdr:colOff>
      <xdr:row>8</xdr:row>
      <xdr:rowOff>293688</xdr:rowOff>
    </xdr:to>
    <xdr:pic>
      <xdr:nvPicPr>
        <xdr:cNvPr id="53068" name="Picture 53067">
          <a:extLst>
            <a:ext uri="{FF2B5EF4-FFF2-40B4-BE49-F238E27FC236}">
              <a16:creationId xmlns:a16="http://schemas.microsoft.com/office/drawing/2014/main" id="{00000000-0008-0000-0A00-00004C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8</xdr:row>
      <xdr:rowOff>39688</xdr:rowOff>
    </xdr:from>
    <xdr:to>
      <xdr:col>231</xdr:col>
      <xdr:colOff>460375</xdr:colOff>
      <xdr:row>8</xdr:row>
      <xdr:rowOff>293688</xdr:rowOff>
    </xdr:to>
    <xdr:pic>
      <xdr:nvPicPr>
        <xdr:cNvPr id="53071" name="Picture 53070">
          <a:extLst>
            <a:ext uri="{FF2B5EF4-FFF2-40B4-BE49-F238E27FC236}">
              <a16:creationId xmlns:a16="http://schemas.microsoft.com/office/drawing/2014/main" id="{00000000-0008-0000-0A00-00004F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8</xdr:row>
      <xdr:rowOff>39688</xdr:rowOff>
    </xdr:from>
    <xdr:to>
      <xdr:col>195</xdr:col>
      <xdr:colOff>460375</xdr:colOff>
      <xdr:row>8</xdr:row>
      <xdr:rowOff>293688</xdr:rowOff>
    </xdr:to>
    <xdr:pic>
      <xdr:nvPicPr>
        <xdr:cNvPr id="53074" name="Picture 53073">
          <a:extLst>
            <a:ext uri="{FF2B5EF4-FFF2-40B4-BE49-F238E27FC236}">
              <a16:creationId xmlns:a16="http://schemas.microsoft.com/office/drawing/2014/main" id="{00000000-0008-0000-0A00-000052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8</xdr:row>
      <xdr:rowOff>39688</xdr:rowOff>
    </xdr:from>
    <xdr:to>
      <xdr:col>15</xdr:col>
      <xdr:colOff>460375</xdr:colOff>
      <xdr:row>8</xdr:row>
      <xdr:rowOff>293688</xdr:rowOff>
    </xdr:to>
    <xdr:pic>
      <xdr:nvPicPr>
        <xdr:cNvPr id="53077" name="Picture 53076">
          <a:extLst>
            <a:ext uri="{FF2B5EF4-FFF2-40B4-BE49-F238E27FC236}">
              <a16:creationId xmlns:a16="http://schemas.microsoft.com/office/drawing/2014/main" id="{00000000-0008-0000-0A00-000055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8</xdr:row>
      <xdr:rowOff>39688</xdr:rowOff>
    </xdr:from>
    <xdr:to>
      <xdr:col>147</xdr:col>
      <xdr:colOff>460375</xdr:colOff>
      <xdr:row>8</xdr:row>
      <xdr:rowOff>293688</xdr:rowOff>
    </xdr:to>
    <xdr:pic>
      <xdr:nvPicPr>
        <xdr:cNvPr id="53080" name="Picture 53079">
          <a:extLst>
            <a:ext uri="{FF2B5EF4-FFF2-40B4-BE49-F238E27FC236}">
              <a16:creationId xmlns:a16="http://schemas.microsoft.com/office/drawing/2014/main" id="{00000000-0008-0000-0A00-000058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8</xdr:row>
      <xdr:rowOff>39688</xdr:rowOff>
    </xdr:from>
    <xdr:to>
      <xdr:col>51</xdr:col>
      <xdr:colOff>460375</xdr:colOff>
      <xdr:row>8</xdr:row>
      <xdr:rowOff>293688</xdr:rowOff>
    </xdr:to>
    <xdr:pic>
      <xdr:nvPicPr>
        <xdr:cNvPr id="53083" name="Picture 53082">
          <a:extLst>
            <a:ext uri="{FF2B5EF4-FFF2-40B4-BE49-F238E27FC236}">
              <a16:creationId xmlns:a16="http://schemas.microsoft.com/office/drawing/2014/main" id="{00000000-0008-0000-0A00-00005B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8</xdr:row>
      <xdr:rowOff>39688</xdr:rowOff>
    </xdr:from>
    <xdr:to>
      <xdr:col>123</xdr:col>
      <xdr:colOff>460375</xdr:colOff>
      <xdr:row>8</xdr:row>
      <xdr:rowOff>293688</xdr:rowOff>
    </xdr:to>
    <xdr:pic>
      <xdr:nvPicPr>
        <xdr:cNvPr id="53086" name="Picture 53085">
          <a:extLst>
            <a:ext uri="{FF2B5EF4-FFF2-40B4-BE49-F238E27FC236}">
              <a16:creationId xmlns:a16="http://schemas.microsoft.com/office/drawing/2014/main" id="{00000000-0008-0000-0A00-00005E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8</xdr:row>
      <xdr:rowOff>39688</xdr:rowOff>
    </xdr:from>
    <xdr:to>
      <xdr:col>159</xdr:col>
      <xdr:colOff>460375</xdr:colOff>
      <xdr:row>8</xdr:row>
      <xdr:rowOff>293688</xdr:rowOff>
    </xdr:to>
    <xdr:pic>
      <xdr:nvPicPr>
        <xdr:cNvPr id="53089" name="Picture 53088">
          <a:extLst>
            <a:ext uri="{FF2B5EF4-FFF2-40B4-BE49-F238E27FC236}">
              <a16:creationId xmlns:a16="http://schemas.microsoft.com/office/drawing/2014/main" id="{00000000-0008-0000-0A00-000061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8</xdr:row>
      <xdr:rowOff>39688</xdr:rowOff>
    </xdr:from>
    <xdr:to>
      <xdr:col>3</xdr:col>
      <xdr:colOff>460375</xdr:colOff>
      <xdr:row>8</xdr:row>
      <xdr:rowOff>293688</xdr:rowOff>
    </xdr:to>
    <xdr:pic>
      <xdr:nvPicPr>
        <xdr:cNvPr id="53092" name="Picture 53091">
          <a:extLst>
            <a:ext uri="{FF2B5EF4-FFF2-40B4-BE49-F238E27FC236}">
              <a16:creationId xmlns:a16="http://schemas.microsoft.com/office/drawing/2014/main" id="{00000000-0008-0000-0A00-000064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296386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9</xdr:row>
      <xdr:rowOff>39688</xdr:rowOff>
    </xdr:from>
    <xdr:to>
      <xdr:col>15</xdr:col>
      <xdr:colOff>460375</xdr:colOff>
      <xdr:row>9</xdr:row>
      <xdr:rowOff>293688</xdr:rowOff>
    </xdr:to>
    <xdr:pic>
      <xdr:nvPicPr>
        <xdr:cNvPr id="53095" name="Picture 53094">
          <a:extLst>
            <a:ext uri="{FF2B5EF4-FFF2-40B4-BE49-F238E27FC236}">
              <a16:creationId xmlns:a16="http://schemas.microsoft.com/office/drawing/2014/main" id="{00000000-0008-0000-0A00-000067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329723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9</xdr:row>
      <xdr:rowOff>39688</xdr:rowOff>
    </xdr:from>
    <xdr:to>
      <xdr:col>195</xdr:col>
      <xdr:colOff>460375</xdr:colOff>
      <xdr:row>9</xdr:row>
      <xdr:rowOff>293688</xdr:rowOff>
    </xdr:to>
    <xdr:pic>
      <xdr:nvPicPr>
        <xdr:cNvPr id="53098" name="Picture 53097">
          <a:extLst>
            <a:ext uri="{FF2B5EF4-FFF2-40B4-BE49-F238E27FC236}">
              <a16:creationId xmlns:a16="http://schemas.microsoft.com/office/drawing/2014/main" id="{00000000-0008-0000-0A00-00006A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329723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9</xdr:row>
      <xdr:rowOff>39688</xdr:rowOff>
    </xdr:from>
    <xdr:to>
      <xdr:col>183</xdr:col>
      <xdr:colOff>460375</xdr:colOff>
      <xdr:row>9</xdr:row>
      <xdr:rowOff>293688</xdr:rowOff>
    </xdr:to>
    <xdr:pic>
      <xdr:nvPicPr>
        <xdr:cNvPr id="53101" name="Picture 53100">
          <a:extLst>
            <a:ext uri="{FF2B5EF4-FFF2-40B4-BE49-F238E27FC236}">
              <a16:creationId xmlns:a16="http://schemas.microsoft.com/office/drawing/2014/main" id="{00000000-0008-0000-0A00-00006D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3297238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9</xdr:row>
      <xdr:rowOff>39688</xdr:rowOff>
    </xdr:from>
    <xdr:to>
      <xdr:col>99</xdr:col>
      <xdr:colOff>460375</xdr:colOff>
      <xdr:row>9</xdr:row>
      <xdr:rowOff>293688</xdr:rowOff>
    </xdr:to>
    <xdr:pic>
      <xdr:nvPicPr>
        <xdr:cNvPr id="53104" name="Picture 53103">
          <a:extLst>
            <a:ext uri="{FF2B5EF4-FFF2-40B4-BE49-F238E27FC236}">
              <a16:creationId xmlns:a16="http://schemas.microsoft.com/office/drawing/2014/main" id="{00000000-0008-0000-0A00-000070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329723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9</xdr:row>
      <xdr:rowOff>39688</xdr:rowOff>
    </xdr:from>
    <xdr:to>
      <xdr:col>231</xdr:col>
      <xdr:colOff>460375</xdr:colOff>
      <xdr:row>9</xdr:row>
      <xdr:rowOff>293688</xdr:rowOff>
    </xdr:to>
    <xdr:pic>
      <xdr:nvPicPr>
        <xdr:cNvPr id="53107" name="Picture 53106">
          <a:extLst>
            <a:ext uri="{FF2B5EF4-FFF2-40B4-BE49-F238E27FC236}">
              <a16:creationId xmlns:a16="http://schemas.microsoft.com/office/drawing/2014/main" id="{00000000-0008-0000-0A00-000073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3297238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9</xdr:row>
      <xdr:rowOff>39688</xdr:rowOff>
    </xdr:from>
    <xdr:to>
      <xdr:col>147</xdr:col>
      <xdr:colOff>460375</xdr:colOff>
      <xdr:row>9</xdr:row>
      <xdr:rowOff>293688</xdr:rowOff>
    </xdr:to>
    <xdr:pic>
      <xdr:nvPicPr>
        <xdr:cNvPr id="53110" name="Picture 53109">
          <a:extLst>
            <a:ext uri="{FF2B5EF4-FFF2-40B4-BE49-F238E27FC236}">
              <a16:creationId xmlns:a16="http://schemas.microsoft.com/office/drawing/2014/main" id="{00000000-0008-0000-0A00-000076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3297238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9</xdr:row>
      <xdr:rowOff>39688</xdr:rowOff>
    </xdr:from>
    <xdr:to>
      <xdr:col>171</xdr:col>
      <xdr:colOff>460375</xdr:colOff>
      <xdr:row>9</xdr:row>
      <xdr:rowOff>293688</xdr:rowOff>
    </xdr:to>
    <xdr:pic>
      <xdr:nvPicPr>
        <xdr:cNvPr id="53113" name="Picture 53112">
          <a:extLst>
            <a:ext uri="{FF2B5EF4-FFF2-40B4-BE49-F238E27FC236}">
              <a16:creationId xmlns:a16="http://schemas.microsoft.com/office/drawing/2014/main" id="{00000000-0008-0000-0A00-000079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329723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9</xdr:row>
      <xdr:rowOff>39688</xdr:rowOff>
    </xdr:from>
    <xdr:to>
      <xdr:col>27</xdr:col>
      <xdr:colOff>460375</xdr:colOff>
      <xdr:row>9</xdr:row>
      <xdr:rowOff>293688</xdr:rowOff>
    </xdr:to>
    <xdr:pic>
      <xdr:nvPicPr>
        <xdr:cNvPr id="53116" name="Picture 53115">
          <a:extLst>
            <a:ext uri="{FF2B5EF4-FFF2-40B4-BE49-F238E27FC236}">
              <a16:creationId xmlns:a16="http://schemas.microsoft.com/office/drawing/2014/main" id="{00000000-0008-0000-0A00-00007C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329723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9</xdr:row>
      <xdr:rowOff>39688</xdr:rowOff>
    </xdr:from>
    <xdr:to>
      <xdr:col>207</xdr:col>
      <xdr:colOff>460375</xdr:colOff>
      <xdr:row>9</xdr:row>
      <xdr:rowOff>293688</xdr:rowOff>
    </xdr:to>
    <xdr:pic>
      <xdr:nvPicPr>
        <xdr:cNvPr id="53119" name="Picture 53118">
          <a:extLst>
            <a:ext uri="{FF2B5EF4-FFF2-40B4-BE49-F238E27FC236}">
              <a16:creationId xmlns:a16="http://schemas.microsoft.com/office/drawing/2014/main" id="{00000000-0008-0000-0A00-00007F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329723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9</xdr:row>
      <xdr:rowOff>39688</xdr:rowOff>
    </xdr:from>
    <xdr:to>
      <xdr:col>123</xdr:col>
      <xdr:colOff>460375</xdr:colOff>
      <xdr:row>9</xdr:row>
      <xdr:rowOff>293688</xdr:rowOff>
    </xdr:to>
    <xdr:pic>
      <xdr:nvPicPr>
        <xdr:cNvPr id="53122" name="Picture 53121">
          <a:extLst>
            <a:ext uri="{FF2B5EF4-FFF2-40B4-BE49-F238E27FC236}">
              <a16:creationId xmlns:a16="http://schemas.microsoft.com/office/drawing/2014/main" id="{00000000-0008-0000-0A00-000082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329723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9</xdr:row>
      <xdr:rowOff>39688</xdr:rowOff>
    </xdr:from>
    <xdr:to>
      <xdr:col>39</xdr:col>
      <xdr:colOff>460375</xdr:colOff>
      <xdr:row>9</xdr:row>
      <xdr:rowOff>293688</xdr:rowOff>
    </xdr:to>
    <xdr:pic>
      <xdr:nvPicPr>
        <xdr:cNvPr id="53125" name="Picture 53124">
          <a:extLst>
            <a:ext uri="{FF2B5EF4-FFF2-40B4-BE49-F238E27FC236}">
              <a16:creationId xmlns:a16="http://schemas.microsoft.com/office/drawing/2014/main" id="{00000000-0008-0000-0A00-000085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329723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9</xdr:row>
      <xdr:rowOff>39688</xdr:rowOff>
    </xdr:from>
    <xdr:to>
      <xdr:col>3</xdr:col>
      <xdr:colOff>460375</xdr:colOff>
      <xdr:row>9</xdr:row>
      <xdr:rowOff>293688</xdr:rowOff>
    </xdr:to>
    <xdr:pic>
      <xdr:nvPicPr>
        <xdr:cNvPr id="53128" name="Picture 53127">
          <a:extLst>
            <a:ext uri="{FF2B5EF4-FFF2-40B4-BE49-F238E27FC236}">
              <a16:creationId xmlns:a16="http://schemas.microsoft.com/office/drawing/2014/main" id="{00000000-0008-0000-0A00-000088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329723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9</xdr:row>
      <xdr:rowOff>39688</xdr:rowOff>
    </xdr:from>
    <xdr:to>
      <xdr:col>87</xdr:col>
      <xdr:colOff>460375</xdr:colOff>
      <xdr:row>9</xdr:row>
      <xdr:rowOff>293688</xdr:rowOff>
    </xdr:to>
    <xdr:pic>
      <xdr:nvPicPr>
        <xdr:cNvPr id="53131" name="Picture 53130">
          <a:extLst>
            <a:ext uri="{FF2B5EF4-FFF2-40B4-BE49-F238E27FC236}">
              <a16:creationId xmlns:a16="http://schemas.microsoft.com/office/drawing/2014/main" id="{00000000-0008-0000-0A00-00008B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329723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9</xdr:row>
      <xdr:rowOff>39688</xdr:rowOff>
    </xdr:from>
    <xdr:to>
      <xdr:col>219</xdr:col>
      <xdr:colOff>460375</xdr:colOff>
      <xdr:row>9</xdr:row>
      <xdr:rowOff>293688</xdr:rowOff>
    </xdr:to>
    <xdr:pic>
      <xdr:nvPicPr>
        <xdr:cNvPr id="53134" name="Picture 53133">
          <a:extLst>
            <a:ext uri="{FF2B5EF4-FFF2-40B4-BE49-F238E27FC236}">
              <a16:creationId xmlns:a16="http://schemas.microsoft.com/office/drawing/2014/main" id="{00000000-0008-0000-0A00-00008E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329723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11</xdr:row>
      <xdr:rowOff>39688</xdr:rowOff>
    </xdr:from>
    <xdr:to>
      <xdr:col>3</xdr:col>
      <xdr:colOff>460375</xdr:colOff>
      <xdr:row>11</xdr:row>
      <xdr:rowOff>293688</xdr:rowOff>
    </xdr:to>
    <xdr:pic>
      <xdr:nvPicPr>
        <xdr:cNvPr id="53137" name="Picture 53136">
          <a:extLst>
            <a:ext uri="{FF2B5EF4-FFF2-40B4-BE49-F238E27FC236}">
              <a16:creationId xmlns:a16="http://schemas.microsoft.com/office/drawing/2014/main" id="{00000000-0008-0000-0A00-000091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11</xdr:row>
      <xdr:rowOff>39688</xdr:rowOff>
    </xdr:from>
    <xdr:to>
      <xdr:col>207</xdr:col>
      <xdr:colOff>460375</xdr:colOff>
      <xdr:row>11</xdr:row>
      <xdr:rowOff>293688</xdr:rowOff>
    </xdr:to>
    <xdr:pic>
      <xdr:nvPicPr>
        <xdr:cNvPr id="53140" name="Picture 53139">
          <a:extLst>
            <a:ext uri="{FF2B5EF4-FFF2-40B4-BE49-F238E27FC236}">
              <a16:creationId xmlns:a16="http://schemas.microsoft.com/office/drawing/2014/main" id="{00000000-0008-0000-0A00-000094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11</xdr:row>
      <xdr:rowOff>39688</xdr:rowOff>
    </xdr:from>
    <xdr:to>
      <xdr:col>27</xdr:col>
      <xdr:colOff>460375</xdr:colOff>
      <xdr:row>11</xdr:row>
      <xdr:rowOff>293688</xdr:rowOff>
    </xdr:to>
    <xdr:pic>
      <xdr:nvPicPr>
        <xdr:cNvPr id="53143" name="Picture 53142">
          <a:extLst>
            <a:ext uri="{FF2B5EF4-FFF2-40B4-BE49-F238E27FC236}">
              <a16:creationId xmlns:a16="http://schemas.microsoft.com/office/drawing/2014/main" id="{00000000-0008-0000-0A00-000097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11</xdr:row>
      <xdr:rowOff>39688</xdr:rowOff>
    </xdr:from>
    <xdr:to>
      <xdr:col>39</xdr:col>
      <xdr:colOff>460375</xdr:colOff>
      <xdr:row>11</xdr:row>
      <xdr:rowOff>293688</xdr:rowOff>
    </xdr:to>
    <xdr:pic>
      <xdr:nvPicPr>
        <xdr:cNvPr id="53146" name="Picture 53145">
          <a:extLst>
            <a:ext uri="{FF2B5EF4-FFF2-40B4-BE49-F238E27FC236}">
              <a16:creationId xmlns:a16="http://schemas.microsoft.com/office/drawing/2014/main" id="{00000000-0008-0000-0A00-00009A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10</xdr:row>
      <xdr:rowOff>39688</xdr:rowOff>
    </xdr:from>
    <xdr:to>
      <xdr:col>75</xdr:col>
      <xdr:colOff>460375</xdr:colOff>
      <xdr:row>10</xdr:row>
      <xdr:rowOff>293688</xdr:rowOff>
    </xdr:to>
    <xdr:pic>
      <xdr:nvPicPr>
        <xdr:cNvPr id="53149" name="Picture 53148">
          <a:extLst>
            <a:ext uri="{FF2B5EF4-FFF2-40B4-BE49-F238E27FC236}">
              <a16:creationId xmlns:a16="http://schemas.microsoft.com/office/drawing/2014/main" id="{00000000-0008-0000-0A00-00009D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363061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10</xdr:row>
      <xdr:rowOff>39688</xdr:rowOff>
    </xdr:from>
    <xdr:to>
      <xdr:col>63</xdr:col>
      <xdr:colOff>460375</xdr:colOff>
      <xdr:row>10</xdr:row>
      <xdr:rowOff>293688</xdr:rowOff>
    </xdr:to>
    <xdr:pic>
      <xdr:nvPicPr>
        <xdr:cNvPr id="53152" name="Picture 53151">
          <a:extLst>
            <a:ext uri="{FF2B5EF4-FFF2-40B4-BE49-F238E27FC236}">
              <a16:creationId xmlns:a16="http://schemas.microsoft.com/office/drawing/2014/main" id="{00000000-0008-0000-0A00-0000A0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363061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11</xdr:row>
      <xdr:rowOff>39688</xdr:rowOff>
    </xdr:from>
    <xdr:to>
      <xdr:col>99</xdr:col>
      <xdr:colOff>460375</xdr:colOff>
      <xdr:row>11</xdr:row>
      <xdr:rowOff>293688</xdr:rowOff>
    </xdr:to>
    <xdr:pic>
      <xdr:nvPicPr>
        <xdr:cNvPr id="53155" name="Picture 53154">
          <a:extLst>
            <a:ext uri="{FF2B5EF4-FFF2-40B4-BE49-F238E27FC236}">
              <a16:creationId xmlns:a16="http://schemas.microsoft.com/office/drawing/2014/main" id="{00000000-0008-0000-0A00-0000A3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11</xdr:row>
      <xdr:rowOff>39688</xdr:rowOff>
    </xdr:from>
    <xdr:to>
      <xdr:col>171</xdr:col>
      <xdr:colOff>460375</xdr:colOff>
      <xdr:row>11</xdr:row>
      <xdr:rowOff>293688</xdr:rowOff>
    </xdr:to>
    <xdr:pic>
      <xdr:nvPicPr>
        <xdr:cNvPr id="53158" name="Picture 53157">
          <a:extLst>
            <a:ext uri="{FF2B5EF4-FFF2-40B4-BE49-F238E27FC236}">
              <a16:creationId xmlns:a16="http://schemas.microsoft.com/office/drawing/2014/main" id="{00000000-0008-0000-0A00-0000A6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10</xdr:row>
      <xdr:rowOff>39688</xdr:rowOff>
    </xdr:from>
    <xdr:to>
      <xdr:col>135</xdr:col>
      <xdr:colOff>460375</xdr:colOff>
      <xdr:row>10</xdr:row>
      <xdr:rowOff>293688</xdr:rowOff>
    </xdr:to>
    <xdr:pic>
      <xdr:nvPicPr>
        <xdr:cNvPr id="53161" name="Picture 53160">
          <a:extLst>
            <a:ext uri="{FF2B5EF4-FFF2-40B4-BE49-F238E27FC236}">
              <a16:creationId xmlns:a16="http://schemas.microsoft.com/office/drawing/2014/main" id="{00000000-0008-0000-0A00-0000A9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363061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10</xdr:row>
      <xdr:rowOff>39688</xdr:rowOff>
    </xdr:from>
    <xdr:to>
      <xdr:col>51</xdr:col>
      <xdr:colOff>460375</xdr:colOff>
      <xdr:row>10</xdr:row>
      <xdr:rowOff>293688</xdr:rowOff>
    </xdr:to>
    <xdr:pic>
      <xdr:nvPicPr>
        <xdr:cNvPr id="53164" name="Picture 53163">
          <a:extLst>
            <a:ext uri="{FF2B5EF4-FFF2-40B4-BE49-F238E27FC236}">
              <a16:creationId xmlns:a16="http://schemas.microsoft.com/office/drawing/2014/main" id="{00000000-0008-0000-0A00-0000AC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363061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11</xdr:row>
      <xdr:rowOff>39688</xdr:rowOff>
    </xdr:from>
    <xdr:to>
      <xdr:col>195</xdr:col>
      <xdr:colOff>460375</xdr:colOff>
      <xdr:row>11</xdr:row>
      <xdr:rowOff>293688</xdr:rowOff>
    </xdr:to>
    <xdr:pic>
      <xdr:nvPicPr>
        <xdr:cNvPr id="53167" name="Picture 53166">
          <a:extLst>
            <a:ext uri="{FF2B5EF4-FFF2-40B4-BE49-F238E27FC236}">
              <a16:creationId xmlns:a16="http://schemas.microsoft.com/office/drawing/2014/main" id="{00000000-0008-0000-0A00-0000AF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11</xdr:row>
      <xdr:rowOff>39688</xdr:rowOff>
    </xdr:from>
    <xdr:to>
      <xdr:col>87</xdr:col>
      <xdr:colOff>460375</xdr:colOff>
      <xdr:row>11</xdr:row>
      <xdr:rowOff>293688</xdr:rowOff>
    </xdr:to>
    <xdr:pic>
      <xdr:nvPicPr>
        <xdr:cNvPr id="53170" name="Picture 53169">
          <a:extLst>
            <a:ext uri="{FF2B5EF4-FFF2-40B4-BE49-F238E27FC236}">
              <a16:creationId xmlns:a16="http://schemas.microsoft.com/office/drawing/2014/main" id="{00000000-0008-0000-0A00-0000B2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11</xdr:row>
      <xdr:rowOff>39688</xdr:rowOff>
    </xdr:from>
    <xdr:to>
      <xdr:col>219</xdr:col>
      <xdr:colOff>460375</xdr:colOff>
      <xdr:row>11</xdr:row>
      <xdr:rowOff>293688</xdr:rowOff>
    </xdr:to>
    <xdr:pic>
      <xdr:nvPicPr>
        <xdr:cNvPr id="53173" name="Picture 53172">
          <a:extLst>
            <a:ext uri="{FF2B5EF4-FFF2-40B4-BE49-F238E27FC236}">
              <a16:creationId xmlns:a16="http://schemas.microsoft.com/office/drawing/2014/main" id="{00000000-0008-0000-0A00-0000B5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11</xdr:row>
      <xdr:rowOff>39688</xdr:rowOff>
    </xdr:from>
    <xdr:to>
      <xdr:col>231</xdr:col>
      <xdr:colOff>460375</xdr:colOff>
      <xdr:row>11</xdr:row>
      <xdr:rowOff>293688</xdr:rowOff>
    </xdr:to>
    <xdr:pic>
      <xdr:nvPicPr>
        <xdr:cNvPr id="53176" name="Picture 53175">
          <a:extLst>
            <a:ext uri="{FF2B5EF4-FFF2-40B4-BE49-F238E27FC236}">
              <a16:creationId xmlns:a16="http://schemas.microsoft.com/office/drawing/2014/main" id="{00000000-0008-0000-0A00-0000B8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11</xdr:row>
      <xdr:rowOff>39688</xdr:rowOff>
    </xdr:from>
    <xdr:to>
      <xdr:col>147</xdr:col>
      <xdr:colOff>460375</xdr:colOff>
      <xdr:row>11</xdr:row>
      <xdr:rowOff>293688</xdr:rowOff>
    </xdr:to>
    <xdr:pic>
      <xdr:nvPicPr>
        <xdr:cNvPr id="53179" name="Picture 53178">
          <a:extLst>
            <a:ext uri="{FF2B5EF4-FFF2-40B4-BE49-F238E27FC236}">
              <a16:creationId xmlns:a16="http://schemas.microsoft.com/office/drawing/2014/main" id="{00000000-0008-0000-0A00-0000BB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10</xdr:row>
      <xdr:rowOff>39688</xdr:rowOff>
    </xdr:from>
    <xdr:to>
      <xdr:col>159</xdr:col>
      <xdr:colOff>460375</xdr:colOff>
      <xdr:row>10</xdr:row>
      <xdr:rowOff>293688</xdr:rowOff>
    </xdr:to>
    <xdr:pic>
      <xdr:nvPicPr>
        <xdr:cNvPr id="53182" name="Picture 53181">
          <a:extLst>
            <a:ext uri="{FF2B5EF4-FFF2-40B4-BE49-F238E27FC236}">
              <a16:creationId xmlns:a16="http://schemas.microsoft.com/office/drawing/2014/main" id="{00000000-0008-0000-0A00-0000BE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363061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10</xdr:row>
      <xdr:rowOff>39688</xdr:rowOff>
    </xdr:from>
    <xdr:to>
      <xdr:col>111</xdr:col>
      <xdr:colOff>460375</xdr:colOff>
      <xdr:row>10</xdr:row>
      <xdr:rowOff>293688</xdr:rowOff>
    </xdr:to>
    <xdr:pic>
      <xdr:nvPicPr>
        <xdr:cNvPr id="53185" name="Picture 53184">
          <a:extLst>
            <a:ext uri="{FF2B5EF4-FFF2-40B4-BE49-F238E27FC236}">
              <a16:creationId xmlns:a16="http://schemas.microsoft.com/office/drawing/2014/main" id="{00000000-0008-0000-0A00-0000C1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363061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11</xdr:row>
      <xdr:rowOff>39688</xdr:rowOff>
    </xdr:from>
    <xdr:to>
      <xdr:col>15</xdr:col>
      <xdr:colOff>460375</xdr:colOff>
      <xdr:row>11</xdr:row>
      <xdr:rowOff>293688</xdr:rowOff>
    </xdr:to>
    <xdr:pic>
      <xdr:nvPicPr>
        <xdr:cNvPr id="53188" name="Picture 53187">
          <a:extLst>
            <a:ext uri="{FF2B5EF4-FFF2-40B4-BE49-F238E27FC236}">
              <a16:creationId xmlns:a16="http://schemas.microsoft.com/office/drawing/2014/main" id="{00000000-0008-0000-0A00-0000C4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11</xdr:row>
      <xdr:rowOff>39688</xdr:rowOff>
    </xdr:from>
    <xdr:to>
      <xdr:col>123</xdr:col>
      <xdr:colOff>460375</xdr:colOff>
      <xdr:row>11</xdr:row>
      <xdr:rowOff>293688</xdr:rowOff>
    </xdr:to>
    <xdr:pic>
      <xdr:nvPicPr>
        <xdr:cNvPr id="53191" name="Picture 53190">
          <a:extLst>
            <a:ext uri="{FF2B5EF4-FFF2-40B4-BE49-F238E27FC236}">
              <a16:creationId xmlns:a16="http://schemas.microsoft.com/office/drawing/2014/main" id="{00000000-0008-0000-0A00-0000C7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11</xdr:row>
      <xdr:rowOff>39688</xdr:rowOff>
    </xdr:from>
    <xdr:to>
      <xdr:col>183</xdr:col>
      <xdr:colOff>460375</xdr:colOff>
      <xdr:row>11</xdr:row>
      <xdr:rowOff>293688</xdr:rowOff>
    </xdr:to>
    <xdr:pic>
      <xdr:nvPicPr>
        <xdr:cNvPr id="53194" name="Picture 53193">
          <a:extLst>
            <a:ext uri="{FF2B5EF4-FFF2-40B4-BE49-F238E27FC236}">
              <a16:creationId xmlns:a16="http://schemas.microsoft.com/office/drawing/2014/main" id="{00000000-0008-0000-0A00-0000CA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12</xdr:row>
      <xdr:rowOff>39688</xdr:rowOff>
    </xdr:from>
    <xdr:to>
      <xdr:col>27</xdr:col>
      <xdr:colOff>460375</xdr:colOff>
      <xdr:row>12</xdr:row>
      <xdr:rowOff>293688</xdr:rowOff>
    </xdr:to>
    <xdr:pic>
      <xdr:nvPicPr>
        <xdr:cNvPr id="53197" name="Picture 53196">
          <a:extLst>
            <a:ext uri="{FF2B5EF4-FFF2-40B4-BE49-F238E27FC236}">
              <a16:creationId xmlns:a16="http://schemas.microsoft.com/office/drawing/2014/main" id="{00000000-0008-0000-0A00-0000CD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12</xdr:row>
      <xdr:rowOff>39688</xdr:rowOff>
    </xdr:from>
    <xdr:to>
      <xdr:col>123</xdr:col>
      <xdr:colOff>460375</xdr:colOff>
      <xdr:row>12</xdr:row>
      <xdr:rowOff>293688</xdr:rowOff>
    </xdr:to>
    <xdr:pic>
      <xdr:nvPicPr>
        <xdr:cNvPr id="53200" name="Picture 53199">
          <a:extLst>
            <a:ext uri="{FF2B5EF4-FFF2-40B4-BE49-F238E27FC236}">
              <a16:creationId xmlns:a16="http://schemas.microsoft.com/office/drawing/2014/main" id="{00000000-0008-0000-0A00-0000D0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11</xdr:row>
      <xdr:rowOff>39688</xdr:rowOff>
    </xdr:from>
    <xdr:to>
      <xdr:col>63</xdr:col>
      <xdr:colOff>460375</xdr:colOff>
      <xdr:row>11</xdr:row>
      <xdr:rowOff>293688</xdr:rowOff>
    </xdr:to>
    <xdr:pic>
      <xdr:nvPicPr>
        <xdr:cNvPr id="53203" name="Picture 53202">
          <a:extLst>
            <a:ext uri="{FF2B5EF4-FFF2-40B4-BE49-F238E27FC236}">
              <a16:creationId xmlns:a16="http://schemas.microsoft.com/office/drawing/2014/main" id="{00000000-0008-0000-0A00-0000D3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12</xdr:row>
      <xdr:rowOff>39688</xdr:rowOff>
    </xdr:from>
    <xdr:to>
      <xdr:col>231</xdr:col>
      <xdr:colOff>460375</xdr:colOff>
      <xdr:row>12</xdr:row>
      <xdr:rowOff>293688</xdr:rowOff>
    </xdr:to>
    <xdr:pic>
      <xdr:nvPicPr>
        <xdr:cNvPr id="53206" name="Picture 53205">
          <a:extLst>
            <a:ext uri="{FF2B5EF4-FFF2-40B4-BE49-F238E27FC236}">
              <a16:creationId xmlns:a16="http://schemas.microsoft.com/office/drawing/2014/main" id="{00000000-0008-0000-0A00-0000D6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12</xdr:row>
      <xdr:rowOff>39688</xdr:rowOff>
    </xdr:from>
    <xdr:to>
      <xdr:col>147</xdr:col>
      <xdr:colOff>460375</xdr:colOff>
      <xdr:row>12</xdr:row>
      <xdr:rowOff>293688</xdr:rowOff>
    </xdr:to>
    <xdr:pic>
      <xdr:nvPicPr>
        <xdr:cNvPr id="53209" name="Picture 53208">
          <a:extLst>
            <a:ext uri="{FF2B5EF4-FFF2-40B4-BE49-F238E27FC236}">
              <a16:creationId xmlns:a16="http://schemas.microsoft.com/office/drawing/2014/main" id="{00000000-0008-0000-0A00-0000D9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12</xdr:row>
      <xdr:rowOff>39688</xdr:rowOff>
    </xdr:from>
    <xdr:to>
      <xdr:col>195</xdr:col>
      <xdr:colOff>460375</xdr:colOff>
      <xdr:row>12</xdr:row>
      <xdr:rowOff>293688</xdr:rowOff>
    </xdr:to>
    <xdr:pic>
      <xdr:nvPicPr>
        <xdr:cNvPr id="53212" name="Picture 53211">
          <a:extLst>
            <a:ext uri="{FF2B5EF4-FFF2-40B4-BE49-F238E27FC236}">
              <a16:creationId xmlns:a16="http://schemas.microsoft.com/office/drawing/2014/main" id="{00000000-0008-0000-0A00-0000DC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12</xdr:row>
      <xdr:rowOff>39688</xdr:rowOff>
    </xdr:from>
    <xdr:to>
      <xdr:col>171</xdr:col>
      <xdr:colOff>460375</xdr:colOff>
      <xdr:row>12</xdr:row>
      <xdr:rowOff>293688</xdr:rowOff>
    </xdr:to>
    <xdr:pic>
      <xdr:nvPicPr>
        <xdr:cNvPr id="53215" name="Picture 53214">
          <a:extLst>
            <a:ext uri="{FF2B5EF4-FFF2-40B4-BE49-F238E27FC236}">
              <a16:creationId xmlns:a16="http://schemas.microsoft.com/office/drawing/2014/main" id="{00000000-0008-0000-0A00-0000DF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12</xdr:row>
      <xdr:rowOff>39688</xdr:rowOff>
    </xdr:from>
    <xdr:to>
      <xdr:col>39</xdr:col>
      <xdr:colOff>460375</xdr:colOff>
      <xdr:row>12</xdr:row>
      <xdr:rowOff>293688</xdr:rowOff>
    </xdr:to>
    <xdr:pic>
      <xdr:nvPicPr>
        <xdr:cNvPr id="53218" name="Picture 53217">
          <a:extLst>
            <a:ext uri="{FF2B5EF4-FFF2-40B4-BE49-F238E27FC236}">
              <a16:creationId xmlns:a16="http://schemas.microsoft.com/office/drawing/2014/main" id="{00000000-0008-0000-0A00-0000E2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11</xdr:row>
      <xdr:rowOff>39688</xdr:rowOff>
    </xdr:from>
    <xdr:to>
      <xdr:col>51</xdr:col>
      <xdr:colOff>460375</xdr:colOff>
      <xdr:row>11</xdr:row>
      <xdr:rowOff>293688</xdr:rowOff>
    </xdr:to>
    <xdr:pic>
      <xdr:nvPicPr>
        <xdr:cNvPr id="53221" name="Picture 53220">
          <a:extLst>
            <a:ext uri="{FF2B5EF4-FFF2-40B4-BE49-F238E27FC236}">
              <a16:creationId xmlns:a16="http://schemas.microsoft.com/office/drawing/2014/main" id="{00000000-0008-0000-0A00-0000E5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12</xdr:row>
      <xdr:rowOff>39688</xdr:rowOff>
    </xdr:from>
    <xdr:to>
      <xdr:col>207</xdr:col>
      <xdr:colOff>460375</xdr:colOff>
      <xdr:row>12</xdr:row>
      <xdr:rowOff>293688</xdr:rowOff>
    </xdr:to>
    <xdr:pic>
      <xdr:nvPicPr>
        <xdr:cNvPr id="53224" name="Picture 53223">
          <a:extLst>
            <a:ext uri="{FF2B5EF4-FFF2-40B4-BE49-F238E27FC236}">
              <a16:creationId xmlns:a16="http://schemas.microsoft.com/office/drawing/2014/main" id="{00000000-0008-0000-0A00-0000E8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11</xdr:row>
      <xdr:rowOff>39688</xdr:rowOff>
    </xdr:from>
    <xdr:to>
      <xdr:col>75</xdr:col>
      <xdr:colOff>460375</xdr:colOff>
      <xdr:row>11</xdr:row>
      <xdr:rowOff>293688</xdr:rowOff>
    </xdr:to>
    <xdr:pic>
      <xdr:nvPicPr>
        <xdr:cNvPr id="53227" name="Picture 53226">
          <a:extLst>
            <a:ext uri="{FF2B5EF4-FFF2-40B4-BE49-F238E27FC236}">
              <a16:creationId xmlns:a16="http://schemas.microsoft.com/office/drawing/2014/main" id="{00000000-0008-0000-0A00-0000EB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11</xdr:row>
      <xdr:rowOff>39688</xdr:rowOff>
    </xdr:from>
    <xdr:to>
      <xdr:col>111</xdr:col>
      <xdr:colOff>460375</xdr:colOff>
      <xdr:row>11</xdr:row>
      <xdr:rowOff>293688</xdr:rowOff>
    </xdr:to>
    <xdr:pic>
      <xdr:nvPicPr>
        <xdr:cNvPr id="53230" name="Picture 53229">
          <a:extLst>
            <a:ext uri="{FF2B5EF4-FFF2-40B4-BE49-F238E27FC236}">
              <a16:creationId xmlns:a16="http://schemas.microsoft.com/office/drawing/2014/main" id="{00000000-0008-0000-0A00-0000EE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12</xdr:row>
      <xdr:rowOff>39688</xdr:rowOff>
    </xdr:from>
    <xdr:to>
      <xdr:col>219</xdr:col>
      <xdr:colOff>460375</xdr:colOff>
      <xdr:row>12</xdr:row>
      <xdr:rowOff>293688</xdr:rowOff>
    </xdr:to>
    <xdr:pic>
      <xdr:nvPicPr>
        <xdr:cNvPr id="53233" name="Picture 53232">
          <a:extLst>
            <a:ext uri="{FF2B5EF4-FFF2-40B4-BE49-F238E27FC236}">
              <a16:creationId xmlns:a16="http://schemas.microsoft.com/office/drawing/2014/main" id="{00000000-0008-0000-0A00-0000F1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12</xdr:row>
      <xdr:rowOff>39688</xdr:rowOff>
    </xdr:from>
    <xdr:to>
      <xdr:col>99</xdr:col>
      <xdr:colOff>460375</xdr:colOff>
      <xdr:row>12</xdr:row>
      <xdr:rowOff>293688</xdr:rowOff>
    </xdr:to>
    <xdr:pic>
      <xdr:nvPicPr>
        <xdr:cNvPr id="53236" name="Picture 53235">
          <a:extLst>
            <a:ext uri="{FF2B5EF4-FFF2-40B4-BE49-F238E27FC236}">
              <a16:creationId xmlns:a16="http://schemas.microsoft.com/office/drawing/2014/main" id="{00000000-0008-0000-0A00-0000F4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12</xdr:row>
      <xdr:rowOff>39688</xdr:rowOff>
    </xdr:from>
    <xdr:to>
      <xdr:col>3</xdr:col>
      <xdr:colOff>460375</xdr:colOff>
      <xdr:row>12</xdr:row>
      <xdr:rowOff>293688</xdr:rowOff>
    </xdr:to>
    <xdr:pic>
      <xdr:nvPicPr>
        <xdr:cNvPr id="53239" name="Picture 53238">
          <a:extLst>
            <a:ext uri="{FF2B5EF4-FFF2-40B4-BE49-F238E27FC236}">
              <a16:creationId xmlns:a16="http://schemas.microsoft.com/office/drawing/2014/main" id="{00000000-0008-0000-0A00-0000F7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11</xdr:row>
      <xdr:rowOff>39688</xdr:rowOff>
    </xdr:from>
    <xdr:to>
      <xdr:col>135</xdr:col>
      <xdr:colOff>460375</xdr:colOff>
      <xdr:row>11</xdr:row>
      <xdr:rowOff>293688</xdr:rowOff>
    </xdr:to>
    <xdr:pic>
      <xdr:nvPicPr>
        <xdr:cNvPr id="53242" name="Picture 53241">
          <a:extLst>
            <a:ext uri="{FF2B5EF4-FFF2-40B4-BE49-F238E27FC236}">
              <a16:creationId xmlns:a16="http://schemas.microsoft.com/office/drawing/2014/main" id="{00000000-0008-0000-0A00-0000FA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12</xdr:row>
      <xdr:rowOff>39688</xdr:rowOff>
    </xdr:from>
    <xdr:to>
      <xdr:col>87</xdr:col>
      <xdr:colOff>460375</xdr:colOff>
      <xdr:row>12</xdr:row>
      <xdr:rowOff>293688</xdr:rowOff>
    </xdr:to>
    <xdr:pic>
      <xdr:nvPicPr>
        <xdr:cNvPr id="53245" name="Picture 53244">
          <a:extLst>
            <a:ext uri="{FF2B5EF4-FFF2-40B4-BE49-F238E27FC236}">
              <a16:creationId xmlns:a16="http://schemas.microsoft.com/office/drawing/2014/main" id="{00000000-0008-0000-0A00-0000FDC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11</xdr:row>
      <xdr:rowOff>39688</xdr:rowOff>
    </xdr:from>
    <xdr:to>
      <xdr:col>159</xdr:col>
      <xdr:colOff>460375</xdr:colOff>
      <xdr:row>11</xdr:row>
      <xdr:rowOff>293688</xdr:rowOff>
    </xdr:to>
    <xdr:pic>
      <xdr:nvPicPr>
        <xdr:cNvPr id="53248" name="Picture 53247">
          <a:extLst>
            <a:ext uri="{FF2B5EF4-FFF2-40B4-BE49-F238E27FC236}">
              <a16:creationId xmlns:a16="http://schemas.microsoft.com/office/drawing/2014/main" id="{00000000-0008-0000-0A00-000000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396398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12</xdr:row>
      <xdr:rowOff>39688</xdr:rowOff>
    </xdr:from>
    <xdr:to>
      <xdr:col>183</xdr:col>
      <xdr:colOff>460375</xdr:colOff>
      <xdr:row>12</xdr:row>
      <xdr:rowOff>293688</xdr:rowOff>
    </xdr:to>
    <xdr:pic>
      <xdr:nvPicPr>
        <xdr:cNvPr id="53251" name="Picture 53250">
          <a:extLst>
            <a:ext uri="{FF2B5EF4-FFF2-40B4-BE49-F238E27FC236}">
              <a16:creationId xmlns:a16="http://schemas.microsoft.com/office/drawing/2014/main" id="{00000000-0008-0000-0A00-000003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12</xdr:row>
      <xdr:rowOff>39688</xdr:rowOff>
    </xdr:from>
    <xdr:to>
      <xdr:col>15</xdr:col>
      <xdr:colOff>460375</xdr:colOff>
      <xdr:row>12</xdr:row>
      <xdr:rowOff>293688</xdr:rowOff>
    </xdr:to>
    <xdr:pic>
      <xdr:nvPicPr>
        <xdr:cNvPr id="53254" name="Picture 53253">
          <a:extLst>
            <a:ext uri="{FF2B5EF4-FFF2-40B4-BE49-F238E27FC236}">
              <a16:creationId xmlns:a16="http://schemas.microsoft.com/office/drawing/2014/main" id="{00000000-0008-0000-0A00-000006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13</xdr:row>
      <xdr:rowOff>39688</xdr:rowOff>
    </xdr:from>
    <xdr:to>
      <xdr:col>39</xdr:col>
      <xdr:colOff>460375</xdr:colOff>
      <xdr:row>13</xdr:row>
      <xdr:rowOff>293688</xdr:rowOff>
    </xdr:to>
    <xdr:pic>
      <xdr:nvPicPr>
        <xdr:cNvPr id="53257" name="Picture 53256">
          <a:extLst>
            <a:ext uri="{FF2B5EF4-FFF2-40B4-BE49-F238E27FC236}">
              <a16:creationId xmlns:a16="http://schemas.microsoft.com/office/drawing/2014/main" id="{00000000-0008-0000-0A00-000009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12</xdr:row>
      <xdr:rowOff>39688</xdr:rowOff>
    </xdr:from>
    <xdr:to>
      <xdr:col>51</xdr:col>
      <xdr:colOff>460375</xdr:colOff>
      <xdr:row>12</xdr:row>
      <xdr:rowOff>293688</xdr:rowOff>
    </xdr:to>
    <xdr:pic>
      <xdr:nvPicPr>
        <xdr:cNvPr id="53260" name="Picture 53259">
          <a:extLst>
            <a:ext uri="{FF2B5EF4-FFF2-40B4-BE49-F238E27FC236}">
              <a16:creationId xmlns:a16="http://schemas.microsoft.com/office/drawing/2014/main" id="{00000000-0008-0000-0A00-00000C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13</xdr:row>
      <xdr:rowOff>39688</xdr:rowOff>
    </xdr:from>
    <xdr:to>
      <xdr:col>123</xdr:col>
      <xdr:colOff>460375</xdr:colOff>
      <xdr:row>13</xdr:row>
      <xdr:rowOff>293688</xdr:rowOff>
    </xdr:to>
    <xdr:pic>
      <xdr:nvPicPr>
        <xdr:cNvPr id="53263" name="Picture 53262">
          <a:extLst>
            <a:ext uri="{FF2B5EF4-FFF2-40B4-BE49-F238E27FC236}">
              <a16:creationId xmlns:a16="http://schemas.microsoft.com/office/drawing/2014/main" id="{00000000-0008-0000-0A00-00000F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12</xdr:row>
      <xdr:rowOff>39688</xdr:rowOff>
    </xdr:from>
    <xdr:to>
      <xdr:col>75</xdr:col>
      <xdr:colOff>460375</xdr:colOff>
      <xdr:row>12</xdr:row>
      <xdr:rowOff>293688</xdr:rowOff>
    </xdr:to>
    <xdr:pic>
      <xdr:nvPicPr>
        <xdr:cNvPr id="53266" name="Picture 53265">
          <a:extLst>
            <a:ext uri="{FF2B5EF4-FFF2-40B4-BE49-F238E27FC236}">
              <a16:creationId xmlns:a16="http://schemas.microsoft.com/office/drawing/2014/main" id="{00000000-0008-0000-0A00-000012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13</xdr:row>
      <xdr:rowOff>39688</xdr:rowOff>
    </xdr:from>
    <xdr:to>
      <xdr:col>99</xdr:col>
      <xdr:colOff>460375</xdr:colOff>
      <xdr:row>13</xdr:row>
      <xdr:rowOff>293688</xdr:rowOff>
    </xdr:to>
    <xdr:pic>
      <xdr:nvPicPr>
        <xdr:cNvPr id="53269" name="Picture 53268">
          <a:extLst>
            <a:ext uri="{FF2B5EF4-FFF2-40B4-BE49-F238E27FC236}">
              <a16:creationId xmlns:a16="http://schemas.microsoft.com/office/drawing/2014/main" id="{00000000-0008-0000-0A00-000015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13</xdr:row>
      <xdr:rowOff>39688</xdr:rowOff>
    </xdr:from>
    <xdr:to>
      <xdr:col>27</xdr:col>
      <xdr:colOff>460375</xdr:colOff>
      <xdr:row>13</xdr:row>
      <xdr:rowOff>293688</xdr:rowOff>
    </xdr:to>
    <xdr:pic>
      <xdr:nvPicPr>
        <xdr:cNvPr id="53272" name="Picture 53271">
          <a:extLst>
            <a:ext uri="{FF2B5EF4-FFF2-40B4-BE49-F238E27FC236}">
              <a16:creationId xmlns:a16="http://schemas.microsoft.com/office/drawing/2014/main" id="{00000000-0008-0000-0A00-000018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13</xdr:row>
      <xdr:rowOff>39688</xdr:rowOff>
    </xdr:from>
    <xdr:to>
      <xdr:col>231</xdr:col>
      <xdr:colOff>460375</xdr:colOff>
      <xdr:row>13</xdr:row>
      <xdr:rowOff>293688</xdr:rowOff>
    </xdr:to>
    <xdr:pic>
      <xdr:nvPicPr>
        <xdr:cNvPr id="53275" name="Picture 53274">
          <a:extLst>
            <a:ext uri="{FF2B5EF4-FFF2-40B4-BE49-F238E27FC236}">
              <a16:creationId xmlns:a16="http://schemas.microsoft.com/office/drawing/2014/main" id="{00000000-0008-0000-0A00-00001B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13</xdr:row>
      <xdr:rowOff>39688</xdr:rowOff>
    </xdr:from>
    <xdr:to>
      <xdr:col>183</xdr:col>
      <xdr:colOff>460375</xdr:colOff>
      <xdr:row>13</xdr:row>
      <xdr:rowOff>293688</xdr:rowOff>
    </xdr:to>
    <xdr:pic>
      <xdr:nvPicPr>
        <xdr:cNvPr id="53278" name="Picture 53277">
          <a:extLst>
            <a:ext uri="{FF2B5EF4-FFF2-40B4-BE49-F238E27FC236}">
              <a16:creationId xmlns:a16="http://schemas.microsoft.com/office/drawing/2014/main" id="{00000000-0008-0000-0A00-00001E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13</xdr:row>
      <xdr:rowOff>39688</xdr:rowOff>
    </xdr:from>
    <xdr:to>
      <xdr:col>207</xdr:col>
      <xdr:colOff>460375</xdr:colOff>
      <xdr:row>13</xdr:row>
      <xdr:rowOff>293688</xdr:rowOff>
    </xdr:to>
    <xdr:pic>
      <xdr:nvPicPr>
        <xdr:cNvPr id="53281" name="Picture 53280">
          <a:extLst>
            <a:ext uri="{FF2B5EF4-FFF2-40B4-BE49-F238E27FC236}">
              <a16:creationId xmlns:a16="http://schemas.microsoft.com/office/drawing/2014/main" id="{00000000-0008-0000-0A00-000021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13</xdr:row>
      <xdr:rowOff>39688</xdr:rowOff>
    </xdr:from>
    <xdr:to>
      <xdr:col>87</xdr:col>
      <xdr:colOff>460375</xdr:colOff>
      <xdr:row>13</xdr:row>
      <xdr:rowOff>293688</xdr:rowOff>
    </xdr:to>
    <xdr:pic>
      <xdr:nvPicPr>
        <xdr:cNvPr id="53284" name="Picture 53283">
          <a:extLst>
            <a:ext uri="{FF2B5EF4-FFF2-40B4-BE49-F238E27FC236}">
              <a16:creationId xmlns:a16="http://schemas.microsoft.com/office/drawing/2014/main" id="{00000000-0008-0000-0A00-000024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13</xdr:row>
      <xdr:rowOff>39688</xdr:rowOff>
    </xdr:from>
    <xdr:to>
      <xdr:col>15</xdr:col>
      <xdr:colOff>460375</xdr:colOff>
      <xdr:row>13</xdr:row>
      <xdr:rowOff>293688</xdr:rowOff>
    </xdr:to>
    <xdr:pic>
      <xdr:nvPicPr>
        <xdr:cNvPr id="53287" name="Picture 53286">
          <a:extLst>
            <a:ext uri="{FF2B5EF4-FFF2-40B4-BE49-F238E27FC236}">
              <a16:creationId xmlns:a16="http://schemas.microsoft.com/office/drawing/2014/main" id="{00000000-0008-0000-0A00-000027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12</xdr:row>
      <xdr:rowOff>39688</xdr:rowOff>
    </xdr:from>
    <xdr:to>
      <xdr:col>63</xdr:col>
      <xdr:colOff>460375</xdr:colOff>
      <xdr:row>12</xdr:row>
      <xdr:rowOff>293688</xdr:rowOff>
    </xdr:to>
    <xdr:pic>
      <xdr:nvPicPr>
        <xdr:cNvPr id="53290" name="Picture 53289">
          <a:extLst>
            <a:ext uri="{FF2B5EF4-FFF2-40B4-BE49-F238E27FC236}">
              <a16:creationId xmlns:a16="http://schemas.microsoft.com/office/drawing/2014/main" id="{00000000-0008-0000-0A00-00002A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12</xdr:row>
      <xdr:rowOff>39688</xdr:rowOff>
    </xdr:from>
    <xdr:to>
      <xdr:col>111</xdr:col>
      <xdr:colOff>460375</xdr:colOff>
      <xdr:row>12</xdr:row>
      <xdr:rowOff>293688</xdr:rowOff>
    </xdr:to>
    <xdr:pic>
      <xdr:nvPicPr>
        <xdr:cNvPr id="53293" name="Picture 53292">
          <a:extLst>
            <a:ext uri="{FF2B5EF4-FFF2-40B4-BE49-F238E27FC236}">
              <a16:creationId xmlns:a16="http://schemas.microsoft.com/office/drawing/2014/main" id="{00000000-0008-0000-0A00-00002D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13</xdr:row>
      <xdr:rowOff>39688</xdr:rowOff>
    </xdr:from>
    <xdr:to>
      <xdr:col>3</xdr:col>
      <xdr:colOff>460375</xdr:colOff>
      <xdr:row>13</xdr:row>
      <xdr:rowOff>293688</xdr:rowOff>
    </xdr:to>
    <xdr:pic>
      <xdr:nvPicPr>
        <xdr:cNvPr id="53296" name="Picture 53295">
          <a:extLst>
            <a:ext uri="{FF2B5EF4-FFF2-40B4-BE49-F238E27FC236}">
              <a16:creationId xmlns:a16="http://schemas.microsoft.com/office/drawing/2014/main" id="{00000000-0008-0000-0A00-000030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12</xdr:row>
      <xdr:rowOff>39688</xdr:rowOff>
    </xdr:from>
    <xdr:to>
      <xdr:col>159</xdr:col>
      <xdr:colOff>460375</xdr:colOff>
      <xdr:row>12</xdr:row>
      <xdr:rowOff>293688</xdr:rowOff>
    </xdr:to>
    <xdr:pic>
      <xdr:nvPicPr>
        <xdr:cNvPr id="53299" name="Picture 53298">
          <a:extLst>
            <a:ext uri="{FF2B5EF4-FFF2-40B4-BE49-F238E27FC236}">
              <a16:creationId xmlns:a16="http://schemas.microsoft.com/office/drawing/2014/main" id="{00000000-0008-0000-0A00-000033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13</xdr:row>
      <xdr:rowOff>39688</xdr:rowOff>
    </xdr:from>
    <xdr:to>
      <xdr:col>171</xdr:col>
      <xdr:colOff>460375</xdr:colOff>
      <xdr:row>13</xdr:row>
      <xdr:rowOff>293688</xdr:rowOff>
    </xdr:to>
    <xdr:pic>
      <xdr:nvPicPr>
        <xdr:cNvPr id="53302" name="Picture 53301">
          <a:extLst>
            <a:ext uri="{FF2B5EF4-FFF2-40B4-BE49-F238E27FC236}">
              <a16:creationId xmlns:a16="http://schemas.microsoft.com/office/drawing/2014/main" id="{00000000-0008-0000-0A00-000036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13</xdr:row>
      <xdr:rowOff>39688</xdr:rowOff>
    </xdr:from>
    <xdr:to>
      <xdr:col>195</xdr:col>
      <xdr:colOff>460375</xdr:colOff>
      <xdr:row>13</xdr:row>
      <xdr:rowOff>293688</xdr:rowOff>
    </xdr:to>
    <xdr:pic>
      <xdr:nvPicPr>
        <xdr:cNvPr id="53305" name="Picture 53304">
          <a:extLst>
            <a:ext uri="{FF2B5EF4-FFF2-40B4-BE49-F238E27FC236}">
              <a16:creationId xmlns:a16="http://schemas.microsoft.com/office/drawing/2014/main" id="{00000000-0008-0000-0A00-000039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13</xdr:row>
      <xdr:rowOff>39688</xdr:rowOff>
    </xdr:from>
    <xdr:to>
      <xdr:col>219</xdr:col>
      <xdr:colOff>460375</xdr:colOff>
      <xdr:row>13</xdr:row>
      <xdr:rowOff>293688</xdr:rowOff>
    </xdr:to>
    <xdr:pic>
      <xdr:nvPicPr>
        <xdr:cNvPr id="53308" name="Picture 53307">
          <a:extLst>
            <a:ext uri="{FF2B5EF4-FFF2-40B4-BE49-F238E27FC236}">
              <a16:creationId xmlns:a16="http://schemas.microsoft.com/office/drawing/2014/main" id="{00000000-0008-0000-0A00-00003C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12</xdr:row>
      <xdr:rowOff>39688</xdr:rowOff>
    </xdr:from>
    <xdr:to>
      <xdr:col>135</xdr:col>
      <xdr:colOff>460375</xdr:colOff>
      <xdr:row>12</xdr:row>
      <xdr:rowOff>293688</xdr:rowOff>
    </xdr:to>
    <xdr:pic>
      <xdr:nvPicPr>
        <xdr:cNvPr id="53311" name="Picture 53310">
          <a:extLst>
            <a:ext uri="{FF2B5EF4-FFF2-40B4-BE49-F238E27FC236}">
              <a16:creationId xmlns:a16="http://schemas.microsoft.com/office/drawing/2014/main" id="{00000000-0008-0000-0A00-00003F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429736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13</xdr:row>
      <xdr:rowOff>39688</xdr:rowOff>
    </xdr:from>
    <xdr:to>
      <xdr:col>147</xdr:col>
      <xdr:colOff>460375</xdr:colOff>
      <xdr:row>13</xdr:row>
      <xdr:rowOff>293688</xdr:rowOff>
    </xdr:to>
    <xdr:pic>
      <xdr:nvPicPr>
        <xdr:cNvPr id="53314" name="Picture 53313">
          <a:extLst>
            <a:ext uri="{FF2B5EF4-FFF2-40B4-BE49-F238E27FC236}">
              <a16:creationId xmlns:a16="http://schemas.microsoft.com/office/drawing/2014/main" id="{00000000-0008-0000-0A00-000042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13</xdr:row>
      <xdr:rowOff>39688</xdr:rowOff>
    </xdr:from>
    <xdr:to>
      <xdr:col>51</xdr:col>
      <xdr:colOff>460375</xdr:colOff>
      <xdr:row>13</xdr:row>
      <xdr:rowOff>293688</xdr:rowOff>
    </xdr:to>
    <xdr:pic>
      <xdr:nvPicPr>
        <xdr:cNvPr id="53317" name="Picture 53316">
          <a:extLst>
            <a:ext uri="{FF2B5EF4-FFF2-40B4-BE49-F238E27FC236}">
              <a16:creationId xmlns:a16="http://schemas.microsoft.com/office/drawing/2014/main" id="{00000000-0008-0000-0A00-000045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14</xdr:row>
      <xdr:rowOff>39688</xdr:rowOff>
    </xdr:from>
    <xdr:to>
      <xdr:col>183</xdr:col>
      <xdr:colOff>460375</xdr:colOff>
      <xdr:row>14</xdr:row>
      <xdr:rowOff>293688</xdr:rowOff>
    </xdr:to>
    <xdr:pic>
      <xdr:nvPicPr>
        <xdr:cNvPr id="53320" name="Picture 53319">
          <a:extLst>
            <a:ext uri="{FF2B5EF4-FFF2-40B4-BE49-F238E27FC236}">
              <a16:creationId xmlns:a16="http://schemas.microsoft.com/office/drawing/2014/main" id="{00000000-0008-0000-0A00-000048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13</xdr:row>
      <xdr:rowOff>39688</xdr:rowOff>
    </xdr:from>
    <xdr:to>
      <xdr:col>75</xdr:col>
      <xdr:colOff>460375</xdr:colOff>
      <xdr:row>13</xdr:row>
      <xdr:rowOff>293688</xdr:rowOff>
    </xdr:to>
    <xdr:pic>
      <xdr:nvPicPr>
        <xdr:cNvPr id="53323" name="Picture 53322">
          <a:extLst>
            <a:ext uri="{FF2B5EF4-FFF2-40B4-BE49-F238E27FC236}">
              <a16:creationId xmlns:a16="http://schemas.microsoft.com/office/drawing/2014/main" id="{00000000-0008-0000-0A00-00004B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14</xdr:row>
      <xdr:rowOff>39688</xdr:rowOff>
    </xdr:from>
    <xdr:to>
      <xdr:col>231</xdr:col>
      <xdr:colOff>460375</xdr:colOff>
      <xdr:row>14</xdr:row>
      <xdr:rowOff>293688</xdr:rowOff>
    </xdr:to>
    <xdr:pic>
      <xdr:nvPicPr>
        <xdr:cNvPr id="53326" name="Picture 53325">
          <a:extLst>
            <a:ext uri="{FF2B5EF4-FFF2-40B4-BE49-F238E27FC236}">
              <a16:creationId xmlns:a16="http://schemas.microsoft.com/office/drawing/2014/main" id="{00000000-0008-0000-0A00-00004E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14</xdr:row>
      <xdr:rowOff>39688</xdr:rowOff>
    </xdr:from>
    <xdr:to>
      <xdr:col>27</xdr:col>
      <xdr:colOff>460375</xdr:colOff>
      <xdr:row>14</xdr:row>
      <xdr:rowOff>293688</xdr:rowOff>
    </xdr:to>
    <xdr:pic>
      <xdr:nvPicPr>
        <xdr:cNvPr id="53329" name="Picture 53328">
          <a:extLst>
            <a:ext uri="{FF2B5EF4-FFF2-40B4-BE49-F238E27FC236}">
              <a16:creationId xmlns:a16="http://schemas.microsoft.com/office/drawing/2014/main" id="{00000000-0008-0000-0A00-000051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14</xdr:row>
      <xdr:rowOff>39688</xdr:rowOff>
    </xdr:from>
    <xdr:to>
      <xdr:col>195</xdr:col>
      <xdr:colOff>460375</xdr:colOff>
      <xdr:row>14</xdr:row>
      <xdr:rowOff>293688</xdr:rowOff>
    </xdr:to>
    <xdr:pic>
      <xdr:nvPicPr>
        <xdr:cNvPr id="53332" name="Picture 53331">
          <a:extLst>
            <a:ext uri="{FF2B5EF4-FFF2-40B4-BE49-F238E27FC236}">
              <a16:creationId xmlns:a16="http://schemas.microsoft.com/office/drawing/2014/main" id="{00000000-0008-0000-0A00-000054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14</xdr:row>
      <xdr:rowOff>39688</xdr:rowOff>
    </xdr:from>
    <xdr:to>
      <xdr:col>39</xdr:col>
      <xdr:colOff>460375</xdr:colOff>
      <xdr:row>14</xdr:row>
      <xdr:rowOff>293688</xdr:rowOff>
    </xdr:to>
    <xdr:pic>
      <xdr:nvPicPr>
        <xdr:cNvPr id="53335" name="Picture 53334">
          <a:extLst>
            <a:ext uri="{FF2B5EF4-FFF2-40B4-BE49-F238E27FC236}">
              <a16:creationId xmlns:a16="http://schemas.microsoft.com/office/drawing/2014/main" id="{00000000-0008-0000-0A00-000057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13</xdr:row>
      <xdr:rowOff>39688</xdr:rowOff>
    </xdr:from>
    <xdr:to>
      <xdr:col>63</xdr:col>
      <xdr:colOff>460375</xdr:colOff>
      <xdr:row>13</xdr:row>
      <xdr:rowOff>293688</xdr:rowOff>
    </xdr:to>
    <xdr:pic>
      <xdr:nvPicPr>
        <xdr:cNvPr id="53338" name="Picture 53337">
          <a:extLst>
            <a:ext uri="{FF2B5EF4-FFF2-40B4-BE49-F238E27FC236}">
              <a16:creationId xmlns:a16="http://schemas.microsoft.com/office/drawing/2014/main" id="{00000000-0008-0000-0A00-00005A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13</xdr:row>
      <xdr:rowOff>39688</xdr:rowOff>
    </xdr:from>
    <xdr:to>
      <xdr:col>135</xdr:col>
      <xdr:colOff>460375</xdr:colOff>
      <xdr:row>13</xdr:row>
      <xdr:rowOff>293688</xdr:rowOff>
    </xdr:to>
    <xdr:pic>
      <xdr:nvPicPr>
        <xdr:cNvPr id="53341" name="Picture 53340">
          <a:extLst>
            <a:ext uri="{FF2B5EF4-FFF2-40B4-BE49-F238E27FC236}">
              <a16:creationId xmlns:a16="http://schemas.microsoft.com/office/drawing/2014/main" id="{00000000-0008-0000-0A00-00005D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14</xdr:row>
      <xdr:rowOff>39688</xdr:rowOff>
    </xdr:from>
    <xdr:to>
      <xdr:col>219</xdr:col>
      <xdr:colOff>460375</xdr:colOff>
      <xdr:row>14</xdr:row>
      <xdr:rowOff>293688</xdr:rowOff>
    </xdr:to>
    <xdr:pic>
      <xdr:nvPicPr>
        <xdr:cNvPr id="53344" name="Picture 53343">
          <a:extLst>
            <a:ext uri="{FF2B5EF4-FFF2-40B4-BE49-F238E27FC236}">
              <a16:creationId xmlns:a16="http://schemas.microsoft.com/office/drawing/2014/main" id="{00000000-0008-0000-0A00-000060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14</xdr:row>
      <xdr:rowOff>39688</xdr:rowOff>
    </xdr:from>
    <xdr:to>
      <xdr:col>171</xdr:col>
      <xdr:colOff>460375</xdr:colOff>
      <xdr:row>14</xdr:row>
      <xdr:rowOff>293688</xdr:rowOff>
    </xdr:to>
    <xdr:pic>
      <xdr:nvPicPr>
        <xdr:cNvPr id="53347" name="Picture 53346">
          <a:extLst>
            <a:ext uri="{FF2B5EF4-FFF2-40B4-BE49-F238E27FC236}">
              <a16:creationId xmlns:a16="http://schemas.microsoft.com/office/drawing/2014/main" id="{00000000-0008-0000-0A00-000063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14</xdr:row>
      <xdr:rowOff>39688</xdr:rowOff>
    </xdr:from>
    <xdr:to>
      <xdr:col>87</xdr:col>
      <xdr:colOff>460375</xdr:colOff>
      <xdr:row>14</xdr:row>
      <xdr:rowOff>293688</xdr:rowOff>
    </xdr:to>
    <xdr:pic>
      <xdr:nvPicPr>
        <xdr:cNvPr id="53350" name="Picture 53349">
          <a:extLst>
            <a:ext uri="{FF2B5EF4-FFF2-40B4-BE49-F238E27FC236}">
              <a16:creationId xmlns:a16="http://schemas.microsoft.com/office/drawing/2014/main" id="{00000000-0008-0000-0A00-000066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13</xdr:row>
      <xdr:rowOff>39688</xdr:rowOff>
    </xdr:from>
    <xdr:to>
      <xdr:col>159</xdr:col>
      <xdr:colOff>460375</xdr:colOff>
      <xdr:row>13</xdr:row>
      <xdr:rowOff>293688</xdr:rowOff>
    </xdr:to>
    <xdr:pic>
      <xdr:nvPicPr>
        <xdr:cNvPr id="53353" name="Picture 53352">
          <a:extLst>
            <a:ext uri="{FF2B5EF4-FFF2-40B4-BE49-F238E27FC236}">
              <a16:creationId xmlns:a16="http://schemas.microsoft.com/office/drawing/2014/main" id="{00000000-0008-0000-0A00-000069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14</xdr:row>
      <xdr:rowOff>39688</xdr:rowOff>
    </xdr:from>
    <xdr:to>
      <xdr:col>207</xdr:col>
      <xdr:colOff>460375</xdr:colOff>
      <xdr:row>14</xdr:row>
      <xdr:rowOff>293688</xdr:rowOff>
    </xdr:to>
    <xdr:pic>
      <xdr:nvPicPr>
        <xdr:cNvPr id="53356" name="Picture 53355">
          <a:extLst>
            <a:ext uri="{FF2B5EF4-FFF2-40B4-BE49-F238E27FC236}">
              <a16:creationId xmlns:a16="http://schemas.microsoft.com/office/drawing/2014/main" id="{00000000-0008-0000-0A00-00006C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14</xdr:row>
      <xdr:rowOff>39688</xdr:rowOff>
    </xdr:from>
    <xdr:to>
      <xdr:col>99</xdr:col>
      <xdr:colOff>460375</xdr:colOff>
      <xdr:row>14</xdr:row>
      <xdr:rowOff>293688</xdr:rowOff>
    </xdr:to>
    <xdr:pic>
      <xdr:nvPicPr>
        <xdr:cNvPr id="53359" name="Picture 53358">
          <a:extLst>
            <a:ext uri="{FF2B5EF4-FFF2-40B4-BE49-F238E27FC236}">
              <a16:creationId xmlns:a16="http://schemas.microsoft.com/office/drawing/2014/main" id="{00000000-0008-0000-0A00-00006F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14</xdr:row>
      <xdr:rowOff>39688</xdr:rowOff>
    </xdr:from>
    <xdr:to>
      <xdr:col>15</xdr:col>
      <xdr:colOff>460375</xdr:colOff>
      <xdr:row>14</xdr:row>
      <xdr:rowOff>293688</xdr:rowOff>
    </xdr:to>
    <xdr:pic>
      <xdr:nvPicPr>
        <xdr:cNvPr id="53362" name="Picture 53361">
          <a:extLst>
            <a:ext uri="{FF2B5EF4-FFF2-40B4-BE49-F238E27FC236}">
              <a16:creationId xmlns:a16="http://schemas.microsoft.com/office/drawing/2014/main" id="{00000000-0008-0000-0A00-000072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14</xdr:row>
      <xdr:rowOff>39688</xdr:rowOff>
    </xdr:from>
    <xdr:to>
      <xdr:col>123</xdr:col>
      <xdr:colOff>460375</xdr:colOff>
      <xdr:row>14</xdr:row>
      <xdr:rowOff>293688</xdr:rowOff>
    </xdr:to>
    <xdr:pic>
      <xdr:nvPicPr>
        <xdr:cNvPr id="53365" name="Picture 53364">
          <a:extLst>
            <a:ext uri="{FF2B5EF4-FFF2-40B4-BE49-F238E27FC236}">
              <a16:creationId xmlns:a16="http://schemas.microsoft.com/office/drawing/2014/main" id="{00000000-0008-0000-0A00-000075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13</xdr:row>
      <xdr:rowOff>39688</xdr:rowOff>
    </xdr:from>
    <xdr:to>
      <xdr:col>111</xdr:col>
      <xdr:colOff>460375</xdr:colOff>
      <xdr:row>13</xdr:row>
      <xdr:rowOff>293688</xdr:rowOff>
    </xdr:to>
    <xdr:pic>
      <xdr:nvPicPr>
        <xdr:cNvPr id="53368" name="Picture 53367">
          <a:extLst>
            <a:ext uri="{FF2B5EF4-FFF2-40B4-BE49-F238E27FC236}">
              <a16:creationId xmlns:a16="http://schemas.microsoft.com/office/drawing/2014/main" id="{00000000-0008-0000-0A00-000078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463073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15</xdr:row>
      <xdr:rowOff>39688</xdr:rowOff>
    </xdr:from>
    <xdr:to>
      <xdr:col>183</xdr:col>
      <xdr:colOff>460375</xdr:colOff>
      <xdr:row>15</xdr:row>
      <xdr:rowOff>293688</xdr:rowOff>
    </xdr:to>
    <xdr:pic>
      <xdr:nvPicPr>
        <xdr:cNvPr id="53371" name="Picture 53370">
          <a:extLst>
            <a:ext uri="{FF2B5EF4-FFF2-40B4-BE49-F238E27FC236}">
              <a16:creationId xmlns:a16="http://schemas.microsoft.com/office/drawing/2014/main" id="{00000000-0008-0000-0A00-00007B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14</xdr:row>
      <xdr:rowOff>39688</xdr:rowOff>
    </xdr:from>
    <xdr:to>
      <xdr:col>135</xdr:col>
      <xdr:colOff>460375</xdr:colOff>
      <xdr:row>14</xdr:row>
      <xdr:rowOff>293688</xdr:rowOff>
    </xdr:to>
    <xdr:pic>
      <xdr:nvPicPr>
        <xdr:cNvPr id="53374" name="Picture 53373">
          <a:extLst>
            <a:ext uri="{FF2B5EF4-FFF2-40B4-BE49-F238E27FC236}">
              <a16:creationId xmlns:a16="http://schemas.microsoft.com/office/drawing/2014/main" id="{00000000-0008-0000-0A00-00007E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15</xdr:row>
      <xdr:rowOff>39688</xdr:rowOff>
    </xdr:from>
    <xdr:to>
      <xdr:col>87</xdr:col>
      <xdr:colOff>460375</xdr:colOff>
      <xdr:row>15</xdr:row>
      <xdr:rowOff>293688</xdr:rowOff>
    </xdr:to>
    <xdr:pic>
      <xdr:nvPicPr>
        <xdr:cNvPr id="53377" name="Picture 53376">
          <a:extLst>
            <a:ext uri="{FF2B5EF4-FFF2-40B4-BE49-F238E27FC236}">
              <a16:creationId xmlns:a16="http://schemas.microsoft.com/office/drawing/2014/main" id="{00000000-0008-0000-0A00-000081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14</xdr:row>
      <xdr:rowOff>39688</xdr:rowOff>
    </xdr:from>
    <xdr:to>
      <xdr:col>75</xdr:col>
      <xdr:colOff>460375</xdr:colOff>
      <xdr:row>14</xdr:row>
      <xdr:rowOff>293688</xdr:rowOff>
    </xdr:to>
    <xdr:pic>
      <xdr:nvPicPr>
        <xdr:cNvPr id="53380" name="Picture 53379">
          <a:extLst>
            <a:ext uri="{FF2B5EF4-FFF2-40B4-BE49-F238E27FC236}">
              <a16:creationId xmlns:a16="http://schemas.microsoft.com/office/drawing/2014/main" id="{00000000-0008-0000-0A00-000084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14</xdr:row>
      <xdr:rowOff>39688</xdr:rowOff>
    </xdr:from>
    <xdr:to>
      <xdr:col>147</xdr:col>
      <xdr:colOff>460375</xdr:colOff>
      <xdr:row>14</xdr:row>
      <xdr:rowOff>293688</xdr:rowOff>
    </xdr:to>
    <xdr:pic>
      <xdr:nvPicPr>
        <xdr:cNvPr id="53383" name="Picture 53382">
          <a:extLst>
            <a:ext uri="{FF2B5EF4-FFF2-40B4-BE49-F238E27FC236}">
              <a16:creationId xmlns:a16="http://schemas.microsoft.com/office/drawing/2014/main" id="{00000000-0008-0000-0A00-000087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14</xdr:row>
      <xdr:rowOff>39688</xdr:rowOff>
    </xdr:from>
    <xdr:to>
      <xdr:col>51</xdr:col>
      <xdr:colOff>460375</xdr:colOff>
      <xdr:row>14</xdr:row>
      <xdr:rowOff>293688</xdr:rowOff>
    </xdr:to>
    <xdr:pic>
      <xdr:nvPicPr>
        <xdr:cNvPr id="53386" name="Picture 53385">
          <a:extLst>
            <a:ext uri="{FF2B5EF4-FFF2-40B4-BE49-F238E27FC236}">
              <a16:creationId xmlns:a16="http://schemas.microsoft.com/office/drawing/2014/main" id="{00000000-0008-0000-0A00-00008A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14</xdr:row>
      <xdr:rowOff>39688</xdr:rowOff>
    </xdr:from>
    <xdr:to>
      <xdr:col>63</xdr:col>
      <xdr:colOff>460375</xdr:colOff>
      <xdr:row>14</xdr:row>
      <xdr:rowOff>293688</xdr:rowOff>
    </xdr:to>
    <xdr:pic>
      <xdr:nvPicPr>
        <xdr:cNvPr id="53389" name="Picture 53388">
          <a:extLst>
            <a:ext uri="{FF2B5EF4-FFF2-40B4-BE49-F238E27FC236}">
              <a16:creationId xmlns:a16="http://schemas.microsoft.com/office/drawing/2014/main" id="{00000000-0008-0000-0A00-00008D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14</xdr:row>
      <xdr:rowOff>39688</xdr:rowOff>
    </xdr:from>
    <xdr:to>
      <xdr:col>159</xdr:col>
      <xdr:colOff>460375</xdr:colOff>
      <xdr:row>14</xdr:row>
      <xdr:rowOff>293688</xdr:rowOff>
    </xdr:to>
    <xdr:pic>
      <xdr:nvPicPr>
        <xdr:cNvPr id="53392" name="Picture 53391">
          <a:extLst>
            <a:ext uri="{FF2B5EF4-FFF2-40B4-BE49-F238E27FC236}">
              <a16:creationId xmlns:a16="http://schemas.microsoft.com/office/drawing/2014/main" id="{00000000-0008-0000-0A00-000090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15</xdr:row>
      <xdr:rowOff>39688</xdr:rowOff>
    </xdr:from>
    <xdr:to>
      <xdr:col>15</xdr:col>
      <xdr:colOff>460375</xdr:colOff>
      <xdr:row>15</xdr:row>
      <xdr:rowOff>293688</xdr:rowOff>
    </xdr:to>
    <xdr:pic>
      <xdr:nvPicPr>
        <xdr:cNvPr id="53395" name="Picture 53394">
          <a:extLst>
            <a:ext uri="{FF2B5EF4-FFF2-40B4-BE49-F238E27FC236}">
              <a16:creationId xmlns:a16="http://schemas.microsoft.com/office/drawing/2014/main" id="{00000000-0008-0000-0A00-000093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15</xdr:row>
      <xdr:rowOff>39688</xdr:rowOff>
    </xdr:from>
    <xdr:to>
      <xdr:col>39</xdr:col>
      <xdr:colOff>460375</xdr:colOff>
      <xdr:row>15</xdr:row>
      <xdr:rowOff>293688</xdr:rowOff>
    </xdr:to>
    <xdr:pic>
      <xdr:nvPicPr>
        <xdr:cNvPr id="53398" name="Picture 53397">
          <a:extLst>
            <a:ext uri="{FF2B5EF4-FFF2-40B4-BE49-F238E27FC236}">
              <a16:creationId xmlns:a16="http://schemas.microsoft.com/office/drawing/2014/main" id="{00000000-0008-0000-0A00-000096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14</xdr:row>
      <xdr:rowOff>39688</xdr:rowOff>
    </xdr:from>
    <xdr:to>
      <xdr:col>111</xdr:col>
      <xdr:colOff>460375</xdr:colOff>
      <xdr:row>14</xdr:row>
      <xdr:rowOff>293688</xdr:rowOff>
    </xdr:to>
    <xdr:pic>
      <xdr:nvPicPr>
        <xdr:cNvPr id="53401" name="Picture 53400">
          <a:extLst>
            <a:ext uri="{FF2B5EF4-FFF2-40B4-BE49-F238E27FC236}">
              <a16:creationId xmlns:a16="http://schemas.microsoft.com/office/drawing/2014/main" id="{00000000-0008-0000-0A00-000099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15</xdr:row>
      <xdr:rowOff>39688</xdr:rowOff>
    </xdr:from>
    <xdr:to>
      <xdr:col>99</xdr:col>
      <xdr:colOff>460375</xdr:colOff>
      <xdr:row>15</xdr:row>
      <xdr:rowOff>293688</xdr:rowOff>
    </xdr:to>
    <xdr:pic>
      <xdr:nvPicPr>
        <xdr:cNvPr id="53404" name="Picture 53403">
          <a:extLst>
            <a:ext uri="{FF2B5EF4-FFF2-40B4-BE49-F238E27FC236}">
              <a16:creationId xmlns:a16="http://schemas.microsoft.com/office/drawing/2014/main" id="{00000000-0008-0000-0A00-00009C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15</xdr:row>
      <xdr:rowOff>39688</xdr:rowOff>
    </xdr:from>
    <xdr:to>
      <xdr:col>195</xdr:col>
      <xdr:colOff>460375</xdr:colOff>
      <xdr:row>15</xdr:row>
      <xdr:rowOff>293688</xdr:rowOff>
    </xdr:to>
    <xdr:pic>
      <xdr:nvPicPr>
        <xdr:cNvPr id="53407" name="Picture 53406">
          <a:extLst>
            <a:ext uri="{FF2B5EF4-FFF2-40B4-BE49-F238E27FC236}">
              <a16:creationId xmlns:a16="http://schemas.microsoft.com/office/drawing/2014/main" id="{00000000-0008-0000-0A00-00009F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14</xdr:row>
      <xdr:rowOff>39688</xdr:rowOff>
    </xdr:from>
    <xdr:to>
      <xdr:col>3</xdr:col>
      <xdr:colOff>460375</xdr:colOff>
      <xdr:row>14</xdr:row>
      <xdr:rowOff>293688</xdr:rowOff>
    </xdr:to>
    <xdr:pic>
      <xdr:nvPicPr>
        <xdr:cNvPr id="53410" name="Picture 53409">
          <a:extLst>
            <a:ext uri="{FF2B5EF4-FFF2-40B4-BE49-F238E27FC236}">
              <a16:creationId xmlns:a16="http://schemas.microsoft.com/office/drawing/2014/main" id="{00000000-0008-0000-0A00-0000A2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496411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15</xdr:row>
      <xdr:rowOff>39688</xdr:rowOff>
    </xdr:from>
    <xdr:to>
      <xdr:col>231</xdr:col>
      <xdr:colOff>460375</xdr:colOff>
      <xdr:row>15</xdr:row>
      <xdr:rowOff>293688</xdr:rowOff>
    </xdr:to>
    <xdr:pic>
      <xdr:nvPicPr>
        <xdr:cNvPr id="53413" name="Picture 53412">
          <a:extLst>
            <a:ext uri="{FF2B5EF4-FFF2-40B4-BE49-F238E27FC236}">
              <a16:creationId xmlns:a16="http://schemas.microsoft.com/office/drawing/2014/main" id="{00000000-0008-0000-0A00-0000A5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15</xdr:row>
      <xdr:rowOff>39688</xdr:rowOff>
    </xdr:from>
    <xdr:to>
      <xdr:col>123</xdr:col>
      <xdr:colOff>460375</xdr:colOff>
      <xdr:row>15</xdr:row>
      <xdr:rowOff>293688</xdr:rowOff>
    </xdr:to>
    <xdr:pic>
      <xdr:nvPicPr>
        <xdr:cNvPr id="53416" name="Picture 53415">
          <a:extLst>
            <a:ext uri="{FF2B5EF4-FFF2-40B4-BE49-F238E27FC236}">
              <a16:creationId xmlns:a16="http://schemas.microsoft.com/office/drawing/2014/main" id="{00000000-0008-0000-0A00-0000A8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15</xdr:row>
      <xdr:rowOff>39688</xdr:rowOff>
    </xdr:from>
    <xdr:to>
      <xdr:col>207</xdr:col>
      <xdr:colOff>460375</xdr:colOff>
      <xdr:row>15</xdr:row>
      <xdr:rowOff>293688</xdr:rowOff>
    </xdr:to>
    <xdr:pic>
      <xdr:nvPicPr>
        <xdr:cNvPr id="53419" name="Picture 53418">
          <a:extLst>
            <a:ext uri="{FF2B5EF4-FFF2-40B4-BE49-F238E27FC236}">
              <a16:creationId xmlns:a16="http://schemas.microsoft.com/office/drawing/2014/main" id="{00000000-0008-0000-0A00-0000AB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15</xdr:row>
      <xdr:rowOff>39688</xdr:rowOff>
    </xdr:from>
    <xdr:to>
      <xdr:col>171</xdr:col>
      <xdr:colOff>460375</xdr:colOff>
      <xdr:row>15</xdr:row>
      <xdr:rowOff>293688</xdr:rowOff>
    </xdr:to>
    <xdr:pic>
      <xdr:nvPicPr>
        <xdr:cNvPr id="53422" name="Picture 53421">
          <a:extLst>
            <a:ext uri="{FF2B5EF4-FFF2-40B4-BE49-F238E27FC236}">
              <a16:creationId xmlns:a16="http://schemas.microsoft.com/office/drawing/2014/main" id="{00000000-0008-0000-0A00-0000AE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15</xdr:row>
      <xdr:rowOff>39688</xdr:rowOff>
    </xdr:from>
    <xdr:to>
      <xdr:col>219</xdr:col>
      <xdr:colOff>460375</xdr:colOff>
      <xdr:row>15</xdr:row>
      <xdr:rowOff>293688</xdr:rowOff>
    </xdr:to>
    <xdr:pic>
      <xdr:nvPicPr>
        <xdr:cNvPr id="53425" name="Picture 53424">
          <a:extLst>
            <a:ext uri="{FF2B5EF4-FFF2-40B4-BE49-F238E27FC236}">
              <a16:creationId xmlns:a16="http://schemas.microsoft.com/office/drawing/2014/main" id="{00000000-0008-0000-0A00-0000B1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15</xdr:row>
      <xdr:rowOff>39688</xdr:rowOff>
    </xdr:from>
    <xdr:to>
      <xdr:col>27</xdr:col>
      <xdr:colOff>460375</xdr:colOff>
      <xdr:row>15</xdr:row>
      <xdr:rowOff>293688</xdr:rowOff>
    </xdr:to>
    <xdr:pic>
      <xdr:nvPicPr>
        <xdr:cNvPr id="53428" name="Picture 53427">
          <a:extLst>
            <a:ext uri="{FF2B5EF4-FFF2-40B4-BE49-F238E27FC236}">
              <a16:creationId xmlns:a16="http://schemas.microsoft.com/office/drawing/2014/main" id="{00000000-0008-0000-0A00-0000B4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16</xdr:row>
      <xdr:rowOff>39688</xdr:rowOff>
    </xdr:from>
    <xdr:to>
      <xdr:col>123</xdr:col>
      <xdr:colOff>460375</xdr:colOff>
      <xdr:row>16</xdr:row>
      <xdr:rowOff>293688</xdr:rowOff>
    </xdr:to>
    <xdr:pic>
      <xdr:nvPicPr>
        <xdr:cNvPr id="53431" name="Picture 53430">
          <a:extLst>
            <a:ext uri="{FF2B5EF4-FFF2-40B4-BE49-F238E27FC236}">
              <a16:creationId xmlns:a16="http://schemas.microsoft.com/office/drawing/2014/main" id="{00000000-0008-0000-0A00-0000B7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563086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15</xdr:row>
      <xdr:rowOff>39688</xdr:rowOff>
    </xdr:from>
    <xdr:to>
      <xdr:col>147</xdr:col>
      <xdr:colOff>460375</xdr:colOff>
      <xdr:row>15</xdr:row>
      <xdr:rowOff>293688</xdr:rowOff>
    </xdr:to>
    <xdr:pic>
      <xdr:nvPicPr>
        <xdr:cNvPr id="53434" name="Picture 53433">
          <a:extLst>
            <a:ext uri="{FF2B5EF4-FFF2-40B4-BE49-F238E27FC236}">
              <a16:creationId xmlns:a16="http://schemas.microsoft.com/office/drawing/2014/main" id="{00000000-0008-0000-0A00-0000BA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16</xdr:row>
      <xdr:rowOff>39688</xdr:rowOff>
    </xdr:from>
    <xdr:to>
      <xdr:col>27</xdr:col>
      <xdr:colOff>460375</xdr:colOff>
      <xdr:row>16</xdr:row>
      <xdr:rowOff>293688</xdr:rowOff>
    </xdr:to>
    <xdr:pic>
      <xdr:nvPicPr>
        <xdr:cNvPr id="53437" name="Picture 53436">
          <a:extLst>
            <a:ext uri="{FF2B5EF4-FFF2-40B4-BE49-F238E27FC236}">
              <a16:creationId xmlns:a16="http://schemas.microsoft.com/office/drawing/2014/main" id="{00000000-0008-0000-0A00-0000BD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563086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16</xdr:row>
      <xdr:rowOff>39688</xdr:rowOff>
    </xdr:from>
    <xdr:to>
      <xdr:col>207</xdr:col>
      <xdr:colOff>460375</xdr:colOff>
      <xdr:row>16</xdr:row>
      <xdr:rowOff>293688</xdr:rowOff>
    </xdr:to>
    <xdr:pic>
      <xdr:nvPicPr>
        <xdr:cNvPr id="53440" name="Picture 53439">
          <a:extLst>
            <a:ext uri="{FF2B5EF4-FFF2-40B4-BE49-F238E27FC236}">
              <a16:creationId xmlns:a16="http://schemas.microsoft.com/office/drawing/2014/main" id="{00000000-0008-0000-0A00-0000C0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563086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16</xdr:row>
      <xdr:rowOff>39688</xdr:rowOff>
    </xdr:from>
    <xdr:to>
      <xdr:col>39</xdr:col>
      <xdr:colOff>460375</xdr:colOff>
      <xdr:row>16</xdr:row>
      <xdr:rowOff>293688</xdr:rowOff>
    </xdr:to>
    <xdr:pic>
      <xdr:nvPicPr>
        <xdr:cNvPr id="53443" name="Picture 53442">
          <a:extLst>
            <a:ext uri="{FF2B5EF4-FFF2-40B4-BE49-F238E27FC236}">
              <a16:creationId xmlns:a16="http://schemas.microsoft.com/office/drawing/2014/main" id="{00000000-0008-0000-0A00-0000C3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563086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16</xdr:row>
      <xdr:rowOff>39688</xdr:rowOff>
    </xdr:from>
    <xdr:to>
      <xdr:col>231</xdr:col>
      <xdr:colOff>460375</xdr:colOff>
      <xdr:row>16</xdr:row>
      <xdr:rowOff>293688</xdr:rowOff>
    </xdr:to>
    <xdr:pic>
      <xdr:nvPicPr>
        <xdr:cNvPr id="53446" name="Picture 53445">
          <a:extLst>
            <a:ext uri="{FF2B5EF4-FFF2-40B4-BE49-F238E27FC236}">
              <a16:creationId xmlns:a16="http://schemas.microsoft.com/office/drawing/2014/main" id="{00000000-0008-0000-0A00-0000C6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563086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15</xdr:row>
      <xdr:rowOff>39688</xdr:rowOff>
    </xdr:from>
    <xdr:to>
      <xdr:col>51</xdr:col>
      <xdr:colOff>460375</xdr:colOff>
      <xdr:row>15</xdr:row>
      <xdr:rowOff>293688</xdr:rowOff>
    </xdr:to>
    <xdr:pic>
      <xdr:nvPicPr>
        <xdr:cNvPr id="53449" name="Picture 53448">
          <a:extLst>
            <a:ext uri="{FF2B5EF4-FFF2-40B4-BE49-F238E27FC236}">
              <a16:creationId xmlns:a16="http://schemas.microsoft.com/office/drawing/2014/main" id="{00000000-0008-0000-0A00-0000C9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15</xdr:row>
      <xdr:rowOff>39688</xdr:rowOff>
    </xdr:from>
    <xdr:to>
      <xdr:col>63</xdr:col>
      <xdr:colOff>460375</xdr:colOff>
      <xdr:row>15</xdr:row>
      <xdr:rowOff>293688</xdr:rowOff>
    </xdr:to>
    <xdr:pic>
      <xdr:nvPicPr>
        <xdr:cNvPr id="53452" name="Picture 53451">
          <a:extLst>
            <a:ext uri="{FF2B5EF4-FFF2-40B4-BE49-F238E27FC236}">
              <a16:creationId xmlns:a16="http://schemas.microsoft.com/office/drawing/2014/main" id="{00000000-0008-0000-0A00-0000CC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15</xdr:row>
      <xdr:rowOff>39688</xdr:rowOff>
    </xdr:from>
    <xdr:to>
      <xdr:col>75</xdr:col>
      <xdr:colOff>460375</xdr:colOff>
      <xdr:row>15</xdr:row>
      <xdr:rowOff>293688</xdr:rowOff>
    </xdr:to>
    <xdr:pic>
      <xdr:nvPicPr>
        <xdr:cNvPr id="53455" name="Picture 53454">
          <a:extLst>
            <a:ext uri="{FF2B5EF4-FFF2-40B4-BE49-F238E27FC236}">
              <a16:creationId xmlns:a16="http://schemas.microsoft.com/office/drawing/2014/main" id="{00000000-0008-0000-0A00-0000CF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16</xdr:row>
      <xdr:rowOff>39688</xdr:rowOff>
    </xdr:from>
    <xdr:to>
      <xdr:col>195</xdr:col>
      <xdr:colOff>460375</xdr:colOff>
      <xdr:row>16</xdr:row>
      <xdr:rowOff>293688</xdr:rowOff>
    </xdr:to>
    <xdr:pic>
      <xdr:nvPicPr>
        <xdr:cNvPr id="53458" name="Picture 53457">
          <a:extLst>
            <a:ext uri="{FF2B5EF4-FFF2-40B4-BE49-F238E27FC236}">
              <a16:creationId xmlns:a16="http://schemas.microsoft.com/office/drawing/2014/main" id="{00000000-0008-0000-0A00-0000D2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563086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16</xdr:row>
      <xdr:rowOff>39688</xdr:rowOff>
    </xdr:from>
    <xdr:to>
      <xdr:col>171</xdr:col>
      <xdr:colOff>460375</xdr:colOff>
      <xdr:row>16</xdr:row>
      <xdr:rowOff>293688</xdr:rowOff>
    </xdr:to>
    <xdr:pic>
      <xdr:nvPicPr>
        <xdr:cNvPr id="53461" name="Picture 53460">
          <a:extLst>
            <a:ext uri="{FF2B5EF4-FFF2-40B4-BE49-F238E27FC236}">
              <a16:creationId xmlns:a16="http://schemas.microsoft.com/office/drawing/2014/main" id="{00000000-0008-0000-0A00-0000D5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563086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16</xdr:row>
      <xdr:rowOff>39688</xdr:rowOff>
    </xdr:from>
    <xdr:to>
      <xdr:col>15</xdr:col>
      <xdr:colOff>460375</xdr:colOff>
      <xdr:row>16</xdr:row>
      <xdr:rowOff>293688</xdr:rowOff>
    </xdr:to>
    <xdr:pic>
      <xdr:nvPicPr>
        <xdr:cNvPr id="53464" name="Picture 53463">
          <a:extLst>
            <a:ext uri="{FF2B5EF4-FFF2-40B4-BE49-F238E27FC236}">
              <a16:creationId xmlns:a16="http://schemas.microsoft.com/office/drawing/2014/main" id="{00000000-0008-0000-0A00-0000D8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563086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16</xdr:row>
      <xdr:rowOff>39688</xdr:rowOff>
    </xdr:from>
    <xdr:to>
      <xdr:col>99</xdr:col>
      <xdr:colOff>460375</xdr:colOff>
      <xdr:row>16</xdr:row>
      <xdr:rowOff>293688</xdr:rowOff>
    </xdr:to>
    <xdr:pic>
      <xdr:nvPicPr>
        <xdr:cNvPr id="53467" name="Picture 53466">
          <a:extLst>
            <a:ext uri="{FF2B5EF4-FFF2-40B4-BE49-F238E27FC236}">
              <a16:creationId xmlns:a16="http://schemas.microsoft.com/office/drawing/2014/main" id="{00000000-0008-0000-0A00-0000DB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563086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16</xdr:row>
      <xdr:rowOff>39688</xdr:rowOff>
    </xdr:from>
    <xdr:to>
      <xdr:col>87</xdr:col>
      <xdr:colOff>460375</xdr:colOff>
      <xdr:row>16</xdr:row>
      <xdr:rowOff>293688</xdr:rowOff>
    </xdr:to>
    <xdr:pic>
      <xdr:nvPicPr>
        <xdr:cNvPr id="53470" name="Picture 53469">
          <a:extLst>
            <a:ext uri="{FF2B5EF4-FFF2-40B4-BE49-F238E27FC236}">
              <a16:creationId xmlns:a16="http://schemas.microsoft.com/office/drawing/2014/main" id="{00000000-0008-0000-0A00-0000DE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563086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15</xdr:row>
      <xdr:rowOff>39688</xdr:rowOff>
    </xdr:from>
    <xdr:to>
      <xdr:col>135</xdr:col>
      <xdr:colOff>460375</xdr:colOff>
      <xdr:row>15</xdr:row>
      <xdr:rowOff>293688</xdr:rowOff>
    </xdr:to>
    <xdr:pic>
      <xdr:nvPicPr>
        <xdr:cNvPr id="53473" name="Picture 53472">
          <a:extLst>
            <a:ext uri="{FF2B5EF4-FFF2-40B4-BE49-F238E27FC236}">
              <a16:creationId xmlns:a16="http://schemas.microsoft.com/office/drawing/2014/main" id="{00000000-0008-0000-0A00-0000E1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15</xdr:row>
      <xdr:rowOff>39688</xdr:rowOff>
    </xdr:from>
    <xdr:to>
      <xdr:col>111</xdr:col>
      <xdr:colOff>460375</xdr:colOff>
      <xdr:row>15</xdr:row>
      <xdr:rowOff>293688</xdr:rowOff>
    </xdr:to>
    <xdr:pic>
      <xdr:nvPicPr>
        <xdr:cNvPr id="53476" name="Picture 53475">
          <a:extLst>
            <a:ext uri="{FF2B5EF4-FFF2-40B4-BE49-F238E27FC236}">
              <a16:creationId xmlns:a16="http://schemas.microsoft.com/office/drawing/2014/main" id="{00000000-0008-0000-0A00-0000E4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15</xdr:row>
      <xdr:rowOff>39688</xdr:rowOff>
    </xdr:from>
    <xdr:to>
      <xdr:col>3</xdr:col>
      <xdr:colOff>460375</xdr:colOff>
      <xdr:row>15</xdr:row>
      <xdr:rowOff>293688</xdr:rowOff>
    </xdr:to>
    <xdr:pic>
      <xdr:nvPicPr>
        <xdr:cNvPr id="53479" name="Picture 53478">
          <a:extLst>
            <a:ext uri="{FF2B5EF4-FFF2-40B4-BE49-F238E27FC236}">
              <a16:creationId xmlns:a16="http://schemas.microsoft.com/office/drawing/2014/main" id="{00000000-0008-0000-0A00-0000E7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16</xdr:row>
      <xdr:rowOff>39688</xdr:rowOff>
    </xdr:from>
    <xdr:to>
      <xdr:col>183</xdr:col>
      <xdr:colOff>460375</xdr:colOff>
      <xdr:row>16</xdr:row>
      <xdr:rowOff>293688</xdr:rowOff>
    </xdr:to>
    <xdr:pic>
      <xdr:nvPicPr>
        <xdr:cNvPr id="53482" name="Picture 53481">
          <a:extLst>
            <a:ext uri="{FF2B5EF4-FFF2-40B4-BE49-F238E27FC236}">
              <a16:creationId xmlns:a16="http://schemas.microsoft.com/office/drawing/2014/main" id="{00000000-0008-0000-0A00-0000EA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563086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15</xdr:row>
      <xdr:rowOff>39688</xdr:rowOff>
    </xdr:from>
    <xdr:to>
      <xdr:col>159</xdr:col>
      <xdr:colOff>460375</xdr:colOff>
      <xdr:row>15</xdr:row>
      <xdr:rowOff>293688</xdr:rowOff>
    </xdr:to>
    <xdr:pic>
      <xdr:nvPicPr>
        <xdr:cNvPr id="53485" name="Picture 53484">
          <a:extLst>
            <a:ext uri="{FF2B5EF4-FFF2-40B4-BE49-F238E27FC236}">
              <a16:creationId xmlns:a16="http://schemas.microsoft.com/office/drawing/2014/main" id="{00000000-0008-0000-0A00-0000ED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529748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16</xdr:row>
      <xdr:rowOff>39688</xdr:rowOff>
    </xdr:from>
    <xdr:to>
      <xdr:col>219</xdr:col>
      <xdr:colOff>460375</xdr:colOff>
      <xdr:row>16</xdr:row>
      <xdr:rowOff>293688</xdr:rowOff>
    </xdr:to>
    <xdr:pic>
      <xdr:nvPicPr>
        <xdr:cNvPr id="53488" name="Picture 53487">
          <a:extLst>
            <a:ext uri="{FF2B5EF4-FFF2-40B4-BE49-F238E27FC236}">
              <a16:creationId xmlns:a16="http://schemas.microsoft.com/office/drawing/2014/main" id="{00000000-0008-0000-0A00-0000F0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563086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17</xdr:row>
      <xdr:rowOff>39688</xdr:rowOff>
    </xdr:from>
    <xdr:to>
      <xdr:col>111</xdr:col>
      <xdr:colOff>460375</xdr:colOff>
      <xdr:row>17</xdr:row>
      <xdr:rowOff>293688</xdr:rowOff>
    </xdr:to>
    <xdr:pic>
      <xdr:nvPicPr>
        <xdr:cNvPr id="53491" name="Picture 53490">
          <a:extLst>
            <a:ext uri="{FF2B5EF4-FFF2-40B4-BE49-F238E27FC236}">
              <a16:creationId xmlns:a16="http://schemas.microsoft.com/office/drawing/2014/main" id="{00000000-0008-0000-0A00-0000F3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596423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18</xdr:row>
      <xdr:rowOff>39688</xdr:rowOff>
    </xdr:from>
    <xdr:to>
      <xdr:col>27</xdr:col>
      <xdr:colOff>460375</xdr:colOff>
      <xdr:row>18</xdr:row>
      <xdr:rowOff>293688</xdr:rowOff>
    </xdr:to>
    <xdr:pic>
      <xdr:nvPicPr>
        <xdr:cNvPr id="53494" name="Picture 53493">
          <a:extLst>
            <a:ext uri="{FF2B5EF4-FFF2-40B4-BE49-F238E27FC236}">
              <a16:creationId xmlns:a16="http://schemas.microsoft.com/office/drawing/2014/main" id="{00000000-0008-0000-0A00-0000F6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17</xdr:row>
      <xdr:rowOff>39688</xdr:rowOff>
    </xdr:from>
    <xdr:to>
      <xdr:col>147</xdr:col>
      <xdr:colOff>460375</xdr:colOff>
      <xdr:row>17</xdr:row>
      <xdr:rowOff>293688</xdr:rowOff>
    </xdr:to>
    <xdr:pic>
      <xdr:nvPicPr>
        <xdr:cNvPr id="53497" name="Picture 53496">
          <a:extLst>
            <a:ext uri="{FF2B5EF4-FFF2-40B4-BE49-F238E27FC236}">
              <a16:creationId xmlns:a16="http://schemas.microsoft.com/office/drawing/2014/main" id="{00000000-0008-0000-0A00-0000F9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5964238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18</xdr:row>
      <xdr:rowOff>39688</xdr:rowOff>
    </xdr:from>
    <xdr:to>
      <xdr:col>99</xdr:col>
      <xdr:colOff>460375</xdr:colOff>
      <xdr:row>18</xdr:row>
      <xdr:rowOff>293688</xdr:rowOff>
    </xdr:to>
    <xdr:pic>
      <xdr:nvPicPr>
        <xdr:cNvPr id="53500" name="Picture 53499">
          <a:extLst>
            <a:ext uri="{FF2B5EF4-FFF2-40B4-BE49-F238E27FC236}">
              <a16:creationId xmlns:a16="http://schemas.microsoft.com/office/drawing/2014/main" id="{00000000-0008-0000-0A00-0000FC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18</xdr:row>
      <xdr:rowOff>39688</xdr:rowOff>
    </xdr:from>
    <xdr:to>
      <xdr:col>183</xdr:col>
      <xdr:colOff>460375</xdr:colOff>
      <xdr:row>18</xdr:row>
      <xdr:rowOff>293688</xdr:rowOff>
    </xdr:to>
    <xdr:pic>
      <xdr:nvPicPr>
        <xdr:cNvPr id="53503" name="Picture 53502">
          <a:extLst>
            <a:ext uri="{FF2B5EF4-FFF2-40B4-BE49-F238E27FC236}">
              <a16:creationId xmlns:a16="http://schemas.microsoft.com/office/drawing/2014/main" id="{00000000-0008-0000-0A00-0000FF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18</xdr:row>
      <xdr:rowOff>39688</xdr:rowOff>
    </xdr:from>
    <xdr:to>
      <xdr:col>39</xdr:col>
      <xdr:colOff>460375</xdr:colOff>
      <xdr:row>18</xdr:row>
      <xdr:rowOff>293688</xdr:rowOff>
    </xdr:to>
    <xdr:pic>
      <xdr:nvPicPr>
        <xdr:cNvPr id="53506" name="Picture 53505">
          <a:extLst>
            <a:ext uri="{FF2B5EF4-FFF2-40B4-BE49-F238E27FC236}">
              <a16:creationId xmlns:a16="http://schemas.microsoft.com/office/drawing/2014/main" id="{00000000-0008-0000-0A00-000002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18</xdr:row>
      <xdr:rowOff>39688</xdr:rowOff>
    </xdr:from>
    <xdr:to>
      <xdr:col>231</xdr:col>
      <xdr:colOff>460375</xdr:colOff>
      <xdr:row>18</xdr:row>
      <xdr:rowOff>293688</xdr:rowOff>
    </xdr:to>
    <xdr:pic>
      <xdr:nvPicPr>
        <xdr:cNvPr id="53509" name="Picture 53508">
          <a:extLst>
            <a:ext uri="{FF2B5EF4-FFF2-40B4-BE49-F238E27FC236}">
              <a16:creationId xmlns:a16="http://schemas.microsoft.com/office/drawing/2014/main" id="{00000000-0008-0000-0A00-000005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17</xdr:row>
      <xdr:rowOff>39688</xdr:rowOff>
    </xdr:from>
    <xdr:to>
      <xdr:col>51</xdr:col>
      <xdr:colOff>460375</xdr:colOff>
      <xdr:row>17</xdr:row>
      <xdr:rowOff>293688</xdr:rowOff>
    </xdr:to>
    <xdr:pic>
      <xdr:nvPicPr>
        <xdr:cNvPr id="53512" name="Picture 53511">
          <a:extLst>
            <a:ext uri="{FF2B5EF4-FFF2-40B4-BE49-F238E27FC236}">
              <a16:creationId xmlns:a16="http://schemas.microsoft.com/office/drawing/2014/main" id="{00000000-0008-0000-0A00-000008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596423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18</xdr:row>
      <xdr:rowOff>39688</xdr:rowOff>
    </xdr:from>
    <xdr:to>
      <xdr:col>87</xdr:col>
      <xdr:colOff>460375</xdr:colOff>
      <xdr:row>18</xdr:row>
      <xdr:rowOff>293688</xdr:rowOff>
    </xdr:to>
    <xdr:pic>
      <xdr:nvPicPr>
        <xdr:cNvPr id="53515" name="Picture 53514">
          <a:extLst>
            <a:ext uri="{FF2B5EF4-FFF2-40B4-BE49-F238E27FC236}">
              <a16:creationId xmlns:a16="http://schemas.microsoft.com/office/drawing/2014/main" id="{00000000-0008-0000-0A00-00000B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18</xdr:row>
      <xdr:rowOff>39688</xdr:rowOff>
    </xdr:from>
    <xdr:to>
      <xdr:col>123</xdr:col>
      <xdr:colOff>460375</xdr:colOff>
      <xdr:row>18</xdr:row>
      <xdr:rowOff>293688</xdr:rowOff>
    </xdr:to>
    <xdr:pic>
      <xdr:nvPicPr>
        <xdr:cNvPr id="53518" name="Picture 53517">
          <a:extLst>
            <a:ext uri="{FF2B5EF4-FFF2-40B4-BE49-F238E27FC236}">
              <a16:creationId xmlns:a16="http://schemas.microsoft.com/office/drawing/2014/main" id="{00000000-0008-0000-0A00-00000E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17</xdr:row>
      <xdr:rowOff>39688</xdr:rowOff>
    </xdr:from>
    <xdr:to>
      <xdr:col>63</xdr:col>
      <xdr:colOff>460375</xdr:colOff>
      <xdr:row>17</xdr:row>
      <xdr:rowOff>293688</xdr:rowOff>
    </xdr:to>
    <xdr:pic>
      <xdr:nvPicPr>
        <xdr:cNvPr id="53521" name="Picture 53520">
          <a:extLst>
            <a:ext uri="{FF2B5EF4-FFF2-40B4-BE49-F238E27FC236}">
              <a16:creationId xmlns:a16="http://schemas.microsoft.com/office/drawing/2014/main" id="{00000000-0008-0000-0A00-000011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596423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17</xdr:row>
      <xdr:rowOff>39688</xdr:rowOff>
    </xdr:from>
    <xdr:to>
      <xdr:col>3</xdr:col>
      <xdr:colOff>460375</xdr:colOff>
      <xdr:row>17</xdr:row>
      <xdr:rowOff>293688</xdr:rowOff>
    </xdr:to>
    <xdr:pic>
      <xdr:nvPicPr>
        <xdr:cNvPr id="53524" name="Picture 53523">
          <a:extLst>
            <a:ext uri="{FF2B5EF4-FFF2-40B4-BE49-F238E27FC236}">
              <a16:creationId xmlns:a16="http://schemas.microsoft.com/office/drawing/2014/main" id="{00000000-0008-0000-0A00-000014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5964238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18</xdr:row>
      <xdr:rowOff>39688</xdr:rowOff>
    </xdr:from>
    <xdr:to>
      <xdr:col>15</xdr:col>
      <xdr:colOff>460375</xdr:colOff>
      <xdr:row>18</xdr:row>
      <xdr:rowOff>293688</xdr:rowOff>
    </xdr:to>
    <xdr:pic>
      <xdr:nvPicPr>
        <xdr:cNvPr id="53527" name="Picture 53526">
          <a:extLst>
            <a:ext uri="{FF2B5EF4-FFF2-40B4-BE49-F238E27FC236}">
              <a16:creationId xmlns:a16="http://schemas.microsoft.com/office/drawing/2014/main" id="{00000000-0008-0000-0A00-000017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17</xdr:row>
      <xdr:rowOff>39688</xdr:rowOff>
    </xdr:from>
    <xdr:to>
      <xdr:col>159</xdr:col>
      <xdr:colOff>460375</xdr:colOff>
      <xdr:row>17</xdr:row>
      <xdr:rowOff>293688</xdr:rowOff>
    </xdr:to>
    <xdr:pic>
      <xdr:nvPicPr>
        <xdr:cNvPr id="53530" name="Picture 53529">
          <a:extLst>
            <a:ext uri="{FF2B5EF4-FFF2-40B4-BE49-F238E27FC236}">
              <a16:creationId xmlns:a16="http://schemas.microsoft.com/office/drawing/2014/main" id="{00000000-0008-0000-0A00-00001A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596423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18</xdr:row>
      <xdr:rowOff>39688</xdr:rowOff>
    </xdr:from>
    <xdr:to>
      <xdr:col>195</xdr:col>
      <xdr:colOff>460375</xdr:colOff>
      <xdr:row>18</xdr:row>
      <xdr:rowOff>293688</xdr:rowOff>
    </xdr:to>
    <xdr:pic>
      <xdr:nvPicPr>
        <xdr:cNvPr id="53533" name="Picture 53532">
          <a:extLst>
            <a:ext uri="{FF2B5EF4-FFF2-40B4-BE49-F238E27FC236}">
              <a16:creationId xmlns:a16="http://schemas.microsoft.com/office/drawing/2014/main" id="{00000000-0008-0000-0A00-00001D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18</xdr:row>
      <xdr:rowOff>39688</xdr:rowOff>
    </xdr:from>
    <xdr:to>
      <xdr:col>171</xdr:col>
      <xdr:colOff>460375</xdr:colOff>
      <xdr:row>18</xdr:row>
      <xdr:rowOff>293688</xdr:rowOff>
    </xdr:to>
    <xdr:pic>
      <xdr:nvPicPr>
        <xdr:cNvPr id="53536" name="Picture 53535">
          <a:extLst>
            <a:ext uri="{FF2B5EF4-FFF2-40B4-BE49-F238E27FC236}">
              <a16:creationId xmlns:a16="http://schemas.microsoft.com/office/drawing/2014/main" id="{00000000-0008-0000-0A00-000020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18</xdr:row>
      <xdr:rowOff>39688</xdr:rowOff>
    </xdr:from>
    <xdr:to>
      <xdr:col>219</xdr:col>
      <xdr:colOff>460375</xdr:colOff>
      <xdr:row>18</xdr:row>
      <xdr:rowOff>293688</xdr:rowOff>
    </xdr:to>
    <xdr:pic>
      <xdr:nvPicPr>
        <xdr:cNvPr id="53539" name="Picture 53538">
          <a:extLst>
            <a:ext uri="{FF2B5EF4-FFF2-40B4-BE49-F238E27FC236}">
              <a16:creationId xmlns:a16="http://schemas.microsoft.com/office/drawing/2014/main" id="{00000000-0008-0000-0A00-000023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17</xdr:row>
      <xdr:rowOff>39688</xdr:rowOff>
    </xdr:from>
    <xdr:to>
      <xdr:col>75</xdr:col>
      <xdr:colOff>460375</xdr:colOff>
      <xdr:row>17</xdr:row>
      <xdr:rowOff>293688</xdr:rowOff>
    </xdr:to>
    <xdr:pic>
      <xdr:nvPicPr>
        <xdr:cNvPr id="53542" name="Picture 53541">
          <a:extLst>
            <a:ext uri="{FF2B5EF4-FFF2-40B4-BE49-F238E27FC236}">
              <a16:creationId xmlns:a16="http://schemas.microsoft.com/office/drawing/2014/main" id="{00000000-0008-0000-0A00-000026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596423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18</xdr:row>
      <xdr:rowOff>39688</xdr:rowOff>
    </xdr:from>
    <xdr:to>
      <xdr:col>207</xdr:col>
      <xdr:colOff>460375</xdr:colOff>
      <xdr:row>18</xdr:row>
      <xdr:rowOff>293688</xdr:rowOff>
    </xdr:to>
    <xdr:pic>
      <xdr:nvPicPr>
        <xdr:cNvPr id="53545" name="Picture 53544">
          <a:extLst>
            <a:ext uri="{FF2B5EF4-FFF2-40B4-BE49-F238E27FC236}">
              <a16:creationId xmlns:a16="http://schemas.microsoft.com/office/drawing/2014/main" id="{00000000-0008-0000-0A00-000029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17</xdr:row>
      <xdr:rowOff>39688</xdr:rowOff>
    </xdr:from>
    <xdr:to>
      <xdr:col>135</xdr:col>
      <xdr:colOff>460375</xdr:colOff>
      <xdr:row>17</xdr:row>
      <xdr:rowOff>293688</xdr:rowOff>
    </xdr:to>
    <xdr:pic>
      <xdr:nvPicPr>
        <xdr:cNvPr id="53548" name="Picture 53547">
          <a:extLst>
            <a:ext uri="{FF2B5EF4-FFF2-40B4-BE49-F238E27FC236}">
              <a16:creationId xmlns:a16="http://schemas.microsoft.com/office/drawing/2014/main" id="{00000000-0008-0000-0A00-00002C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5964238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18</xdr:row>
      <xdr:rowOff>39688</xdr:rowOff>
    </xdr:from>
    <xdr:to>
      <xdr:col>147</xdr:col>
      <xdr:colOff>460375</xdr:colOff>
      <xdr:row>18</xdr:row>
      <xdr:rowOff>293688</xdr:rowOff>
    </xdr:to>
    <xdr:pic>
      <xdr:nvPicPr>
        <xdr:cNvPr id="53551" name="Picture 53550">
          <a:extLst>
            <a:ext uri="{FF2B5EF4-FFF2-40B4-BE49-F238E27FC236}">
              <a16:creationId xmlns:a16="http://schemas.microsoft.com/office/drawing/2014/main" id="{00000000-0008-0000-0A00-00002F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19</xdr:row>
      <xdr:rowOff>39688</xdr:rowOff>
    </xdr:from>
    <xdr:to>
      <xdr:col>39</xdr:col>
      <xdr:colOff>460375</xdr:colOff>
      <xdr:row>19</xdr:row>
      <xdr:rowOff>293688</xdr:rowOff>
    </xdr:to>
    <xdr:pic>
      <xdr:nvPicPr>
        <xdr:cNvPr id="53554" name="Picture 53553">
          <a:extLst>
            <a:ext uri="{FF2B5EF4-FFF2-40B4-BE49-F238E27FC236}">
              <a16:creationId xmlns:a16="http://schemas.microsoft.com/office/drawing/2014/main" id="{00000000-0008-0000-0A00-000032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663098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19</xdr:row>
      <xdr:rowOff>39688</xdr:rowOff>
    </xdr:from>
    <xdr:to>
      <xdr:col>27</xdr:col>
      <xdr:colOff>460375</xdr:colOff>
      <xdr:row>19</xdr:row>
      <xdr:rowOff>293688</xdr:rowOff>
    </xdr:to>
    <xdr:pic>
      <xdr:nvPicPr>
        <xdr:cNvPr id="53557" name="Picture 53556">
          <a:extLst>
            <a:ext uri="{FF2B5EF4-FFF2-40B4-BE49-F238E27FC236}">
              <a16:creationId xmlns:a16="http://schemas.microsoft.com/office/drawing/2014/main" id="{00000000-0008-0000-0A00-000035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663098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19</xdr:row>
      <xdr:rowOff>39688</xdr:rowOff>
    </xdr:from>
    <xdr:to>
      <xdr:col>87</xdr:col>
      <xdr:colOff>460375</xdr:colOff>
      <xdr:row>19</xdr:row>
      <xdr:rowOff>293688</xdr:rowOff>
    </xdr:to>
    <xdr:pic>
      <xdr:nvPicPr>
        <xdr:cNvPr id="53560" name="Picture 53559">
          <a:extLst>
            <a:ext uri="{FF2B5EF4-FFF2-40B4-BE49-F238E27FC236}">
              <a16:creationId xmlns:a16="http://schemas.microsoft.com/office/drawing/2014/main" id="{00000000-0008-0000-0A00-000038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663098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18</xdr:row>
      <xdr:rowOff>39688</xdr:rowOff>
    </xdr:from>
    <xdr:to>
      <xdr:col>135</xdr:col>
      <xdr:colOff>460375</xdr:colOff>
      <xdr:row>18</xdr:row>
      <xdr:rowOff>293688</xdr:rowOff>
    </xdr:to>
    <xdr:pic>
      <xdr:nvPicPr>
        <xdr:cNvPr id="53563" name="Picture 53562">
          <a:extLst>
            <a:ext uri="{FF2B5EF4-FFF2-40B4-BE49-F238E27FC236}">
              <a16:creationId xmlns:a16="http://schemas.microsoft.com/office/drawing/2014/main" id="{00000000-0008-0000-0A00-00003B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19</xdr:row>
      <xdr:rowOff>39688</xdr:rowOff>
    </xdr:from>
    <xdr:to>
      <xdr:col>195</xdr:col>
      <xdr:colOff>460375</xdr:colOff>
      <xdr:row>19</xdr:row>
      <xdr:rowOff>293688</xdr:rowOff>
    </xdr:to>
    <xdr:pic>
      <xdr:nvPicPr>
        <xdr:cNvPr id="53566" name="Picture 53565">
          <a:extLst>
            <a:ext uri="{FF2B5EF4-FFF2-40B4-BE49-F238E27FC236}">
              <a16:creationId xmlns:a16="http://schemas.microsoft.com/office/drawing/2014/main" id="{00000000-0008-0000-0A00-00003E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663098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19</xdr:row>
      <xdr:rowOff>39688</xdr:rowOff>
    </xdr:from>
    <xdr:to>
      <xdr:col>183</xdr:col>
      <xdr:colOff>460375</xdr:colOff>
      <xdr:row>19</xdr:row>
      <xdr:rowOff>293688</xdr:rowOff>
    </xdr:to>
    <xdr:pic>
      <xdr:nvPicPr>
        <xdr:cNvPr id="53569" name="Picture 53568">
          <a:extLst>
            <a:ext uri="{FF2B5EF4-FFF2-40B4-BE49-F238E27FC236}">
              <a16:creationId xmlns:a16="http://schemas.microsoft.com/office/drawing/2014/main" id="{00000000-0008-0000-0A00-000041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663098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18</xdr:row>
      <xdr:rowOff>39688</xdr:rowOff>
    </xdr:from>
    <xdr:to>
      <xdr:col>75</xdr:col>
      <xdr:colOff>460375</xdr:colOff>
      <xdr:row>18</xdr:row>
      <xdr:rowOff>293688</xdr:rowOff>
    </xdr:to>
    <xdr:pic>
      <xdr:nvPicPr>
        <xdr:cNvPr id="53572" name="Picture 53571">
          <a:extLst>
            <a:ext uri="{FF2B5EF4-FFF2-40B4-BE49-F238E27FC236}">
              <a16:creationId xmlns:a16="http://schemas.microsoft.com/office/drawing/2014/main" id="{00000000-0008-0000-0A00-000044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19</xdr:row>
      <xdr:rowOff>39688</xdr:rowOff>
    </xdr:from>
    <xdr:to>
      <xdr:col>207</xdr:col>
      <xdr:colOff>460375</xdr:colOff>
      <xdr:row>19</xdr:row>
      <xdr:rowOff>293688</xdr:rowOff>
    </xdr:to>
    <xdr:pic>
      <xdr:nvPicPr>
        <xdr:cNvPr id="53575" name="Picture 53574">
          <a:extLst>
            <a:ext uri="{FF2B5EF4-FFF2-40B4-BE49-F238E27FC236}">
              <a16:creationId xmlns:a16="http://schemas.microsoft.com/office/drawing/2014/main" id="{00000000-0008-0000-0A00-000047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663098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18</xdr:row>
      <xdr:rowOff>39688</xdr:rowOff>
    </xdr:from>
    <xdr:to>
      <xdr:col>111</xdr:col>
      <xdr:colOff>460375</xdr:colOff>
      <xdr:row>18</xdr:row>
      <xdr:rowOff>293688</xdr:rowOff>
    </xdr:to>
    <xdr:pic>
      <xdr:nvPicPr>
        <xdr:cNvPr id="53578" name="Picture 53577">
          <a:extLst>
            <a:ext uri="{FF2B5EF4-FFF2-40B4-BE49-F238E27FC236}">
              <a16:creationId xmlns:a16="http://schemas.microsoft.com/office/drawing/2014/main" id="{00000000-0008-0000-0A00-00004A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19</xdr:row>
      <xdr:rowOff>39688</xdr:rowOff>
    </xdr:from>
    <xdr:to>
      <xdr:col>219</xdr:col>
      <xdr:colOff>460375</xdr:colOff>
      <xdr:row>19</xdr:row>
      <xdr:rowOff>293688</xdr:rowOff>
    </xdr:to>
    <xdr:pic>
      <xdr:nvPicPr>
        <xdr:cNvPr id="53581" name="Picture 53580">
          <a:extLst>
            <a:ext uri="{FF2B5EF4-FFF2-40B4-BE49-F238E27FC236}">
              <a16:creationId xmlns:a16="http://schemas.microsoft.com/office/drawing/2014/main" id="{00000000-0008-0000-0A00-00004D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663098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19</xdr:row>
      <xdr:rowOff>39688</xdr:rowOff>
    </xdr:from>
    <xdr:to>
      <xdr:col>123</xdr:col>
      <xdr:colOff>460375</xdr:colOff>
      <xdr:row>19</xdr:row>
      <xdr:rowOff>293688</xdr:rowOff>
    </xdr:to>
    <xdr:pic>
      <xdr:nvPicPr>
        <xdr:cNvPr id="53584" name="Picture 53583">
          <a:extLst>
            <a:ext uri="{FF2B5EF4-FFF2-40B4-BE49-F238E27FC236}">
              <a16:creationId xmlns:a16="http://schemas.microsoft.com/office/drawing/2014/main" id="{00000000-0008-0000-0A00-000050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6630988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19</xdr:row>
      <xdr:rowOff>39688</xdr:rowOff>
    </xdr:from>
    <xdr:to>
      <xdr:col>171</xdr:col>
      <xdr:colOff>460375</xdr:colOff>
      <xdr:row>19</xdr:row>
      <xdr:rowOff>293688</xdr:rowOff>
    </xdr:to>
    <xdr:pic>
      <xdr:nvPicPr>
        <xdr:cNvPr id="53587" name="Picture 53586">
          <a:extLst>
            <a:ext uri="{FF2B5EF4-FFF2-40B4-BE49-F238E27FC236}">
              <a16:creationId xmlns:a16="http://schemas.microsoft.com/office/drawing/2014/main" id="{00000000-0008-0000-0A00-000053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663098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18</xdr:row>
      <xdr:rowOff>39688</xdr:rowOff>
    </xdr:from>
    <xdr:to>
      <xdr:col>63</xdr:col>
      <xdr:colOff>460375</xdr:colOff>
      <xdr:row>18</xdr:row>
      <xdr:rowOff>293688</xdr:rowOff>
    </xdr:to>
    <xdr:pic>
      <xdr:nvPicPr>
        <xdr:cNvPr id="53590" name="Picture 53589">
          <a:extLst>
            <a:ext uri="{FF2B5EF4-FFF2-40B4-BE49-F238E27FC236}">
              <a16:creationId xmlns:a16="http://schemas.microsoft.com/office/drawing/2014/main" id="{00000000-0008-0000-0A00-000056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19</xdr:row>
      <xdr:rowOff>39688</xdr:rowOff>
    </xdr:from>
    <xdr:to>
      <xdr:col>231</xdr:col>
      <xdr:colOff>460375</xdr:colOff>
      <xdr:row>19</xdr:row>
      <xdr:rowOff>293688</xdr:rowOff>
    </xdr:to>
    <xdr:pic>
      <xdr:nvPicPr>
        <xdr:cNvPr id="53593" name="Picture 53592">
          <a:extLst>
            <a:ext uri="{FF2B5EF4-FFF2-40B4-BE49-F238E27FC236}">
              <a16:creationId xmlns:a16="http://schemas.microsoft.com/office/drawing/2014/main" id="{00000000-0008-0000-0A00-000059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663098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18</xdr:row>
      <xdr:rowOff>39688</xdr:rowOff>
    </xdr:from>
    <xdr:to>
      <xdr:col>3</xdr:col>
      <xdr:colOff>460375</xdr:colOff>
      <xdr:row>18</xdr:row>
      <xdr:rowOff>293688</xdr:rowOff>
    </xdr:to>
    <xdr:pic>
      <xdr:nvPicPr>
        <xdr:cNvPr id="53596" name="Picture 53595">
          <a:extLst>
            <a:ext uri="{FF2B5EF4-FFF2-40B4-BE49-F238E27FC236}">
              <a16:creationId xmlns:a16="http://schemas.microsoft.com/office/drawing/2014/main" id="{00000000-0008-0000-0A00-00005C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18</xdr:row>
      <xdr:rowOff>39688</xdr:rowOff>
    </xdr:from>
    <xdr:to>
      <xdr:col>51</xdr:col>
      <xdr:colOff>460375</xdr:colOff>
      <xdr:row>18</xdr:row>
      <xdr:rowOff>293688</xdr:rowOff>
    </xdr:to>
    <xdr:pic>
      <xdr:nvPicPr>
        <xdr:cNvPr id="53599" name="Picture 53598">
          <a:extLst>
            <a:ext uri="{FF2B5EF4-FFF2-40B4-BE49-F238E27FC236}">
              <a16:creationId xmlns:a16="http://schemas.microsoft.com/office/drawing/2014/main" id="{00000000-0008-0000-0A00-00005F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19</xdr:row>
      <xdr:rowOff>39688</xdr:rowOff>
    </xdr:from>
    <xdr:to>
      <xdr:col>15</xdr:col>
      <xdr:colOff>460375</xdr:colOff>
      <xdr:row>19</xdr:row>
      <xdr:rowOff>293688</xdr:rowOff>
    </xdr:to>
    <xdr:pic>
      <xdr:nvPicPr>
        <xdr:cNvPr id="53602" name="Picture 53601">
          <a:extLst>
            <a:ext uri="{FF2B5EF4-FFF2-40B4-BE49-F238E27FC236}">
              <a16:creationId xmlns:a16="http://schemas.microsoft.com/office/drawing/2014/main" id="{00000000-0008-0000-0A00-000062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6630988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19</xdr:row>
      <xdr:rowOff>39688</xdr:rowOff>
    </xdr:from>
    <xdr:to>
      <xdr:col>99</xdr:col>
      <xdr:colOff>460375</xdr:colOff>
      <xdr:row>19</xdr:row>
      <xdr:rowOff>293688</xdr:rowOff>
    </xdr:to>
    <xdr:pic>
      <xdr:nvPicPr>
        <xdr:cNvPr id="53605" name="Picture 53604">
          <a:extLst>
            <a:ext uri="{FF2B5EF4-FFF2-40B4-BE49-F238E27FC236}">
              <a16:creationId xmlns:a16="http://schemas.microsoft.com/office/drawing/2014/main" id="{00000000-0008-0000-0A00-000065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663098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18</xdr:row>
      <xdr:rowOff>39688</xdr:rowOff>
    </xdr:from>
    <xdr:to>
      <xdr:col>159</xdr:col>
      <xdr:colOff>460375</xdr:colOff>
      <xdr:row>18</xdr:row>
      <xdr:rowOff>293688</xdr:rowOff>
    </xdr:to>
    <xdr:pic>
      <xdr:nvPicPr>
        <xdr:cNvPr id="53608" name="Picture 53607">
          <a:extLst>
            <a:ext uri="{FF2B5EF4-FFF2-40B4-BE49-F238E27FC236}">
              <a16:creationId xmlns:a16="http://schemas.microsoft.com/office/drawing/2014/main" id="{00000000-0008-0000-0A00-000068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629761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21</xdr:row>
      <xdr:rowOff>39688</xdr:rowOff>
    </xdr:from>
    <xdr:to>
      <xdr:col>39</xdr:col>
      <xdr:colOff>460375</xdr:colOff>
      <xdr:row>21</xdr:row>
      <xdr:rowOff>293688</xdr:rowOff>
    </xdr:to>
    <xdr:pic>
      <xdr:nvPicPr>
        <xdr:cNvPr id="53611" name="Picture 53610">
          <a:extLst>
            <a:ext uri="{FF2B5EF4-FFF2-40B4-BE49-F238E27FC236}">
              <a16:creationId xmlns:a16="http://schemas.microsoft.com/office/drawing/2014/main" id="{00000000-0008-0000-0A00-00006B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21</xdr:row>
      <xdr:rowOff>39688</xdr:rowOff>
    </xdr:from>
    <xdr:to>
      <xdr:col>207</xdr:col>
      <xdr:colOff>460375</xdr:colOff>
      <xdr:row>21</xdr:row>
      <xdr:rowOff>293688</xdr:rowOff>
    </xdr:to>
    <xdr:pic>
      <xdr:nvPicPr>
        <xdr:cNvPr id="53614" name="Picture 53613">
          <a:extLst>
            <a:ext uri="{FF2B5EF4-FFF2-40B4-BE49-F238E27FC236}">
              <a16:creationId xmlns:a16="http://schemas.microsoft.com/office/drawing/2014/main" id="{00000000-0008-0000-0A00-00006E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20</xdr:row>
      <xdr:rowOff>39688</xdr:rowOff>
    </xdr:from>
    <xdr:to>
      <xdr:col>75</xdr:col>
      <xdr:colOff>460375</xdr:colOff>
      <xdr:row>20</xdr:row>
      <xdr:rowOff>293688</xdr:rowOff>
    </xdr:to>
    <xdr:pic>
      <xdr:nvPicPr>
        <xdr:cNvPr id="53617" name="Picture 53616">
          <a:extLst>
            <a:ext uri="{FF2B5EF4-FFF2-40B4-BE49-F238E27FC236}">
              <a16:creationId xmlns:a16="http://schemas.microsoft.com/office/drawing/2014/main" id="{00000000-0008-0000-0A00-000071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696436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21</xdr:row>
      <xdr:rowOff>39688</xdr:rowOff>
    </xdr:from>
    <xdr:to>
      <xdr:col>99</xdr:col>
      <xdr:colOff>460375</xdr:colOff>
      <xdr:row>21</xdr:row>
      <xdr:rowOff>293688</xdr:rowOff>
    </xdr:to>
    <xdr:pic>
      <xdr:nvPicPr>
        <xdr:cNvPr id="53620" name="Picture 53619">
          <a:extLst>
            <a:ext uri="{FF2B5EF4-FFF2-40B4-BE49-F238E27FC236}">
              <a16:creationId xmlns:a16="http://schemas.microsoft.com/office/drawing/2014/main" id="{00000000-0008-0000-0A00-000074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21</xdr:row>
      <xdr:rowOff>39688</xdr:rowOff>
    </xdr:from>
    <xdr:to>
      <xdr:col>87</xdr:col>
      <xdr:colOff>460375</xdr:colOff>
      <xdr:row>21</xdr:row>
      <xdr:rowOff>293688</xdr:rowOff>
    </xdr:to>
    <xdr:pic>
      <xdr:nvPicPr>
        <xdr:cNvPr id="53623" name="Picture 53622">
          <a:extLst>
            <a:ext uri="{FF2B5EF4-FFF2-40B4-BE49-F238E27FC236}">
              <a16:creationId xmlns:a16="http://schemas.microsoft.com/office/drawing/2014/main" id="{00000000-0008-0000-0A00-000077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21</xdr:row>
      <xdr:rowOff>39688</xdr:rowOff>
    </xdr:from>
    <xdr:to>
      <xdr:col>231</xdr:col>
      <xdr:colOff>460375</xdr:colOff>
      <xdr:row>21</xdr:row>
      <xdr:rowOff>293688</xdr:rowOff>
    </xdr:to>
    <xdr:pic>
      <xdr:nvPicPr>
        <xdr:cNvPr id="53626" name="Picture 53625">
          <a:extLst>
            <a:ext uri="{FF2B5EF4-FFF2-40B4-BE49-F238E27FC236}">
              <a16:creationId xmlns:a16="http://schemas.microsoft.com/office/drawing/2014/main" id="{00000000-0008-0000-0A00-00007A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21</xdr:row>
      <xdr:rowOff>39688</xdr:rowOff>
    </xdr:from>
    <xdr:to>
      <xdr:col>123</xdr:col>
      <xdr:colOff>460375</xdr:colOff>
      <xdr:row>21</xdr:row>
      <xdr:rowOff>293688</xdr:rowOff>
    </xdr:to>
    <xdr:pic>
      <xdr:nvPicPr>
        <xdr:cNvPr id="53629" name="Picture 53628">
          <a:extLst>
            <a:ext uri="{FF2B5EF4-FFF2-40B4-BE49-F238E27FC236}">
              <a16:creationId xmlns:a16="http://schemas.microsoft.com/office/drawing/2014/main" id="{00000000-0008-0000-0A00-00007D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21</xdr:row>
      <xdr:rowOff>39688</xdr:rowOff>
    </xdr:from>
    <xdr:to>
      <xdr:col>171</xdr:col>
      <xdr:colOff>460375</xdr:colOff>
      <xdr:row>21</xdr:row>
      <xdr:rowOff>293688</xdr:rowOff>
    </xdr:to>
    <xdr:pic>
      <xdr:nvPicPr>
        <xdr:cNvPr id="53632" name="Picture 53631">
          <a:extLst>
            <a:ext uri="{FF2B5EF4-FFF2-40B4-BE49-F238E27FC236}">
              <a16:creationId xmlns:a16="http://schemas.microsoft.com/office/drawing/2014/main" id="{00000000-0008-0000-0A00-000080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21</xdr:row>
      <xdr:rowOff>39688</xdr:rowOff>
    </xdr:from>
    <xdr:to>
      <xdr:col>195</xdr:col>
      <xdr:colOff>460375</xdr:colOff>
      <xdr:row>21</xdr:row>
      <xdr:rowOff>293688</xdr:rowOff>
    </xdr:to>
    <xdr:pic>
      <xdr:nvPicPr>
        <xdr:cNvPr id="53635" name="Picture 53634">
          <a:extLst>
            <a:ext uri="{FF2B5EF4-FFF2-40B4-BE49-F238E27FC236}">
              <a16:creationId xmlns:a16="http://schemas.microsoft.com/office/drawing/2014/main" id="{00000000-0008-0000-0A00-000083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20</xdr:row>
      <xdr:rowOff>39688</xdr:rowOff>
    </xdr:from>
    <xdr:to>
      <xdr:col>51</xdr:col>
      <xdr:colOff>460375</xdr:colOff>
      <xdr:row>20</xdr:row>
      <xdr:rowOff>293688</xdr:rowOff>
    </xdr:to>
    <xdr:pic>
      <xdr:nvPicPr>
        <xdr:cNvPr id="53638" name="Picture 53637">
          <a:extLst>
            <a:ext uri="{FF2B5EF4-FFF2-40B4-BE49-F238E27FC236}">
              <a16:creationId xmlns:a16="http://schemas.microsoft.com/office/drawing/2014/main" id="{00000000-0008-0000-0A00-000086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696436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21</xdr:row>
      <xdr:rowOff>39688</xdr:rowOff>
    </xdr:from>
    <xdr:to>
      <xdr:col>15</xdr:col>
      <xdr:colOff>460375</xdr:colOff>
      <xdr:row>21</xdr:row>
      <xdr:rowOff>293688</xdr:rowOff>
    </xdr:to>
    <xdr:pic>
      <xdr:nvPicPr>
        <xdr:cNvPr id="53641" name="Picture 53640">
          <a:extLst>
            <a:ext uri="{FF2B5EF4-FFF2-40B4-BE49-F238E27FC236}">
              <a16:creationId xmlns:a16="http://schemas.microsoft.com/office/drawing/2014/main" id="{00000000-0008-0000-0A00-000089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20</xdr:row>
      <xdr:rowOff>39688</xdr:rowOff>
    </xdr:from>
    <xdr:to>
      <xdr:col>135</xdr:col>
      <xdr:colOff>460375</xdr:colOff>
      <xdr:row>20</xdr:row>
      <xdr:rowOff>293688</xdr:rowOff>
    </xdr:to>
    <xdr:pic>
      <xdr:nvPicPr>
        <xdr:cNvPr id="53644" name="Picture 53643">
          <a:extLst>
            <a:ext uri="{FF2B5EF4-FFF2-40B4-BE49-F238E27FC236}">
              <a16:creationId xmlns:a16="http://schemas.microsoft.com/office/drawing/2014/main" id="{00000000-0008-0000-0A00-00008C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6964363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20</xdr:row>
      <xdr:rowOff>39688</xdr:rowOff>
    </xdr:from>
    <xdr:to>
      <xdr:col>3</xdr:col>
      <xdr:colOff>460375</xdr:colOff>
      <xdr:row>20</xdr:row>
      <xdr:rowOff>293688</xdr:rowOff>
    </xdr:to>
    <xdr:pic>
      <xdr:nvPicPr>
        <xdr:cNvPr id="53647" name="Picture 53646">
          <a:extLst>
            <a:ext uri="{FF2B5EF4-FFF2-40B4-BE49-F238E27FC236}">
              <a16:creationId xmlns:a16="http://schemas.microsoft.com/office/drawing/2014/main" id="{00000000-0008-0000-0A00-00008F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696436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21</xdr:row>
      <xdr:rowOff>39688</xdr:rowOff>
    </xdr:from>
    <xdr:to>
      <xdr:col>219</xdr:col>
      <xdr:colOff>460375</xdr:colOff>
      <xdr:row>21</xdr:row>
      <xdr:rowOff>293688</xdr:rowOff>
    </xdr:to>
    <xdr:pic>
      <xdr:nvPicPr>
        <xdr:cNvPr id="53650" name="Picture 53649">
          <a:extLst>
            <a:ext uri="{FF2B5EF4-FFF2-40B4-BE49-F238E27FC236}">
              <a16:creationId xmlns:a16="http://schemas.microsoft.com/office/drawing/2014/main" id="{00000000-0008-0000-0A00-000092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20</xdr:row>
      <xdr:rowOff>39688</xdr:rowOff>
    </xdr:from>
    <xdr:to>
      <xdr:col>63</xdr:col>
      <xdr:colOff>460375</xdr:colOff>
      <xdr:row>20</xdr:row>
      <xdr:rowOff>293688</xdr:rowOff>
    </xdr:to>
    <xdr:pic>
      <xdr:nvPicPr>
        <xdr:cNvPr id="53653" name="Picture 53652">
          <a:extLst>
            <a:ext uri="{FF2B5EF4-FFF2-40B4-BE49-F238E27FC236}">
              <a16:creationId xmlns:a16="http://schemas.microsoft.com/office/drawing/2014/main" id="{00000000-0008-0000-0A00-000095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6964363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21</xdr:row>
      <xdr:rowOff>39688</xdr:rowOff>
    </xdr:from>
    <xdr:to>
      <xdr:col>27</xdr:col>
      <xdr:colOff>460375</xdr:colOff>
      <xdr:row>21</xdr:row>
      <xdr:rowOff>293688</xdr:rowOff>
    </xdr:to>
    <xdr:pic>
      <xdr:nvPicPr>
        <xdr:cNvPr id="53656" name="Picture 53655">
          <a:extLst>
            <a:ext uri="{FF2B5EF4-FFF2-40B4-BE49-F238E27FC236}">
              <a16:creationId xmlns:a16="http://schemas.microsoft.com/office/drawing/2014/main" id="{00000000-0008-0000-0A00-000098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20</xdr:row>
      <xdr:rowOff>39688</xdr:rowOff>
    </xdr:from>
    <xdr:to>
      <xdr:col>159</xdr:col>
      <xdr:colOff>460375</xdr:colOff>
      <xdr:row>20</xdr:row>
      <xdr:rowOff>293688</xdr:rowOff>
    </xdr:to>
    <xdr:pic>
      <xdr:nvPicPr>
        <xdr:cNvPr id="53659" name="Picture 53658">
          <a:extLst>
            <a:ext uri="{FF2B5EF4-FFF2-40B4-BE49-F238E27FC236}">
              <a16:creationId xmlns:a16="http://schemas.microsoft.com/office/drawing/2014/main" id="{00000000-0008-0000-0A00-00009B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6964363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21</xdr:row>
      <xdr:rowOff>39688</xdr:rowOff>
    </xdr:from>
    <xdr:to>
      <xdr:col>183</xdr:col>
      <xdr:colOff>460375</xdr:colOff>
      <xdr:row>21</xdr:row>
      <xdr:rowOff>293688</xdr:rowOff>
    </xdr:to>
    <xdr:pic>
      <xdr:nvPicPr>
        <xdr:cNvPr id="53662" name="Picture 53661">
          <a:extLst>
            <a:ext uri="{FF2B5EF4-FFF2-40B4-BE49-F238E27FC236}">
              <a16:creationId xmlns:a16="http://schemas.microsoft.com/office/drawing/2014/main" id="{00000000-0008-0000-0A00-00009E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20</xdr:row>
      <xdr:rowOff>39688</xdr:rowOff>
    </xdr:from>
    <xdr:to>
      <xdr:col>111</xdr:col>
      <xdr:colOff>460375</xdr:colOff>
      <xdr:row>20</xdr:row>
      <xdr:rowOff>293688</xdr:rowOff>
    </xdr:to>
    <xdr:pic>
      <xdr:nvPicPr>
        <xdr:cNvPr id="53665" name="Picture 53664">
          <a:extLst>
            <a:ext uri="{FF2B5EF4-FFF2-40B4-BE49-F238E27FC236}">
              <a16:creationId xmlns:a16="http://schemas.microsoft.com/office/drawing/2014/main" id="{00000000-0008-0000-0A00-0000A1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696436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20</xdr:row>
      <xdr:rowOff>39688</xdr:rowOff>
    </xdr:from>
    <xdr:to>
      <xdr:col>147</xdr:col>
      <xdr:colOff>460375</xdr:colOff>
      <xdr:row>20</xdr:row>
      <xdr:rowOff>293688</xdr:rowOff>
    </xdr:to>
    <xdr:pic>
      <xdr:nvPicPr>
        <xdr:cNvPr id="53668" name="Picture 53667">
          <a:extLst>
            <a:ext uri="{FF2B5EF4-FFF2-40B4-BE49-F238E27FC236}">
              <a16:creationId xmlns:a16="http://schemas.microsoft.com/office/drawing/2014/main" id="{00000000-0008-0000-0A00-0000A4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696436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22</xdr:row>
      <xdr:rowOff>39688</xdr:rowOff>
    </xdr:from>
    <xdr:to>
      <xdr:col>219</xdr:col>
      <xdr:colOff>460375</xdr:colOff>
      <xdr:row>22</xdr:row>
      <xdr:rowOff>293688</xdr:rowOff>
    </xdr:to>
    <xdr:pic>
      <xdr:nvPicPr>
        <xdr:cNvPr id="53671" name="Picture 53670">
          <a:extLst>
            <a:ext uri="{FF2B5EF4-FFF2-40B4-BE49-F238E27FC236}">
              <a16:creationId xmlns:a16="http://schemas.microsoft.com/office/drawing/2014/main" id="{00000000-0008-0000-0A00-0000A7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763111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22</xdr:row>
      <xdr:rowOff>39688</xdr:rowOff>
    </xdr:from>
    <xdr:to>
      <xdr:col>39</xdr:col>
      <xdr:colOff>460375</xdr:colOff>
      <xdr:row>22</xdr:row>
      <xdr:rowOff>293688</xdr:rowOff>
    </xdr:to>
    <xdr:pic>
      <xdr:nvPicPr>
        <xdr:cNvPr id="53674" name="Picture 53673">
          <a:extLst>
            <a:ext uri="{FF2B5EF4-FFF2-40B4-BE49-F238E27FC236}">
              <a16:creationId xmlns:a16="http://schemas.microsoft.com/office/drawing/2014/main" id="{00000000-0008-0000-0A00-0000AA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763111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21</xdr:row>
      <xdr:rowOff>39688</xdr:rowOff>
    </xdr:from>
    <xdr:to>
      <xdr:col>135</xdr:col>
      <xdr:colOff>460375</xdr:colOff>
      <xdr:row>21</xdr:row>
      <xdr:rowOff>293688</xdr:rowOff>
    </xdr:to>
    <xdr:pic>
      <xdr:nvPicPr>
        <xdr:cNvPr id="53677" name="Picture 53676">
          <a:extLst>
            <a:ext uri="{FF2B5EF4-FFF2-40B4-BE49-F238E27FC236}">
              <a16:creationId xmlns:a16="http://schemas.microsoft.com/office/drawing/2014/main" id="{00000000-0008-0000-0A00-0000AD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22</xdr:row>
      <xdr:rowOff>39688</xdr:rowOff>
    </xdr:from>
    <xdr:to>
      <xdr:col>123</xdr:col>
      <xdr:colOff>460375</xdr:colOff>
      <xdr:row>22</xdr:row>
      <xdr:rowOff>293688</xdr:rowOff>
    </xdr:to>
    <xdr:pic>
      <xdr:nvPicPr>
        <xdr:cNvPr id="53680" name="Picture 53679">
          <a:extLst>
            <a:ext uri="{FF2B5EF4-FFF2-40B4-BE49-F238E27FC236}">
              <a16:creationId xmlns:a16="http://schemas.microsoft.com/office/drawing/2014/main" id="{00000000-0008-0000-0A00-0000B0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763111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22</xdr:row>
      <xdr:rowOff>39688</xdr:rowOff>
    </xdr:from>
    <xdr:to>
      <xdr:col>231</xdr:col>
      <xdr:colOff>460375</xdr:colOff>
      <xdr:row>22</xdr:row>
      <xdr:rowOff>293688</xdr:rowOff>
    </xdr:to>
    <xdr:pic>
      <xdr:nvPicPr>
        <xdr:cNvPr id="53683" name="Picture 53682">
          <a:extLst>
            <a:ext uri="{FF2B5EF4-FFF2-40B4-BE49-F238E27FC236}">
              <a16:creationId xmlns:a16="http://schemas.microsoft.com/office/drawing/2014/main" id="{00000000-0008-0000-0A00-0000B3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763111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21</xdr:row>
      <xdr:rowOff>39688</xdr:rowOff>
    </xdr:from>
    <xdr:to>
      <xdr:col>159</xdr:col>
      <xdr:colOff>460375</xdr:colOff>
      <xdr:row>21</xdr:row>
      <xdr:rowOff>293688</xdr:rowOff>
    </xdr:to>
    <xdr:pic>
      <xdr:nvPicPr>
        <xdr:cNvPr id="53686" name="Picture 53685">
          <a:extLst>
            <a:ext uri="{FF2B5EF4-FFF2-40B4-BE49-F238E27FC236}">
              <a16:creationId xmlns:a16="http://schemas.microsoft.com/office/drawing/2014/main" id="{00000000-0008-0000-0A00-0000B6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22</xdr:row>
      <xdr:rowOff>39688</xdr:rowOff>
    </xdr:from>
    <xdr:to>
      <xdr:col>27</xdr:col>
      <xdr:colOff>460375</xdr:colOff>
      <xdr:row>22</xdr:row>
      <xdr:rowOff>293688</xdr:rowOff>
    </xdr:to>
    <xdr:pic>
      <xdr:nvPicPr>
        <xdr:cNvPr id="53689" name="Picture 53688">
          <a:extLst>
            <a:ext uri="{FF2B5EF4-FFF2-40B4-BE49-F238E27FC236}">
              <a16:creationId xmlns:a16="http://schemas.microsoft.com/office/drawing/2014/main" id="{00000000-0008-0000-0A00-0000B9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763111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21</xdr:row>
      <xdr:rowOff>39688</xdr:rowOff>
    </xdr:from>
    <xdr:to>
      <xdr:col>75</xdr:col>
      <xdr:colOff>460375</xdr:colOff>
      <xdr:row>21</xdr:row>
      <xdr:rowOff>293688</xdr:rowOff>
    </xdr:to>
    <xdr:pic>
      <xdr:nvPicPr>
        <xdr:cNvPr id="53692" name="Picture 53691">
          <a:extLst>
            <a:ext uri="{FF2B5EF4-FFF2-40B4-BE49-F238E27FC236}">
              <a16:creationId xmlns:a16="http://schemas.microsoft.com/office/drawing/2014/main" id="{00000000-0008-0000-0A00-0000BC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22</xdr:row>
      <xdr:rowOff>39688</xdr:rowOff>
    </xdr:from>
    <xdr:to>
      <xdr:col>99</xdr:col>
      <xdr:colOff>460375</xdr:colOff>
      <xdr:row>22</xdr:row>
      <xdr:rowOff>293688</xdr:rowOff>
    </xdr:to>
    <xdr:pic>
      <xdr:nvPicPr>
        <xdr:cNvPr id="53695" name="Picture 53694">
          <a:extLst>
            <a:ext uri="{FF2B5EF4-FFF2-40B4-BE49-F238E27FC236}">
              <a16:creationId xmlns:a16="http://schemas.microsoft.com/office/drawing/2014/main" id="{00000000-0008-0000-0A00-0000BF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763111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22</xdr:row>
      <xdr:rowOff>39688</xdr:rowOff>
    </xdr:from>
    <xdr:to>
      <xdr:col>195</xdr:col>
      <xdr:colOff>460375</xdr:colOff>
      <xdr:row>22</xdr:row>
      <xdr:rowOff>293688</xdr:rowOff>
    </xdr:to>
    <xdr:pic>
      <xdr:nvPicPr>
        <xdr:cNvPr id="53698" name="Picture 53697">
          <a:extLst>
            <a:ext uri="{FF2B5EF4-FFF2-40B4-BE49-F238E27FC236}">
              <a16:creationId xmlns:a16="http://schemas.microsoft.com/office/drawing/2014/main" id="{00000000-0008-0000-0A00-0000C2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763111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21</xdr:row>
      <xdr:rowOff>39688</xdr:rowOff>
    </xdr:from>
    <xdr:to>
      <xdr:col>147</xdr:col>
      <xdr:colOff>460375</xdr:colOff>
      <xdr:row>21</xdr:row>
      <xdr:rowOff>293688</xdr:rowOff>
    </xdr:to>
    <xdr:pic>
      <xdr:nvPicPr>
        <xdr:cNvPr id="53701" name="Picture 53700">
          <a:extLst>
            <a:ext uri="{FF2B5EF4-FFF2-40B4-BE49-F238E27FC236}">
              <a16:creationId xmlns:a16="http://schemas.microsoft.com/office/drawing/2014/main" id="{00000000-0008-0000-0A00-0000C5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22</xdr:row>
      <xdr:rowOff>39688</xdr:rowOff>
    </xdr:from>
    <xdr:to>
      <xdr:col>87</xdr:col>
      <xdr:colOff>460375</xdr:colOff>
      <xdr:row>22</xdr:row>
      <xdr:rowOff>293688</xdr:rowOff>
    </xdr:to>
    <xdr:pic>
      <xdr:nvPicPr>
        <xdr:cNvPr id="53704" name="Picture 53703">
          <a:extLst>
            <a:ext uri="{FF2B5EF4-FFF2-40B4-BE49-F238E27FC236}">
              <a16:creationId xmlns:a16="http://schemas.microsoft.com/office/drawing/2014/main" id="{00000000-0008-0000-0A00-0000C8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763111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22</xdr:row>
      <xdr:rowOff>39688</xdr:rowOff>
    </xdr:from>
    <xdr:to>
      <xdr:col>171</xdr:col>
      <xdr:colOff>460375</xdr:colOff>
      <xdr:row>22</xdr:row>
      <xdr:rowOff>293688</xdr:rowOff>
    </xdr:to>
    <xdr:pic>
      <xdr:nvPicPr>
        <xdr:cNvPr id="53707" name="Picture 53706">
          <a:extLst>
            <a:ext uri="{FF2B5EF4-FFF2-40B4-BE49-F238E27FC236}">
              <a16:creationId xmlns:a16="http://schemas.microsoft.com/office/drawing/2014/main" id="{00000000-0008-0000-0A00-0000CB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763111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21</xdr:row>
      <xdr:rowOff>39688</xdr:rowOff>
    </xdr:from>
    <xdr:to>
      <xdr:col>111</xdr:col>
      <xdr:colOff>460375</xdr:colOff>
      <xdr:row>21</xdr:row>
      <xdr:rowOff>293688</xdr:rowOff>
    </xdr:to>
    <xdr:pic>
      <xdr:nvPicPr>
        <xdr:cNvPr id="53710" name="Picture 53709">
          <a:extLst>
            <a:ext uri="{FF2B5EF4-FFF2-40B4-BE49-F238E27FC236}">
              <a16:creationId xmlns:a16="http://schemas.microsoft.com/office/drawing/2014/main" id="{00000000-0008-0000-0A00-0000CE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21</xdr:row>
      <xdr:rowOff>39688</xdr:rowOff>
    </xdr:from>
    <xdr:to>
      <xdr:col>51</xdr:col>
      <xdr:colOff>460375</xdr:colOff>
      <xdr:row>21</xdr:row>
      <xdr:rowOff>293688</xdr:rowOff>
    </xdr:to>
    <xdr:pic>
      <xdr:nvPicPr>
        <xdr:cNvPr id="53713" name="Picture 53712">
          <a:extLst>
            <a:ext uri="{FF2B5EF4-FFF2-40B4-BE49-F238E27FC236}">
              <a16:creationId xmlns:a16="http://schemas.microsoft.com/office/drawing/2014/main" id="{00000000-0008-0000-0A00-0000D1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21</xdr:row>
      <xdr:rowOff>39688</xdr:rowOff>
    </xdr:from>
    <xdr:to>
      <xdr:col>3</xdr:col>
      <xdr:colOff>460375</xdr:colOff>
      <xdr:row>21</xdr:row>
      <xdr:rowOff>293688</xdr:rowOff>
    </xdr:to>
    <xdr:pic>
      <xdr:nvPicPr>
        <xdr:cNvPr id="53716" name="Picture 53715">
          <a:extLst>
            <a:ext uri="{FF2B5EF4-FFF2-40B4-BE49-F238E27FC236}">
              <a16:creationId xmlns:a16="http://schemas.microsoft.com/office/drawing/2014/main" id="{00000000-0008-0000-0A00-0000D4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729773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23</xdr:row>
      <xdr:rowOff>39688</xdr:rowOff>
    </xdr:from>
    <xdr:to>
      <xdr:col>207</xdr:col>
      <xdr:colOff>460375</xdr:colOff>
      <xdr:row>23</xdr:row>
      <xdr:rowOff>293688</xdr:rowOff>
    </xdr:to>
    <xdr:pic>
      <xdr:nvPicPr>
        <xdr:cNvPr id="53719" name="Picture 53718">
          <a:extLst>
            <a:ext uri="{FF2B5EF4-FFF2-40B4-BE49-F238E27FC236}">
              <a16:creationId xmlns:a16="http://schemas.microsoft.com/office/drawing/2014/main" id="{00000000-0008-0000-0A00-0000D7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7964488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23</xdr:row>
      <xdr:rowOff>39688</xdr:rowOff>
    </xdr:from>
    <xdr:to>
      <xdr:col>15</xdr:col>
      <xdr:colOff>460375</xdr:colOff>
      <xdr:row>23</xdr:row>
      <xdr:rowOff>293688</xdr:rowOff>
    </xdr:to>
    <xdr:pic>
      <xdr:nvPicPr>
        <xdr:cNvPr id="53722" name="Picture 53721">
          <a:extLst>
            <a:ext uri="{FF2B5EF4-FFF2-40B4-BE49-F238E27FC236}">
              <a16:creationId xmlns:a16="http://schemas.microsoft.com/office/drawing/2014/main" id="{00000000-0008-0000-0A00-0000DA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796448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23</xdr:row>
      <xdr:rowOff>39688</xdr:rowOff>
    </xdr:from>
    <xdr:to>
      <xdr:col>183</xdr:col>
      <xdr:colOff>460375</xdr:colOff>
      <xdr:row>23</xdr:row>
      <xdr:rowOff>293688</xdr:rowOff>
    </xdr:to>
    <xdr:pic>
      <xdr:nvPicPr>
        <xdr:cNvPr id="53725" name="Picture 53724">
          <a:extLst>
            <a:ext uri="{FF2B5EF4-FFF2-40B4-BE49-F238E27FC236}">
              <a16:creationId xmlns:a16="http://schemas.microsoft.com/office/drawing/2014/main" id="{00000000-0008-0000-0A00-0000DD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796448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22</xdr:row>
      <xdr:rowOff>39688</xdr:rowOff>
    </xdr:from>
    <xdr:to>
      <xdr:col>63</xdr:col>
      <xdr:colOff>460375</xdr:colOff>
      <xdr:row>22</xdr:row>
      <xdr:rowOff>293688</xdr:rowOff>
    </xdr:to>
    <xdr:pic>
      <xdr:nvPicPr>
        <xdr:cNvPr id="53728" name="Picture 53727">
          <a:extLst>
            <a:ext uri="{FF2B5EF4-FFF2-40B4-BE49-F238E27FC236}">
              <a16:creationId xmlns:a16="http://schemas.microsoft.com/office/drawing/2014/main" id="{00000000-0008-0000-0A00-0000E0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763111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24</xdr:row>
      <xdr:rowOff>39688</xdr:rowOff>
    </xdr:from>
    <xdr:to>
      <xdr:col>39</xdr:col>
      <xdr:colOff>460375</xdr:colOff>
      <xdr:row>24</xdr:row>
      <xdr:rowOff>293688</xdr:rowOff>
    </xdr:to>
    <xdr:pic>
      <xdr:nvPicPr>
        <xdr:cNvPr id="53731" name="Picture 53730">
          <a:extLst>
            <a:ext uri="{FF2B5EF4-FFF2-40B4-BE49-F238E27FC236}">
              <a16:creationId xmlns:a16="http://schemas.microsoft.com/office/drawing/2014/main" id="{00000000-0008-0000-0A00-0000E3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23</xdr:row>
      <xdr:rowOff>39688</xdr:rowOff>
    </xdr:from>
    <xdr:to>
      <xdr:col>135</xdr:col>
      <xdr:colOff>460375</xdr:colOff>
      <xdr:row>23</xdr:row>
      <xdr:rowOff>293688</xdr:rowOff>
    </xdr:to>
    <xdr:pic>
      <xdr:nvPicPr>
        <xdr:cNvPr id="53734" name="Picture 53733">
          <a:extLst>
            <a:ext uri="{FF2B5EF4-FFF2-40B4-BE49-F238E27FC236}">
              <a16:creationId xmlns:a16="http://schemas.microsoft.com/office/drawing/2014/main" id="{00000000-0008-0000-0A00-0000E6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796448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23</xdr:row>
      <xdr:rowOff>39688</xdr:rowOff>
    </xdr:from>
    <xdr:to>
      <xdr:col>3</xdr:col>
      <xdr:colOff>460375</xdr:colOff>
      <xdr:row>23</xdr:row>
      <xdr:rowOff>293688</xdr:rowOff>
    </xdr:to>
    <xdr:pic>
      <xdr:nvPicPr>
        <xdr:cNvPr id="53737" name="Picture 53736">
          <a:extLst>
            <a:ext uri="{FF2B5EF4-FFF2-40B4-BE49-F238E27FC236}">
              <a16:creationId xmlns:a16="http://schemas.microsoft.com/office/drawing/2014/main" id="{00000000-0008-0000-0A00-0000E9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7964488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24</xdr:row>
      <xdr:rowOff>39688</xdr:rowOff>
    </xdr:from>
    <xdr:to>
      <xdr:col>171</xdr:col>
      <xdr:colOff>460375</xdr:colOff>
      <xdr:row>24</xdr:row>
      <xdr:rowOff>293688</xdr:rowOff>
    </xdr:to>
    <xdr:pic>
      <xdr:nvPicPr>
        <xdr:cNvPr id="53740" name="Picture 53739">
          <a:extLst>
            <a:ext uri="{FF2B5EF4-FFF2-40B4-BE49-F238E27FC236}">
              <a16:creationId xmlns:a16="http://schemas.microsoft.com/office/drawing/2014/main" id="{00000000-0008-0000-0A00-0000EC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24</xdr:row>
      <xdr:rowOff>39688</xdr:rowOff>
    </xdr:from>
    <xdr:to>
      <xdr:col>87</xdr:col>
      <xdr:colOff>460375</xdr:colOff>
      <xdr:row>24</xdr:row>
      <xdr:rowOff>293688</xdr:rowOff>
    </xdr:to>
    <xdr:pic>
      <xdr:nvPicPr>
        <xdr:cNvPr id="53743" name="Picture 53742">
          <a:extLst>
            <a:ext uri="{FF2B5EF4-FFF2-40B4-BE49-F238E27FC236}">
              <a16:creationId xmlns:a16="http://schemas.microsoft.com/office/drawing/2014/main" id="{00000000-0008-0000-0A00-0000EF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23</xdr:row>
      <xdr:rowOff>39688</xdr:rowOff>
    </xdr:from>
    <xdr:to>
      <xdr:col>51</xdr:col>
      <xdr:colOff>460375</xdr:colOff>
      <xdr:row>23</xdr:row>
      <xdr:rowOff>293688</xdr:rowOff>
    </xdr:to>
    <xdr:pic>
      <xdr:nvPicPr>
        <xdr:cNvPr id="53746" name="Picture 53745">
          <a:extLst>
            <a:ext uri="{FF2B5EF4-FFF2-40B4-BE49-F238E27FC236}">
              <a16:creationId xmlns:a16="http://schemas.microsoft.com/office/drawing/2014/main" id="{00000000-0008-0000-0A00-0000F2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796448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24</xdr:row>
      <xdr:rowOff>39688</xdr:rowOff>
    </xdr:from>
    <xdr:to>
      <xdr:col>123</xdr:col>
      <xdr:colOff>460375</xdr:colOff>
      <xdr:row>24</xdr:row>
      <xdr:rowOff>293688</xdr:rowOff>
    </xdr:to>
    <xdr:pic>
      <xdr:nvPicPr>
        <xdr:cNvPr id="53749" name="Picture 53748">
          <a:extLst>
            <a:ext uri="{FF2B5EF4-FFF2-40B4-BE49-F238E27FC236}">
              <a16:creationId xmlns:a16="http://schemas.microsoft.com/office/drawing/2014/main" id="{00000000-0008-0000-0A00-0000F5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24</xdr:row>
      <xdr:rowOff>39688</xdr:rowOff>
    </xdr:from>
    <xdr:to>
      <xdr:col>99</xdr:col>
      <xdr:colOff>460375</xdr:colOff>
      <xdr:row>24</xdr:row>
      <xdr:rowOff>293688</xdr:rowOff>
    </xdr:to>
    <xdr:pic>
      <xdr:nvPicPr>
        <xdr:cNvPr id="53752" name="Picture 53751">
          <a:extLst>
            <a:ext uri="{FF2B5EF4-FFF2-40B4-BE49-F238E27FC236}">
              <a16:creationId xmlns:a16="http://schemas.microsoft.com/office/drawing/2014/main" id="{00000000-0008-0000-0A00-0000F8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23</xdr:row>
      <xdr:rowOff>39688</xdr:rowOff>
    </xdr:from>
    <xdr:to>
      <xdr:col>159</xdr:col>
      <xdr:colOff>460375</xdr:colOff>
      <xdr:row>23</xdr:row>
      <xdr:rowOff>293688</xdr:rowOff>
    </xdr:to>
    <xdr:pic>
      <xdr:nvPicPr>
        <xdr:cNvPr id="53755" name="Picture 53754">
          <a:extLst>
            <a:ext uri="{FF2B5EF4-FFF2-40B4-BE49-F238E27FC236}">
              <a16:creationId xmlns:a16="http://schemas.microsoft.com/office/drawing/2014/main" id="{00000000-0008-0000-0A00-0000FB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796448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24</xdr:row>
      <xdr:rowOff>39688</xdr:rowOff>
    </xdr:from>
    <xdr:to>
      <xdr:col>27</xdr:col>
      <xdr:colOff>460375</xdr:colOff>
      <xdr:row>24</xdr:row>
      <xdr:rowOff>293688</xdr:rowOff>
    </xdr:to>
    <xdr:pic>
      <xdr:nvPicPr>
        <xdr:cNvPr id="53758" name="Picture 53757">
          <a:extLst>
            <a:ext uri="{FF2B5EF4-FFF2-40B4-BE49-F238E27FC236}">
              <a16:creationId xmlns:a16="http://schemas.microsoft.com/office/drawing/2014/main" id="{00000000-0008-0000-0A00-0000FED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24</xdr:row>
      <xdr:rowOff>39688</xdr:rowOff>
    </xdr:from>
    <xdr:to>
      <xdr:col>195</xdr:col>
      <xdr:colOff>460375</xdr:colOff>
      <xdr:row>24</xdr:row>
      <xdr:rowOff>293688</xdr:rowOff>
    </xdr:to>
    <xdr:pic>
      <xdr:nvPicPr>
        <xdr:cNvPr id="53761" name="Picture 53760">
          <a:extLst>
            <a:ext uri="{FF2B5EF4-FFF2-40B4-BE49-F238E27FC236}">
              <a16:creationId xmlns:a16="http://schemas.microsoft.com/office/drawing/2014/main" id="{00000000-0008-0000-0A00-000001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24</xdr:row>
      <xdr:rowOff>39688</xdr:rowOff>
    </xdr:from>
    <xdr:to>
      <xdr:col>183</xdr:col>
      <xdr:colOff>460375</xdr:colOff>
      <xdr:row>24</xdr:row>
      <xdr:rowOff>293688</xdr:rowOff>
    </xdr:to>
    <xdr:pic>
      <xdr:nvPicPr>
        <xdr:cNvPr id="53764" name="Picture 53763">
          <a:extLst>
            <a:ext uri="{FF2B5EF4-FFF2-40B4-BE49-F238E27FC236}">
              <a16:creationId xmlns:a16="http://schemas.microsoft.com/office/drawing/2014/main" id="{00000000-0008-0000-0A00-000004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23</xdr:row>
      <xdr:rowOff>39688</xdr:rowOff>
    </xdr:from>
    <xdr:to>
      <xdr:col>111</xdr:col>
      <xdr:colOff>460375</xdr:colOff>
      <xdr:row>23</xdr:row>
      <xdr:rowOff>293688</xdr:rowOff>
    </xdr:to>
    <xdr:pic>
      <xdr:nvPicPr>
        <xdr:cNvPr id="53767" name="Picture 53766">
          <a:extLst>
            <a:ext uri="{FF2B5EF4-FFF2-40B4-BE49-F238E27FC236}">
              <a16:creationId xmlns:a16="http://schemas.microsoft.com/office/drawing/2014/main" id="{00000000-0008-0000-0A00-000007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796448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24</xdr:row>
      <xdr:rowOff>39688</xdr:rowOff>
    </xdr:from>
    <xdr:to>
      <xdr:col>219</xdr:col>
      <xdr:colOff>460375</xdr:colOff>
      <xdr:row>24</xdr:row>
      <xdr:rowOff>293688</xdr:rowOff>
    </xdr:to>
    <xdr:pic>
      <xdr:nvPicPr>
        <xdr:cNvPr id="53770" name="Picture 53769">
          <a:extLst>
            <a:ext uri="{FF2B5EF4-FFF2-40B4-BE49-F238E27FC236}">
              <a16:creationId xmlns:a16="http://schemas.microsoft.com/office/drawing/2014/main" id="{00000000-0008-0000-0A00-00000A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24</xdr:row>
      <xdr:rowOff>39688</xdr:rowOff>
    </xdr:from>
    <xdr:to>
      <xdr:col>15</xdr:col>
      <xdr:colOff>460375</xdr:colOff>
      <xdr:row>24</xdr:row>
      <xdr:rowOff>293688</xdr:rowOff>
    </xdr:to>
    <xdr:pic>
      <xdr:nvPicPr>
        <xdr:cNvPr id="53773" name="Picture 53772">
          <a:extLst>
            <a:ext uri="{FF2B5EF4-FFF2-40B4-BE49-F238E27FC236}">
              <a16:creationId xmlns:a16="http://schemas.microsoft.com/office/drawing/2014/main" id="{00000000-0008-0000-0A00-00000D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24</xdr:row>
      <xdr:rowOff>39688</xdr:rowOff>
    </xdr:from>
    <xdr:to>
      <xdr:col>231</xdr:col>
      <xdr:colOff>460375</xdr:colOff>
      <xdr:row>24</xdr:row>
      <xdr:rowOff>293688</xdr:rowOff>
    </xdr:to>
    <xdr:pic>
      <xdr:nvPicPr>
        <xdr:cNvPr id="53776" name="Picture 53775">
          <a:extLst>
            <a:ext uri="{FF2B5EF4-FFF2-40B4-BE49-F238E27FC236}">
              <a16:creationId xmlns:a16="http://schemas.microsoft.com/office/drawing/2014/main" id="{00000000-0008-0000-0A00-000010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23</xdr:row>
      <xdr:rowOff>39688</xdr:rowOff>
    </xdr:from>
    <xdr:to>
      <xdr:col>75</xdr:col>
      <xdr:colOff>460375</xdr:colOff>
      <xdr:row>23</xdr:row>
      <xdr:rowOff>293688</xdr:rowOff>
    </xdr:to>
    <xdr:pic>
      <xdr:nvPicPr>
        <xdr:cNvPr id="53779" name="Picture 53778">
          <a:extLst>
            <a:ext uri="{FF2B5EF4-FFF2-40B4-BE49-F238E27FC236}">
              <a16:creationId xmlns:a16="http://schemas.microsoft.com/office/drawing/2014/main" id="{00000000-0008-0000-0A00-000013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796448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24</xdr:row>
      <xdr:rowOff>39688</xdr:rowOff>
    </xdr:from>
    <xdr:to>
      <xdr:col>207</xdr:col>
      <xdr:colOff>460375</xdr:colOff>
      <xdr:row>24</xdr:row>
      <xdr:rowOff>293688</xdr:rowOff>
    </xdr:to>
    <xdr:pic>
      <xdr:nvPicPr>
        <xdr:cNvPr id="53782" name="Picture 53781">
          <a:extLst>
            <a:ext uri="{FF2B5EF4-FFF2-40B4-BE49-F238E27FC236}">
              <a16:creationId xmlns:a16="http://schemas.microsoft.com/office/drawing/2014/main" id="{00000000-0008-0000-0A00-000016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23</xdr:row>
      <xdr:rowOff>39688</xdr:rowOff>
    </xdr:from>
    <xdr:to>
      <xdr:col>63</xdr:col>
      <xdr:colOff>460375</xdr:colOff>
      <xdr:row>23</xdr:row>
      <xdr:rowOff>293688</xdr:rowOff>
    </xdr:to>
    <xdr:pic>
      <xdr:nvPicPr>
        <xdr:cNvPr id="53785" name="Picture 53784">
          <a:extLst>
            <a:ext uri="{FF2B5EF4-FFF2-40B4-BE49-F238E27FC236}">
              <a16:creationId xmlns:a16="http://schemas.microsoft.com/office/drawing/2014/main" id="{00000000-0008-0000-0A00-000019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7964488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23</xdr:row>
      <xdr:rowOff>39688</xdr:rowOff>
    </xdr:from>
    <xdr:to>
      <xdr:col>147</xdr:col>
      <xdr:colOff>460375</xdr:colOff>
      <xdr:row>23</xdr:row>
      <xdr:rowOff>293688</xdr:rowOff>
    </xdr:to>
    <xdr:pic>
      <xdr:nvPicPr>
        <xdr:cNvPr id="53788" name="Picture 53787">
          <a:extLst>
            <a:ext uri="{FF2B5EF4-FFF2-40B4-BE49-F238E27FC236}">
              <a16:creationId xmlns:a16="http://schemas.microsoft.com/office/drawing/2014/main" id="{00000000-0008-0000-0A00-00001C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7964488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25</xdr:row>
      <xdr:rowOff>39688</xdr:rowOff>
    </xdr:from>
    <xdr:to>
      <xdr:col>99</xdr:col>
      <xdr:colOff>460375</xdr:colOff>
      <xdr:row>25</xdr:row>
      <xdr:rowOff>293688</xdr:rowOff>
    </xdr:to>
    <xdr:pic>
      <xdr:nvPicPr>
        <xdr:cNvPr id="53791" name="Picture 53790">
          <a:extLst>
            <a:ext uri="{FF2B5EF4-FFF2-40B4-BE49-F238E27FC236}">
              <a16:creationId xmlns:a16="http://schemas.microsoft.com/office/drawing/2014/main" id="{00000000-0008-0000-0A00-00001F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24</xdr:row>
      <xdr:rowOff>39688</xdr:rowOff>
    </xdr:from>
    <xdr:to>
      <xdr:col>63</xdr:col>
      <xdr:colOff>460375</xdr:colOff>
      <xdr:row>24</xdr:row>
      <xdr:rowOff>293688</xdr:rowOff>
    </xdr:to>
    <xdr:pic>
      <xdr:nvPicPr>
        <xdr:cNvPr id="53794" name="Picture 53793">
          <a:extLst>
            <a:ext uri="{FF2B5EF4-FFF2-40B4-BE49-F238E27FC236}">
              <a16:creationId xmlns:a16="http://schemas.microsoft.com/office/drawing/2014/main" id="{00000000-0008-0000-0A00-000022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25</xdr:row>
      <xdr:rowOff>39688</xdr:rowOff>
    </xdr:from>
    <xdr:to>
      <xdr:col>15</xdr:col>
      <xdr:colOff>460375</xdr:colOff>
      <xdr:row>25</xdr:row>
      <xdr:rowOff>293688</xdr:rowOff>
    </xdr:to>
    <xdr:pic>
      <xdr:nvPicPr>
        <xdr:cNvPr id="53797" name="Picture 53796">
          <a:extLst>
            <a:ext uri="{FF2B5EF4-FFF2-40B4-BE49-F238E27FC236}">
              <a16:creationId xmlns:a16="http://schemas.microsoft.com/office/drawing/2014/main" id="{00000000-0008-0000-0A00-000025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24</xdr:row>
      <xdr:rowOff>39688</xdr:rowOff>
    </xdr:from>
    <xdr:to>
      <xdr:col>111</xdr:col>
      <xdr:colOff>460375</xdr:colOff>
      <xdr:row>24</xdr:row>
      <xdr:rowOff>293688</xdr:rowOff>
    </xdr:to>
    <xdr:pic>
      <xdr:nvPicPr>
        <xdr:cNvPr id="53800" name="Picture 53799">
          <a:extLst>
            <a:ext uri="{FF2B5EF4-FFF2-40B4-BE49-F238E27FC236}">
              <a16:creationId xmlns:a16="http://schemas.microsoft.com/office/drawing/2014/main" id="{00000000-0008-0000-0A00-000028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24</xdr:row>
      <xdr:rowOff>39688</xdr:rowOff>
    </xdr:from>
    <xdr:to>
      <xdr:col>159</xdr:col>
      <xdr:colOff>460375</xdr:colOff>
      <xdr:row>24</xdr:row>
      <xdr:rowOff>293688</xdr:rowOff>
    </xdr:to>
    <xdr:pic>
      <xdr:nvPicPr>
        <xdr:cNvPr id="53803" name="Picture 53802">
          <a:extLst>
            <a:ext uri="{FF2B5EF4-FFF2-40B4-BE49-F238E27FC236}">
              <a16:creationId xmlns:a16="http://schemas.microsoft.com/office/drawing/2014/main" id="{00000000-0008-0000-0A00-00002B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24</xdr:row>
      <xdr:rowOff>39688</xdr:rowOff>
    </xdr:from>
    <xdr:to>
      <xdr:col>147</xdr:col>
      <xdr:colOff>460375</xdr:colOff>
      <xdr:row>24</xdr:row>
      <xdr:rowOff>293688</xdr:rowOff>
    </xdr:to>
    <xdr:pic>
      <xdr:nvPicPr>
        <xdr:cNvPr id="53806" name="Picture 53805">
          <a:extLst>
            <a:ext uri="{FF2B5EF4-FFF2-40B4-BE49-F238E27FC236}">
              <a16:creationId xmlns:a16="http://schemas.microsoft.com/office/drawing/2014/main" id="{00000000-0008-0000-0A00-00002E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24</xdr:row>
      <xdr:rowOff>39688</xdr:rowOff>
    </xdr:from>
    <xdr:to>
      <xdr:col>51</xdr:col>
      <xdr:colOff>460375</xdr:colOff>
      <xdr:row>24</xdr:row>
      <xdr:rowOff>293688</xdr:rowOff>
    </xdr:to>
    <xdr:pic>
      <xdr:nvPicPr>
        <xdr:cNvPr id="53809" name="Picture 53808">
          <a:extLst>
            <a:ext uri="{FF2B5EF4-FFF2-40B4-BE49-F238E27FC236}">
              <a16:creationId xmlns:a16="http://schemas.microsoft.com/office/drawing/2014/main" id="{00000000-0008-0000-0A00-000031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24</xdr:row>
      <xdr:rowOff>39688</xdr:rowOff>
    </xdr:from>
    <xdr:to>
      <xdr:col>135</xdr:col>
      <xdr:colOff>460375</xdr:colOff>
      <xdr:row>24</xdr:row>
      <xdr:rowOff>293688</xdr:rowOff>
    </xdr:to>
    <xdr:pic>
      <xdr:nvPicPr>
        <xdr:cNvPr id="53812" name="Picture 53811">
          <a:extLst>
            <a:ext uri="{FF2B5EF4-FFF2-40B4-BE49-F238E27FC236}">
              <a16:creationId xmlns:a16="http://schemas.microsoft.com/office/drawing/2014/main" id="{00000000-0008-0000-0A00-000034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25</xdr:row>
      <xdr:rowOff>39688</xdr:rowOff>
    </xdr:from>
    <xdr:to>
      <xdr:col>87</xdr:col>
      <xdr:colOff>460375</xdr:colOff>
      <xdr:row>25</xdr:row>
      <xdr:rowOff>293688</xdr:rowOff>
    </xdr:to>
    <xdr:pic>
      <xdr:nvPicPr>
        <xdr:cNvPr id="53815" name="Picture 53814">
          <a:extLst>
            <a:ext uri="{FF2B5EF4-FFF2-40B4-BE49-F238E27FC236}">
              <a16:creationId xmlns:a16="http://schemas.microsoft.com/office/drawing/2014/main" id="{00000000-0008-0000-0A00-000037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25</xdr:row>
      <xdr:rowOff>39688</xdr:rowOff>
    </xdr:from>
    <xdr:to>
      <xdr:col>195</xdr:col>
      <xdr:colOff>460375</xdr:colOff>
      <xdr:row>25</xdr:row>
      <xdr:rowOff>293688</xdr:rowOff>
    </xdr:to>
    <xdr:pic>
      <xdr:nvPicPr>
        <xdr:cNvPr id="53818" name="Picture 53817">
          <a:extLst>
            <a:ext uri="{FF2B5EF4-FFF2-40B4-BE49-F238E27FC236}">
              <a16:creationId xmlns:a16="http://schemas.microsoft.com/office/drawing/2014/main" id="{00000000-0008-0000-0A00-00003A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25</xdr:row>
      <xdr:rowOff>39688</xdr:rowOff>
    </xdr:from>
    <xdr:to>
      <xdr:col>183</xdr:col>
      <xdr:colOff>460375</xdr:colOff>
      <xdr:row>25</xdr:row>
      <xdr:rowOff>293688</xdr:rowOff>
    </xdr:to>
    <xdr:pic>
      <xdr:nvPicPr>
        <xdr:cNvPr id="53821" name="Picture 53820">
          <a:extLst>
            <a:ext uri="{FF2B5EF4-FFF2-40B4-BE49-F238E27FC236}">
              <a16:creationId xmlns:a16="http://schemas.microsoft.com/office/drawing/2014/main" id="{00000000-0008-0000-0A00-00003D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25</xdr:row>
      <xdr:rowOff>39688</xdr:rowOff>
    </xdr:from>
    <xdr:to>
      <xdr:col>123</xdr:col>
      <xdr:colOff>460375</xdr:colOff>
      <xdr:row>25</xdr:row>
      <xdr:rowOff>293688</xdr:rowOff>
    </xdr:to>
    <xdr:pic>
      <xdr:nvPicPr>
        <xdr:cNvPr id="53824" name="Picture 53823">
          <a:extLst>
            <a:ext uri="{FF2B5EF4-FFF2-40B4-BE49-F238E27FC236}">
              <a16:creationId xmlns:a16="http://schemas.microsoft.com/office/drawing/2014/main" id="{00000000-0008-0000-0A00-000040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25</xdr:row>
      <xdr:rowOff>39688</xdr:rowOff>
    </xdr:from>
    <xdr:to>
      <xdr:col>231</xdr:col>
      <xdr:colOff>460375</xdr:colOff>
      <xdr:row>25</xdr:row>
      <xdr:rowOff>293688</xdr:rowOff>
    </xdr:to>
    <xdr:pic>
      <xdr:nvPicPr>
        <xdr:cNvPr id="53827" name="Picture 53826">
          <a:extLst>
            <a:ext uri="{FF2B5EF4-FFF2-40B4-BE49-F238E27FC236}">
              <a16:creationId xmlns:a16="http://schemas.microsoft.com/office/drawing/2014/main" id="{00000000-0008-0000-0A00-000043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25</xdr:row>
      <xdr:rowOff>39688</xdr:rowOff>
    </xdr:from>
    <xdr:to>
      <xdr:col>219</xdr:col>
      <xdr:colOff>460375</xdr:colOff>
      <xdr:row>25</xdr:row>
      <xdr:rowOff>293688</xdr:rowOff>
    </xdr:to>
    <xdr:pic>
      <xdr:nvPicPr>
        <xdr:cNvPr id="53830" name="Picture 53829">
          <a:extLst>
            <a:ext uri="{FF2B5EF4-FFF2-40B4-BE49-F238E27FC236}">
              <a16:creationId xmlns:a16="http://schemas.microsoft.com/office/drawing/2014/main" id="{00000000-0008-0000-0A00-000046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25</xdr:row>
      <xdr:rowOff>39688</xdr:rowOff>
    </xdr:from>
    <xdr:to>
      <xdr:col>39</xdr:col>
      <xdr:colOff>460375</xdr:colOff>
      <xdr:row>25</xdr:row>
      <xdr:rowOff>293688</xdr:rowOff>
    </xdr:to>
    <xdr:pic>
      <xdr:nvPicPr>
        <xdr:cNvPr id="53833" name="Picture 53832">
          <a:extLst>
            <a:ext uri="{FF2B5EF4-FFF2-40B4-BE49-F238E27FC236}">
              <a16:creationId xmlns:a16="http://schemas.microsoft.com/office/drawing/2014/main" id="{00000000-0008-0000-0A00-000049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25</xdr:row>
      <xdr:rowOff>39688</xdr:rowOff>
    </xdr:from>
    <xdr:to>
      <xdr:col>27</xdr:col>
      <xdr:colOff>460375</xdr:colOff>
      <xdr:row>25</xdr:row>
      <xdr:rowOff>293688</xdr:rowOff>
    </xdr:to>
    <xdr:pic>
      <xdr:nvPicPr>
        <xdr:cNvPr id="53836" name="Picture 53835">
          <a:extLst>
            <a:ext uri="{FF2B5EF4-FFF2-40B4-BE49-F238E27FC236}">
              <a16:creationId xmlns:a16="http://schemas.microsoft.com/office/drawing/2014/main" id="{00000000-0008-0000-0A00-00004C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25</xdr:row>
      <xdr:rowOff>39688</xdr:rowOff>
    </xdr:from>
    <xdr:to>
      <xdr:col>63</xdr:col>
      <xdr:colOff>460375</xdr:colOff>
      <xdr:row>25</xdr:row>
      <xdr:rowOff>293688</xdr:rowOff>
    </xdr:to>
    <xdr:pic>
      <xdr:nvPicPr>
        <xdr:cNvPr id="53839" name="Picture 53838">
          <a:extLst>
            <a:ext uri="{FF2B5EF4-FFF2-40B4-BE49-F238E27FC236}">
              <a16:creationId xmlns:a16="http://schemas.microsoft.com/office/drawing/2014/main" id="{00000000-0008-0000-0A00-00004F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24</xdr:row>
      <xdr:rowOff>39688</xdr:rowOff>
    </xdr:from>
    <xdr:to>
      <xdr:col>75</xdr:col>
      <xdr:colOff>460375</xdr:colOff>
      <xdr:row>24</xdr:row>
      <xdr:rowOff>293688</xdr:rowOff>
    </xdr:to>
    <xdr:pic>
      <xdr:nvPicPr>
        <xdr:cNvPr id="53842" name="Picture 53841">
          <a:extLst>
            <a:ext uri="{FF2B5EF4-FFF2-40B4-BE49-F238E27FC236}">
              <a16:creationId xmlns:a16="http://schemas.microsoft.com/office/drawing/2014/main" id="{00000000-0008-0000-0A00-000052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25</xdr:row>
      <xdr:rowOff>39688</xdr:rowOff>
    </xdr:from>
    <xdr:to>
      <xdr:col>171</xdr:col>
      <xdr:colOff>460375</xdr:colOff>
      <xdr:row>25</xdr:row>
      <xdr:rowOff>293688</xdr:rowOff>
    </xdr:to>
    <xdr:pic>
      <xdr:nvPicPr>
        <xdr:cNvPr id="53845" name="Picture 53844">
          <a:extLst>
            <a:ext uri="{FF2B5EF4-FFF2-40B4-BE49-F238E27FC236}">
              <a16:creationId xmlns:a16="http://schemas.microsoft.com/office/drawing/2014/main" id="{00000000-0008-0000-0A00-000055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26</xdr:row>
      <xdr:rowOff>39688</xdr:rowOff>
    </xdr:from>
    <xdr:to>
      <xdr:col>99</xdr:col>
      <xdr:colOff>460375</xdr:colOff>
      <xdr:row>26</xdr:row>
      <xdr:rowOff>293688</xdr:rowOff>
    </xdr:to>
    <xdr:pic>
      <xdr:nvPicPr>
        <xdr:cNvPr id="53848" name="Picture 53847">
          <a:extLst>
            <a:ext uri="{FF2B5EF4-FFF2-40B4-BE49-F238E27FC236}">
              <a16:creationId xmlns:a16="http://schemas.microsoft.com/office/drawing/2014/main" id="{00000000-0008-0000-0A00-000058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896461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25</xdr:row>
      <xdr:rowOff>39688</xdr:rowOff>
    </xdr:from>
    <xdr:to>
      <xdr:col>207</xdr:col>
      <xdr:colOff>460375</xdr:colOff>
      <xdr:row>25</xdr:row>
      <xdr:rowOff>293688</xdr:rowOff>
    </xdr:to>
    <xdr:pic>
      <xdr:nvPicPr>
        <xdr:cNvPr id="53851" name="Picture 53850">
          <a:extLst>
            <a:ext uri="{FF2B5EF4-FFF2-40B4-BE49-F238E27FC236}">
              <a16:creationId xmlns:a16="http://schemas.microsoft.com/office/drawing/2014/main" id="{00000000-0008-0000-0A00-00005B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24</xdr:row>
      <xdr:rowOff>39688</xdr:rowOff>
    </xdr:from>
    <xdr:to>
      <xdr:col>3</xdr:col>
      <xdr:colOff>460375</xdr:colOff>
      <xdr:row>24</xdr:row>
      <xdr:rowOff>293688</xdr:rowOff>
    </xdr:to>
    <xdr:pic>
      <xdr:nvPicPr>
        <xdr:cNvPr id="53854" name="Picture 53853">
          <a:extLst>
            <a:ext uri="{FF2B5EF4-FFF2-40B4-BE49-F238E27FC236}">
              <a16:creationId xmlns:a16="http://schemas.microsoft.com/office/drawing/2014/main" id="{00000000-0008-0000-0A00-00005E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829786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25</xdr:row>
      <xdr:rowOff>39688</xdr:rowOff>
    </xdr:from>
    <xdr:to>
      <xdr:col>75</xdr:col>
      <xdr:colOff>460375</xdr:colOff>
      <xdr:row>25</xdr:row>
      <xdr:rowOff>293688</xdr:rowOff>
    </xdr:to>
    <xdr:pic>
      <xdr:nvPicPr>
        <xdr:cNvPr id="53857" name="Picture 53856">
          <a:extLst>
            <a:ext uri="{FF2B5EF4-FFF2-40B4-BE49-F238E27FC236}">
              <a16:creationId xmlns:a16="http://schemas.microsoft.com/office/drawing/2014/main" id="{00000000-0008-0000-0A00-000061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25</xdr:row>
      <xdr:rowOff>39688</xdr:rowOff>
    </xdr:from>
    <xdr:to>
      <xdr:col>159</xdr:col>
      <xdr:colOff>460375</xdr:colOff>
      <xdr:row>25</xdr:row>
      <xdr:rowOff>293688</xdr:rowOff>
    </xdr:to>
    <xdr:pic>
      <xdr:nvPicPr>
        <xdr:cNvPr id="53860" name="Picture 53859">
          <a:extLst>
            <a:ext uri="{FF2B5EF4-FFF2-40B4-BE49-F238E27FC236}">
              <a16:creationId xmlns:a16="http://schemas.microsoft.com/office/drawing/2014/main" id="{00000000-0008-0000-0A00-000064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25</xdr:row>
      <xdr:rowOff>39688</xdr:rowOff>
    </xdr:from>
    <xdr:to>
      <xdr:col>147</xdr:col>
      <xdr:colOff>460375</xdr:colOff>
      <xdr:row>25</xdr:row>
      <xdr:rowOff>293688</xdr:rowOff>
    </xdr:to>
    <xdr:pic>
      <xdr:nvPicPr>
        <xdr:cNvPr id="53863" name="Picture 53862">
          <a:extLst>
            <a:ext uri="{FF2B5EF4-FFF2-40B4-BE49-F238E27FC236}">
              <a16:creationId xmlns:a16="http://schemas.microsoft.com/office/drawing/2014/main" id="{00000000-0008-0000-0A00-000067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26</xdr:row>
      <xdr:rowOff>39688</xdr:rowOff>
    </xdr:from>
    <xdr:to>
      <xdr:col>207</xdr:col>
      <xdr:colOff>460375</xdr:colOff>
      <xdr:row>26</xdr:row>
      <xdr:rowOff>293688</xdr:rowOff>
    </xdr:to>
    <xdr:pic>
      <xdr:nvPicPr>
        <xdr:cNvPr id="53866" name="Picture 53865">
          <a:extLst>
            <a:ext uri="{FF2B5EF4-FFF2-40B4-BE49-F238E27FC236}">
              <a16:creationId xmlns:a16="http://schemas.microsoft.com/office/drawing/2014/main" id="{00000000-0008-0000-0A00-00006A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896461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25</xdr:row>
      <xdr:rowOff>39688</xdr:rowOff>
    </xdr:from>
    <xdr:to>
      <xdr:col>135</xdr:col>
      <xdr:colOff>460375</xdr:colOff>
      <xdr:row>25</xdr:row>
      <xdr:rowOff>293688</xdr:rowOff>
    </xdr:to>
    <xdr:pic>
      <xdr:nvPicPr>
        <xdr:cNvPr id="53869" name="Picture 53868">
          <a:extLst>
            <a:ext uri="{FF2B5EF4-FFF2-40B4-BE49-F238E27FC236}">
              <a16:creationId xmlns:a16="http://schemas.microsoft.com/office/drawing/2014/main" id="{00000000-0008-0000-0A00-00006D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26</xdr:row>
      <xdr:rowOff>39688</xdr:rowOff>
    </xdr:from>
    <xdr:to>
      <xdr:col>63</xdr:col>
      <xdr:colOff>460375</xdr:colOff>
      <xdr:row>26</xdr:row>
      <xdr:rowOff>293688</xdr:rowOff>
    </xdr:to>
    <xdr:pic>
      <xdr:nvPicPr>
        <xdr:cNvPr id="53872" name="Picture 53871">
          <a:extLst>
            <a:ext uri="{FF2B5EF4-FFF2-40B4-BE49-F238E27FC236}">
              <a16:creationId xmlns:a16="http://schemas.microsoft.com/office/drawing/2014/main" id="{00000000-0008-0000-0A00-000070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8964613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26</xdr:row>
      <xdr:rowOff>39688</xdr:rowOff>
    </xdr:from>
    <xdr:to>
      <xdr:col>27</xdr:col>
      <xdr:colOff>460375</xdr:colOff>
      <xdr:row>26</xdr:row>
      <xdr:rowOff>293688</xdr:rowOff>
    </xdr:to>
    <xdr:pic>
      <xdr:nvPicPr>
        <xdr:cNvPr id="53875" name="Picture 53874">
          <a:extLst>
            <a:ext uri="{FF2B5EF4-FFF2-40B4-BE49-F238E27FC236}">
              <a16:creationId xmlns:a16="http://schemas.microsoft.com/office/drawing/2014/main" id="{00000000-0008-0000-0A00-000073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8964613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26</xdr:row>
      <xdr:rowOff>39688</xdr:rowOff>
    </xdr:from>
    <xdr:to>
      <xdr:col>183</xdr:col>
      <xdr:colOff>460375</xdr:colOff>
      <xdr:row>26</xdr:row>
      <xdr:rowOff>293688</xdr:rowOff>
    </xdr:to>
    <xdr:pic>
      <xdr:nvPicPr>
        <xdr:cNvPr id="53878" name="Picture 53877">
          <a:extLst>
            <a:ext uri="{FF2B5EF4-FFF2-40B4-BE49-F238E27FC236}">
              <a16:creationId xmlns:a16="http://schemas.microsoft.com/office/drawing/2014/main" id="{00000000-0008-0000-0A00-000076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8964613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26</xdr:row>
      <xdr:rowOff>39688</xdr:rowOff>
    </xdr:from>
    <xdr:to>
      <xdr:col>123</xdr:col>
      <xdr:colOff>460375</xdr:colOff>
      <xdr:row>26</xdr:row>
      <xdr:rowOff>293688</xdr:rowOff>
    </xdr:to>
    <xdr:pic>
      <xdr:nvPicPr>
        <xdr:cNvPr id="53881" name="Picture 53880">
          <a:extLst>
            <a:ext uri="{FF2B5EF4-FFF2-40B4-BE49-F238E27FC236}">
              <a16:creationId xmlns:a16="http://schemas.microsoft.com/office/drawing/2014/main" id="{00000000-0008-0000-0A00-000079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896461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25</xdr:row>
      <xdr:rowOff>39688</xdr:rowOff>
    </xdr:from>
    <xdr:to>
      <xdr:col>51</xdr:col>
      <xdr:colOff>460375</xdr:colOff>
      <xdr:row>25</xdr:row>
      <xdr:rowOff>293688</xdr:rowOff>
    </xdr:to>
    <xdr:pic>
      <xdr:nvPicPr>
        <xdr:cNvPr id="53884" name="Picture 53883">
          <a:extLst>
            <a:ext uri="{FF2B5EF4-FFF2-40B4-BE49-F238E27FC236}">
              <a16:creationId xmlns:a16="http://schemas.microsoft.com/office/drawing/2014/main" id="{00000000-0008-0000-0A00-00007C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26</xdr:row>
      <xdr:rowOff>39688</xdr:rowOff>
    </xdr:from>
    <xdr:to>
      <xdr:col>195</xdr:col>
      <xdr:colOff>460375</xdr:colOff>
      <xdr:row>26</xdr:row>
      <xdr:rowOff>293688</xdr:rowOff>
    </xdr:to>
    <xdr:pic>
      <xdr:nvPicPr>
        <xdr:cNvPr id="53887" name="Picture 53886">
          <a:extLst>
            <a:ext uri="{FF2B5EF4-FFF2-40B4-BE49-F238E27FC236}">
              <a16:creationId xmlns:a16="http://schemas.microsoft.com/office/drawing/2014/main" id="{00000000-0008-0000-0A00-00007F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896461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26</xdr:row>
      <xdr:rowOff>39688</xdr:rowOff>
    </xdr:from>
    <xdr:to>
      <xdr:col>15</xdr:col>
      <xdr:colOff>460375</xdr:colOff>
      <xdr:row>26</xdr:row>
      <xdr:rowOff>293688</xdr:rowOff>
    </xdr:to>
    <xdr:pic>
      <xdr:nvPicPr>
        <xdr:cNvPr id="53890" name="Picture 53889">
          <a:extLst>
            <a:ext uri="{FF2B5EF4-FFF2-40B4-BE49-F238E27FC236}">
              <a16:creationId xmlns:a16="http://schemas.microsoft.com/office/drawing/2014/main" id="{00000000-0008-0000-0A00-000082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896461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26</xdr:row>
      <xdr:rowOff>39688</xdr:rowOff>
    </xdr:from>
    <xdr:to>
      <xdr:col>219</xdr:col>
      <xdr:colOff>460375</xdr:colOff>
      <xdr:row>26</xdr:row>
      <xdr:rowOff>293688</xdr:rowOff>
    </xdr:to>
    <xdr:pic>
      <xdr:nvPicPr>
        <xdr:cNvPr id="53893" name="Picture 53892">
          <a:extLst>
            <a:ext uri="{FF2B5EF4-FFF2-40B4-BE49-F238E27FC236}">
              <a16:creationId xmlns:a16="http://schemas.microsoft.com/office/drawing/2014/main" id="{00000000-0008-0000-0A00-000085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896461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26</xdr:row>
      <xdr:rowOff>39688</xdr:rowOff>
    </xdr:from>
    <xdr:to>
      <xdr:col>87</xdr:col>
      <xdr:colOff>460375</xdr:colOff>
      <xdr:row>26</xdr:row>
      <xdr:rowOff>293688</xdr:rowOff>
    </xdr:to>
    <xdr:pic>
      <xdr:nvPicPr>
        <xdr:cNvPr id="53896" name="Picture 53895">
          <a:extLst>
            <a:ext uri="{FF2B5EF4-FFF2-40B4-BE49-F238E27FC236}">
              <a16:creationId xmlns:a16="http://schemas.microsoft.com/office/drawing/2014/main" id="{00000000-0008-0000-0A00-000088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896461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26</xdr:row>
      <xdr:rowOff>39688</xdr:rowOff>
    </xdr:from>
    <xdr:to>
      <xdr:col>75</xdr:col>
      <xdr:colOff>460375</xdr:colOff>
      <xdr:row>26</xdr:row>
      <xdr:rowOff>293688</xdr:rowOff>
    </xdr:to>
    <xdr:pic>
      <xdr:nvPicPr>
        <xdr:cNvPr id="53899" name="Picture 53898">
          <a:extLst>
            <a:ext uri="{FF2B5EF4-FFF2-40B4-BE49-F238E27FC236}">
              <a16:creationId xmlns:a16="http://schemas.microsoft.com/office/drawing/2014/main" id="{00000000-0008-0000-0A00-00008B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896461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26</xdr:row>
      <xdr:rowOff>39688</xdr:rowOff>
    </xdr:from>
    <xdr:to>
      <xdr:col>171</xdr:col>
      <xdr:colOff>460375</xdr:colOff>
      <xdr:row>26</xdr:row>
      <xdr:rowOff>293688</xdr:rowOff>
    </xdr:to>
    <xdr:pic>
      <xdr:nvPicPr>
        <xdr:cNvPr id="53902" name="Picture 53901">
          <a:extLst>
            <a:ext uri="{FF2B5EF4-FFF2-40B4-BE49-F238E27FC236}">
              <a16:creationId xmlns:a16="http://schemas.microsoft.com/office/drawing/2014/main" id="{00000000-0008-0000-0A00-00008E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896461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25</xdr:row>
      <xdr:rowOff>39688</xdr:rowOff>
    </xdr:from>
    <xdr:to>
      <xdr:col>111</xdr:col>
      <xdr:colOff>460375</xdr:colOff>
      <xdr:row>25</xdr:row>
      <xdr:rowOff>293688</xdr:rowOff>
    </xdr:to>
    <xdr:pic>
      <xdr:nvPicPr>
        <xdr:cNvPr id="53905" name="Picture 53904">
          <a:extLst>
            <a:ext uri="{FF2B5EF4-FFF2-40B4-BE49-F238E27FC236}">
              <a16:creationId xmlns:a16="http://schemas.microsoft.com/office/drawing/2014/main" id="{00000000-0008-0000-0A00-000091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26</xdr:row>
      <xdr:rowOff>39688</xdr:rowOff>
    </xdr:from>
    <xdr:to>
      <xdr:col>39</xdr:col>
      <xdr:colOff>460375</xdr:colOff>
      <xdr:row>26</xdr:row>
      <xdr:rowOff>293688</xdr:rowOff>
    </xdr:to>
    <xdr:pic>
      <xdr:nvPicPr>
        <xdr:cNvPr id="53908" name="Picture 53907">
          <a:extLst>
            <a:ext uri="{FF2B5EF4-FFF2-40B4-BE49-F238E27FC236}">
              <a16:creationId xmlns:a16="http://schemas.microsoft.com/office/drawing/2014/main" id="{00000000-0008-0000-0A00-000094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896461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26</xdr:row>
      <xdr:rowOff>39688</xdr:rowOff>
    </xdr:from>
    <xdr:to>
      <xdr:col>147</xdr:col>
      <xdr:colOff>460375</xdr:colOff>
      <xdr:row>26</xdr:row>
      <xdr:rowOff>293688</xdr:rowOff>
    </xdr:to>
    <xdr:pic>
      <xdr:nvPicPr>
        <xdr:cNvPr id="53911" name="Picture 53910">
          <a:extLst>
            <a:ext uri="{FF2B5EF4-FFF2-40B4-BE49-F238E27FC236}">
              <a16:creationId xmlns:a16="http://schemas.microsoft.com/office/drawing/2014/main" id="{00000000-0008-0000-0A00-000097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896461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26</xdr:row>
      <xdr:rowOff>39688</xdr:rowOff>
    </xdr:from>
    <xdr:to>
      <xdr:col>231</xdr:col>
      <xdr:colOff>460375</xdr:colOff>
      <xdr:row>26</xdr:row>
      <xdr:rowOff>293688</xdr:rowOff>
    </xdr:to>
    <xdr:pic>
      <xdr:nvPicPr>
        <xdr:cNvPr id="53914" name="Picture 53913">
          <a:extLst>
            <a:ext uri="{FF2B5EF4-FFF2-40B4-BE49-F238E27FC236}">
              <a16:creationId xmlns:a16="http://schemas.microsoft.com/office/drawing/2014/main" id="{00000000-0008-0000-0A00-00009A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8964613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25</xdr:row>
      <xdr:rowOff>39688</xdr:rowOff>
    </xdr:from>
    <xdr:to>
      <xdr:col>3</xdr:col>
      <xdr:colOff>460375</xdr:colOff>
      <xdr:row>25</xdr:row>
      <xdr:rowOff>293688</xdr:rowOff>
    </xdr:to>
    <xdr:pic>
      <xdr:nvPicPr>
        <xdr:cNvPr id="53917" name="Picture 53916">
          <a:extLst>
            <a:ext uri="{FF2B5EF4-FFF2-40B4-BE49-F238E27FC236}">
              <a16:creationId xmlns:a16="http://schemas.microsoft.com/office/drawing/2014/main" id="{00000000-0008-0000-0A00-00009D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863123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26</xdr:row>
      <xdr:rowOff>39688</xdr:rowOff>
    </xdr:from>
    <xdr:to>
      <xdr:col>159</xdr:col>
      <xdr:colOff>460375</xdr:colOff>
      <xdr:row>26</xdr:row>
      <xdr:rowOff>293688</xdr:rowOff>
    </xdr:to>
    <xdr:pic>
      <xdr:nvPicPr>
        <xdr:cNvPr id="53920" name="Picture 53919">
          <a:extLst>
            <a:ext uri="{FF2B5EF4-FFF2-40B4-BE49-F238E27FC236}">
              <a16:creationId xmlns:a16="http://schemas.microsoft.com/office/drawing/2014/main" id="{00000000-0008-0000-0A00-0000A0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896461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27</xdr:row>
      <xdr:rowOff>39688</xdr:rowOff>
    </xdr:from>
    <xdr:to>
      <xdr:col>99</xdr:col>
      <xdr:colOff>460375</xdr:colOff>
      <xdr:row>27</xdr:row>
      <xdr:rowOff>293688</xdr:rowOff>
    </xdr:to>
    <xdr:pic>
      <xdr:nvPicPr>
        <xdr:cNvPr id="53923" name="Picture 53922">
          <a:extLst>
            <a:ext uri="{FF2B5EF4-FFF2-40B4-BE49-F238E27FC236}">
              <a16:creationId xmlns:a16="http://schemas.microsoft.com/office/drawing/2014/main" id="{00000000-0008-0000-0A00-0000A3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929798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27</xdr:row>
      <xdr:rowOff>39688</xdr:rowOff>
    </xdr:from>
    <xdr:to>
      <xdr:col>207</xdr:col>
      <xdr:colOff>460375</xdr:colOff>
      <xdr:row>27</xdr:row>
      <xdr:rowOff>293688</xdr:rowOff>
    </xdr:to>
    <xdr:pic>
      <xdr:nvPicPr>
        <xdr:cNvPr id="53926" name="Picture 53925">
          <a:extLst>
            <a:ext uri="{FF2B5EF4-FFF2-40B4-BE49-F238E27FC236}">
              <a16:creationId xmlns:a16="http://schemas.microsoft.com/office/drawing/2014/main" id="{00000000-0008-0000-0A00-0000A6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929798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28</xdr:row>
      <xdr:rowOff>39688</xdr:rowOff>
    </xdr:from>
    <xdr:to>
      <xdr:col>63</xdr:col>
      <xdr:colOff>460375</xdr:colOff>
      <xdr:row>28</xdr:row>
      <xdr:rowOff>293688</xdr:rowOff>
    </xdr:to>
    <xdr:pic>
      <xdr:nvPicPr>
        <xdr:cNvPr id="53929" name="Picture 53928">
          <a:extLst>
            <a:ext uri="{FF2B5EF4-FFF2-40B4-BE49-F238E27FC236}">
              <a16:creationId xmlns:a16="http://schemas.microsoft.com/office/drawing/2014/main" id="{00000000-0008-0000-0A00-0000A9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29</xdr:row>
      <xdr:rowOff>39688</xdr:rowOff>
    </xdr:from>
    <xdr:to>
      <xdr:col>99</xdr:col>
      <xdr:colOff>460375</xdr:colOff>
      <xdr:row>29</xdr:row>
      <xdr:rowOff>293688</xdr:rowOff>
    </xdr:to>
    <xdr:pic>
      <xdr:nvPicPr>
        <xdr:cNvPr id="53932" name="Picture 53931">
          <a:extLst>
            <a:ext uri="{FF2B5EF4-FFF2-40B4-BE49-F238E27FC236}">
              <a16:creationId xmlns:a16="http://schemas.microsoft.com/office/drawing/2014/main" id="{00000000-0008-0000-0A00-0000AC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28</xdr:row>
      <xdr:rowOff>39688</xdr:rowOff>
    </xdr:from>
    <xdr:to>
      <xdr:col>87</xdr:col>
      <xdr:colOff>460375</xdr:colOff>
      <xdr:row>28</xdr:row>
      <xdr:rowOff>293688</xdr:rowOff>
    </xdr:to>
    <xdr:pic>
      <xdr:nvPicPr>
        <xdr:cNvPr id="53935" name="Picture 53934">
          <a:extLst>
            <a:ext uri="{FF2B5EF4-FFF2-40B4-BE49-F238E27FC236}">
              <a16:creationId xmlns:a16="http://schemas.microsoft.com/office/drawing/2014/main" id="{00000000-0008-0000-0A00-0000AF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27</xdr:row>
      <xdr:rowOff>39688</xdr:rowOff>
    </xdr:from>
    <xdr:to>
      <xdr:col>3</xdr:col>
      <xdr:colOff>460375</xdr:colOff>
      <xdr:row>27</xdr:row>
      <xdr:rowOff>293688</xdr:rowOff>
    </xdr:to>
    <xdr:pic>
      <xdr:nvPicPr>
        <xdr:cNvPr id="53938" name="Picture 53937">
          <a:extLst>
            <a:ext uri="{FF2B5EF4-FFF2-40B4-BE49-F238E27FC236}">
              <a16:creationId xmlns:a16="http://schemas.microsoft.com/office/drawing/2014/main" id="{00000000-0008-0000-0A00-0000B2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9297988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28</xdr:row>
      <xdr:rowOff>39688</xdr:rowOff>
    </xdr:from>
    <xdr:to>
      <xdr:col>15</xdr:col>
      <xdr:colOff>460375</xdr:colOff>
      <xdr:row>28</xdr:row>
      <xdr:rowOff>293688</xdr:rowOff>
    </xdr:to>
    <xdr:pic>
      <xdr:nvPicPr>
        <xdr:cNvPr id="53941" name="Picture 53940">
          <a:extLst>
            <a:ext uri="{FF2B5EF4-FFF2-40B4-BE49-F238E27FC236}">
              <a16:creationId xmlns:a16="http://schemas.microsoft.com/office/drawing/2014/main" id="{00000000-0008-0000-0A00-0000B5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28</xdr:row>
      <xdr:rowOff>39688</xdr:rowOff>
    </xdr:from>
    <xdr:to>
      <xdr:col>123</xdr:col>
      <xdr:colOff>460375</xdr:colOff>
      <xdr:row>28</xdr:row>
      <xdr:rowOff>293688</xdr:rowOff>
    </xdr:to>
    <xdr:pic>
      <xdr:nvPicPr>
        <xdr:cNvPr id="53944" name="Picture 53943">
          <a:extLst>
            <a:ext uri="{FF2B5EF4-FFF2-40B4-BE49-F238E27FC236}">
              <a16:creationId xmlns:a16="http://schemas.microsoft.com/office/drawing/2014/main" id="{00000000-0008-0000-0A00-0000B8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28</xdr:row>
      <xdr:rowOff>39688</xdr:rowOff>
    </xdr:from>
    <xdr:to>
      <xdr:col>39</xdr:col>
      <xdr:colOff>460375</xdr:colOff>
      <xdr:row>28</xdr:row>
      <xdr:rowOff>293688</xdr:rowOff>
    </xdr:to>
    <xdr:pic>
      <xdr:nvPicPr>
        <xdr:cNvPr id="53947" name="Picture 53946">
          <a:extLst>
            <a:ext uri="{FF2B5EF4-FFF2-40B4-BE49-F238E27FC236}">
              <a16:creationId xmlns:a16="http://schemas.microsoft.com/office/drawing/2014/main" id="{00000000-0008-0000-0A00-0000BB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28</xdr:row>
      <xdr:rowOff>39688</xdr:rowOff>
    </xdr:from>
    <xdr:to>
      <xdr:col>195</xdr:col>
      <xdr:colOff>460375</xdr:colOff>
      <xdr:row>28</xdr:row>
      <xdr:rowOff>293688</xdr:rowOff>
    </xdr:to>
    <xdr:pic>
      <xdr:nvPicPr>
        <xdr:cNvPr id="53950" name="Picture 53949">
          <a:extLst>
            <a:ext uri="{FF2B5EF4-FFF2-40B4-BE49-F238E27FC236}">
              <a16:creationId xmlns:a16="http://schemas.microsoft.com/office/drawing/2014/main" id="{00000000-0008-0000-0A00-0000BE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27</xdr:row>
      <xdr:rowOff>39688</xdr:rowOff>
    </xdr:from>
    <xdr:to>
      <xdr:col>51</xdr:col>
      <xdr:colOff>460375</xdr:colOff>
      <xdr:row>27</xdr:row>
      <xdr:rowOff>293688</xdr:rowOff>
    </xdr:to>
    <xdr:pic>
      <xdr:nvPicPr>
        <xdr:cNvPr id="53953" name="Picture 53952">
          <a:extLst>
            <a:ext uri="{FF2B5EF4-FFF2-40B4-BE49-F238E27FC236}">
              <a16:creationId xmlns:a16="http://schemas.microsoft.com/office/drawing/2014/main" id="{00000000-0008-0000-0A00-0000C1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929798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28</xdr:row>
      <xdr:rowOff>39688</xdr:rowOff>
    </xdr:from>
    <xdr:to>
      <xdr:col>27</xdr:col>
      <xdr:colOff>460375</xdr:colOff>
      <xdr:row>28</xdr:row>
      <xdr:rowOff>293688</xdr:rowOff>
    </xdr:to>
    <xdr:pic>
      <xdr:nvPicPr>
        <xdr:cNvPr id="53956" name="Picture 53955">
          <a:extLst>
            <a:ext uri="{FF2B5EF4-FFF2-40B4-BE49-F238E27FC236}">
              <a16:creationId xmlns:a16="http://schemas.microsoft.com/office/drawing/2014/main" id="{00000000-0008-0000-0A00-0000C4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28</xdr:row>
      <xdr:rowOff>39688</xdr:rowOff>
    </xdr:from>
    <xdr:to>
      <xdr:col>159</xdr:col>
      <xdr:colOff>460375</xdr:colOff>
      <xdr:row>28</xdr:row>
      <xdr:rowOff>293688</xdr:rowOff>
    </xdr:to>
    <xdr:pic>
      <xdr:nvPicPr>
        <xdr:cNvPr id="53959" name="Picture 53958">
          <a:extLst>
            <a:ext uri="{FF2B5EF4-FFF2-40B4-BE49-F238E27FC236}">
              <a16:creationId xmlns:a16="http://schemas.microsoft.com/office/drawing/2014/main" id="{00000000-0008-0000-0A00-0000C7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28</xdr:row>
      <xdr:rowOff>39688</xdr:rowOff>
    </xdr:from>
    <xdr:to>
      <xdr:col>75</xdr:col>
      <xdr:colOff>460375</xdr:colOff>
      <xdr:row>28</xdr:row>
      <xdr:rowOff>293688</xdr:rowOff>
    </xdr:to>
    <xdr:pic>
      <xdr:nvPicPr>
        <xdr:cNvPr id="53962" name="Picture 53961">
          <a:extLst>
            <a:ext uri="{FF2B5EF4-FFF2-40B4-BE49-F238E27FC236}">
              <a16:creationId xmlns:a16="http://schemas.microsoft.com/office/drawing/2014/main" id="{00000000-0008-0000-0A00-0000CA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28</xdr:row>
      <xdr:rowOff>39688</xdr:rowOff>
    </xdr:from>
    <xdr:to>
      <xdr:col>231</xdr:col>
      <xdr:colOff>460375</xdr:colOff>
      <xdr:row>28</xdr:row>
      <xdr:rowOff>293688</xdr:rowOff>
    </xdr:to>
    <xdr:pic>
      <xdr:nvPicPr>
        <xdr:cNvPr id="53965" name="Picture 53964">
          <a:extLst>
            <a:ext uri="{FF2B5EF4-FFF2-40B4-BE49-F238E27FC236}">
              <a16:creationId xmlns:a16="http://schemas.microsoft.com/office/drawing/2014/main" id="{00000000-0008-0000-0A00-0000CD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27</xdr:row>
      <xdr:rowOff>39688</xdr:rowOff>
    </xdr:from>
    <xdr:to>
      <xdr:col>135</xdr:col>
      <xdr:colOff>460375</xdr:colOff>
      <xdr:row>27</xdr:row>
      <xdr:rowOff>293688</xdr:rowOff>
    </xdr:to>
    <xdr:pic>
      <xdr:nvPicPr>
        <xdr:cNvPr id="53968" name="Picture 53967">
          <a:extLst>
            <a:ext uri="{FF2B5EF4-FFF2-40B4-BE49-F238E27FC236}">
              <a16:creationId xmlns:a16="http://schemas.microsoft.com/office/drawing/2014/main" id="{00000000-0008-0000-0A00-0000D0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9297988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28</xdr:row>
      <xdr:rowOff>39688</xdr:rowOff>
    </xdr:from>
    <xdr:to>
      <xdr:col>171</xdr:col>
      <xdr:colOff>460375</xdr:colOff>
      <xdr:row>28</xdr:row>
      <xdr:rowOff>293688</xdr:rowOff>
    </xdr:to>
    <xdr:pic>
      <xdr:nvPicPr>
        <xdr:cNvPr id="53971" name="Picture 53970">
          <a:extLst>
            <a:ext uri="{FF2B5EF4-FFF2-40B4-BE49-F238E27FC236}">
              <a16:creationId xmlns:a16="http://schemas.microsoft.com/office/drawing/2014/main" id="{00000000-0008-0000-0A00-0000D3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28</xdr:row>
      <xdr:rowOff>39688</xdr:rowOff>
    </xdr:from>
    <xdr:to>
      <xdr:col>219</xdr:col>
      <xdr:colOff>460375</xdr:colOff>
      <xdr:row>28</xdr:row>
      <xdr:rowOff>293688</xdr:rowOff>
    </xdr:to>
    <xdr:pic>
      <xdr:nvPicPr>
        <xdr:cNvPr id="53974" name="Picture 53973">
          <a:extLst>
            <a:ext uri="{FF2B5EF4-FFF2-40B4-BE49-F238E27FC236}">
              <a16:creationId xmlns:a16="http://schemas.microsoft.com/office/drawing/2014/main" id="{00000000-0008-0000-0A00-0000D6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28</xdr:row>
      <xdr:rowOff>39688</xdr:rowOff>
    </xdr:from>
    <xdr:to>
      <xdr:col>183</xdr:col>
      <xdr:colOff>460375</xdr:colOff>
      <xdr:row>28</xdr:row>
      <xdr:rowOff>293688</xdr:rowOff>
    </xdr:to>
    <xdr:pic>
      <xdr:nvPicPr>
        <xdr:cNvPr id="53977" name="Picture 53976">
          <a:extLst>
            <a:ext uri="{FF2B5EF4-FFF2-40B4-BE49-F238E27FC236}">
              <a16:creationId xmlns:a16="http://schemas.microsoft.com/office/drawing/2014/main" id="{00000000-0008-0000-0A00-0000D9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27</xdr:row>
      <xdr:rowOff>39688</xdr:rowOff>
    </xdr:from>
    <xdr:to>
      <xdr:col>111</xdr:col>
      <xdr:colOff>460375</xdr:colOff>
      <xdr:row>27</xdr:row>
      <xdr:rowOff>293688</xdr:rowOff>
    </xdr:to>
    <xdr:pic>
      <xdr:nvPicPr>
        <xdr:cNvPr id="53980" name="Picture 53979">
          <a:extLst>
            <a:ext uri="{FF2B5EF4-FFF2-40B4-BE49-F238E27FC236}">
              <a16:creationId xmlns:a16="http://schemas.microsoft.com/office/drawing/2014/main" id="{00000000-0008-0000-0A00-0000DC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929798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29</xdr:row>
      <xdr:rowOff>39688</xdr:rowOff>
    </xdr:from>
    <xdr:to>
      <xdr:col>207</xdr:col>
      <xdr:colOff>460375</xdr:colOff>
      <xdr:row>29</xdr:row>
      <xdr:rowOff>293688</xdr:rowOff>
    </xdr:to>
    <xdr:pic>
      <xdr:nvPicPr>
        <xdr:cNvPr id="53983" name="Picture 53982">
          <a:extLst>
            <a:ext uri="{FF2B5EF4-FFF2-40B4-BE49-F238E27FC236}">
              <a16:creationId xmlns:a16="http://schemas.microsoft.com/office/drawing/2014/main" id="{00000000-0008-0000-0A00-0000DF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28</xdr:row>
      <xdr:rowOff>39688</xdr:rowOff>
    </xdr:from>
    <xdr:to>
      <xdr:col>147</xdr:col>
      <xdr:colOff>460375</xdr:colOff>
      <xdr:row>28</xdr:row>
      <xdr:rowOff>293688</xdr:rowOff>
    </xdr:to>
    <xdr:pic>
      <xdr:nvPicPr>
        <xdr:cNvPr id="53986" name="Picture 53985">
          <a:extLst>
            <a:ext uri="{FF2B5EF4-FFF2-40B4-BE49-F238E27FC236}">
              <a16:creationId xmlns:a16="http://schemas.microsoft.com/office/drawing/2014/main" id="{00000000-0008-0000-0A00-0000E2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29</xdr:row>
      <xdr:rowOff>39688</xdr:rowOff>
    </xdr:from>
    <xdr:to>
      <xdr:col>159</xdr:col>
      <xdr:colOff>460375</xdr:colOff>
      <xdr:row>29</xdr:row>
      <xdr:rowOff>293688</xdr:rowOff>
    </xdr:to>
    <xdr:pic>
      <xdr:nvPicPr>
        <xdr:cNvPr id="53989" name="Picture 53988">
          <a:extLst>
            <a:ext uri="{FF2B5EF4-FFF2-40B4-BE49-F238E27FC236}">
              <a16:creationId xmlns:a16="http://schemas.microsoft.com/office/drawing/2014/main" id="{00000000-0008-0000-0A00-0000E5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28</xdr:row>
      <xdr:rowOff>39688</xdr:rowOff>
    </xdr:from>
    <xdr:to>
      <xdr:col>111</xdr:col>
      <xdr:colOff>460375</xdr:colOff>
      <xdr:row>28</xdr:row>
      <xdr:rowOff>293688</xdr:rowOff>
    </xdr:to>
    <xdr:pic>
      <xdr:nvPicPr>
        <xdr:cNvPr id="53992" name="Picture 53991">
          <a:extLst>
            <a:ext uri="{FF2B5EF4-FFF2-40B4-BE49-F238E27FC236}">
              <a16:creationId xmlns:a16="http://schemas.microsoft.com/office/drawing/2014/main" id="{00000000-0008-0000-0A00-0000E8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29</xdr:row>
      <xdr:rowOff>39688</xdr:rowOff>
    </xdr:from>
    <xdr:to>
      <xdr:col>219</xdr:col>
      <xdr:colOff>460375</xdr:colOff>
      <xdr:row>29</xdr:row>
      <xdr:rowOff>293688</xdr:rowOff>
    </xdr:to>
    <xdr:pic>
      <xdr:nvPicPr>
        <xdr:cNvPr id="53995" name="Picture 53994">
          <a:extLst>
            <a:ext uri="{FF2B5EF4-FFF2-40B4-BE49-F238E27FC236}">
              <a16:creationId xmlns:a16="http://schemas.microsoft.com/office/drawing/2014/main" id="{00000000-0008-0000-0A00-0000EB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29</xdr:row>
      <xdr:rowOff>39688</xdr:rowOff>
    </xdr:from>
    <xdr:to>
      <xdr:col>63</xdr:col>
      <xdr:colOff>460375</xdr:colOff>
      <xdr:row>29</xdr:row>
      <xdr:rowOff>293688</xdr:rowOff>
    </xdr:to>
    <xdr:pic>
      <xdr:nvPicPr>
        <xdr:cNvPr id="53998" name="Picture 53997">
          <a:extLst>
            <a:ext uri="{FF2B5EF4-FFF2-40B4-BE49-F238E27FC236}">
              <a16:creationId xmlns:a16="http://schemas.microsoft.com/office/drawing/2014/main" id="{00000000-0008-0000-0A00-0000EE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28</xdr:row>
      <xdr:rowOff>39688</xdr:rowOff>
    </xdr:from>
    <xdr:to>
      <xdr:col>3</xdr:col>
      <xdr:colOff>460375</xdr:colOff>
      <xdr:row>28</xdr:row>
      <xdr:rowOff>293688</xdr:rowOff>
    </xdr:to>
    <xdr:pic>
      <xdr:nvPicPr>
        <xdr:cNvPr id="54001" name="Picture 54000">
          <a:extLst>
            <a:ext uri="{FF2B5EF4-FFF2-40B4-BE49-F238E27FC236}">
              <a16:creationId xmlns:a16="http://schemas.microsoft.com/office/drawing/2014/main" id="{00000000-0008-0000-0A00-0000F1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29</xdr:row>
      <xdr:rowOff>39688</xdr:rowOff>
    </xdr:from>
    <xdr:to>
      <xdr:col>39</xdr:col>
      <xdr:colOff>460375</xdr:colOff>
      <xdr:row>29</xdr:row>
      <xdr:rowOff>293688</xdr:rowOff>
    </xdr:to>
    <xdr:pic>
      <xdr:nvPicPr>
        <xdr:cNvPr id="54004" name="Picture 54003">
          <a:extLst>
            <a:ext uri="{FF2B5EF4-FFF2-40B4-BE49-F238E27FC236}">
              <a16:creationId xmlns:a16="http://schemas.microsoft.com/office/drawing/2014/main" id="{00000000-0008-0000-0A00-0000F4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29</xdr:row>
      <xdr:rowOff>39688</xdr:rowOff>
    </xdr:from>
    <xdr:to>
      <xdr:col>75</xdr:col>
      <xdr:colOff>460375</xdr:colOff>
      <xdr:row>29</xdr:row>
      <xdr:rowOff>293688</xdr:rowOff>
    </xdr:to>
    <xdr:pic>
      <xdr:nvPicPr>
        <xdr:cNvPr id="54007" name="Picture 54006">
          <a:extLst>
            <a:ext uri="{FF2B5EF4-FFF2-40B4-BE49-F238E27FC236}">
              <a16:creationId xmlns:a16="http://schemas.microsoft.com/office/drawing/2014/main" id="{00000000-0008-0000-0A00-0000F7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28</xdr:row>
      <xdr:rowOff>39688</xdr:rowOff>
    </xdr:from>
    <xdr:to>
      <xdr:col>51</xdr:col>
      <xdr:colOff>460375</xdr:colOff>
      <xdr:row>28</xdr:row>
      <xdr:rowOff>293688</xdr:rowOff>
    </xdr:to>
    <xdr:pic>
      <xdr:nvPicPr>
        <xdr:cNvPr id="54010" name="Picture 54009">
          <a:extLst>
            <a:ext uri="{FF2B5EF4-FFF2-40B4-BE49-F238E27FC236}">
              <a16:creationId xmlns:a16="http://schemas.microsoft.com/office/drawing/2014/main" id="{00000000-0008-0000-0A00-0000FA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30</xdr:row>
      <xdr:rowOff>39688</xdr:rowOff>
    </xdr:from>
    <xdr:to>
      <xdr:col>99</xdr:col>
      <xdr:colOff>460375</xdr:colOff>
      <xdr:row>30</xdr:row>
      <xdr:rowOff>293688</xdr:rowOff>
    </xdr:to>
    <xdr:pic>
      <xdr:nvPicPr>
        <xdr:cNvPr id="54013" name="Picture 54012">
          <a:extLst>
            <a:ext uri="{FF2B5EF4-FFF2-40B4-BE49-F238E27FC236}">
              <a16:creationId xmlns:a16="http://schemas.microsoft.com/office/drawing/2014/main" id="{00000000-0008-0000-0A00-0000FD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29</xdr:row>
      <xdr:rowOff>39688</xdr:rowOff>
    </xdr:from>
    <xdr:to>
      <xdr:col>183</xdr:col>
      <xdr:colOff>460375</xdr:colOff>
      <xdr:row>29</xdr:row>
      <xdr:rowOff>293688</xdr:rowOff>
    </xdr:to>
    <xdr:pic>
      <xdr:nvPicPr>
        <xdr:cNvPr id="54016" name="Picture 54015">
          <a:extLst>
            <a:ext uri="{FF2B5EF4-FFF2-40B4-BE49-F238E27FC236}">
              <a16:creationId xmlns:a16="http://schemas.microsoft.com/office/drawing/2014/main" id="{00000000-0008-0000-0A00-000000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29</xdr:row>
      <xdr:rowOff>39688</xdr:rowOff>
    </xdr:from>
    <xdr:to>
      <xdr:col>123</xdr:col>
      <xdr:colOff>460375</xdr:colOff>
      <xdr:row>29</xdr:row>
      <xdr:rowOff>293688</xdr:rowOff>
    </xdr:to>
    <xdr:pic>
      <xdr:nvPicPr>
        <xdr:cNvPr id="54019" name="Picture 54018">
          <a:extLst>
            <a:ext uri="{FF2B5EF4-FFF2-40B4-BE49-F238E27FC236}">
              <a16:creationId xmlns:a16="http://schemas.microsoft.com/office/drawing/2014/main" id="{00000000-0008-0000-0A00-000003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30</xdr:row>
      <xdr:rowOff>39688</xdr:rowOff>
    </xdr:from>
    <xdr:to>
      <xdr:col>207</xdr:col>
      <xdr:colOff>460375</xdr:colOff>
      <xdr:row>30</xdr:row>
      <xdr:rowOff>293688</xdr:rowOff>
    </xdr:to>
    <xdr:pic>
      <xdr:nvPicPr>
        <xdr:cNvPr id="54022" name="Picture 54021">
          <a:extLst>
            <a:ext uri="{FF2B5EF4-FFF2-40B4-BE49-F238E27FC236}">
              <a16:creationId xmlns:a16="http://schemas.microsoft.com/office/drawing/2014/main" id="{00000000-0008-0000-0A00-000006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29</xdr:row>
      <xdr:rowOff>39688</xdr:rowOff>
    </xdr:from>
    <xdr:to>
      <xdr:col>195</xdr:col>
      <xdr:colOff>460375</xdr:colOff>
      <xdr:row>29</xdr:row>
      <xdr:rowOff>293688</xdr:rowOff>
    </xdr:to>
    <xdr:pic>
      <xdr:nvPicPr>
        <xdr:cNvPr id="54025" name="Picture 54024">
          <a:extLst>
            <a:ext uri="{FF2B5EF4-FFF2-40B4-BE49-F238E27FC236}">
              <a16:creationId xmlns:a16="http://schemas.microsoft.com/office/drawing/2014/main" id="{00000000-0008-0000-0A00-000009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29</xdr:row>
      <xdr:rowOff>39688</xdr:rowOff>
    </xdr:from>
    <xdr:to>
      <xdr:col>231</xdr:col>
      <xdr:colOff>460375</xdr:colOff>
      <xdr:row>29</xdr:row>
      <xdr:rowOff>293688</xdr:rowOff>
    </xdr:to>
    <xdr:pic>
      <xdr:nvPicPr>
        <xdr:cNvPr id="54028" name="Picture 54027">
          <a:extLst>
            <a:ext uri="{FF2B5EF4-FFF2-40B4-BE49-F238E27FC236}">
              <a16:creationId xmlns:a16="http://schemas.microsoft.com/office/drawing/2014/main" id="{00000000-0008-0000-0A00-00000C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29</xdr:row>
      <xdr:rowOff>39688</xdr:rowOff>
    </xdr:from>
    <xdr:to>
      <xdr:col>27</xdr:col>
      <xdr:colOff>460375</xdr:colOff>
      <xdr:row>29</xdr:row>
      <xdr:rowOff>293688</xdr:rowOff>
    </xdr:to>
    <xdr:pic>
      <xdr:nvPicPr>
        <xdr:cNvPr id="54031" name="Picture 54030">
          <a:extLst>
            <a:ext uri="{FF2B5EF4-FFF2-40B4-BE49-F238E27FC236}">
              <a16:creationId xmlns:a16="http://schemas.microsoft.com/office/drawing/2014/main" id="{00000000-0008-0000-0A00-00000F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29</xdr:row>
      <xdr:rowOff>39688</xdr:rowOff>
    </xdr:from>
    <xdr:to>
      <xdr:col>171</xdr:col>
      <xdr:colOff>460375</xdr:colOff>
      <xdr:row>29</xdr:row>
      <xdr:rowOff>293688</xdr:rowOff>
    </xdr:to>
    <xdr:pic>
      <xdr:nvPicPr>
        <xdr:cNvPr id="54034" name="Picture 54033">
          <a:extLst>
            <a:ext uri="{FF2B5EF4-FFF2-40B4-BE49-F238E27FC236}">
              <a16:creationId xmlns:a16="http://schemas.microsoft.com/office/drawing/2014/main" id="{00000000-0008-0000-0A00-000012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29</xdr:row>
      <xdr:rowOff>39688</xdr:rowOff>
    </xdr:from>
    <xdr:to>
      <xdr:col>111</xdr:col>
      <xdr:colOff>460375</xdr:colOff>
      <xdr:row>29</xdr:row>
      <xdr:rowOff>293688</xdr:rowOff>
    </xdr:to>
    <xdr:pic>
      <xdr:nvPicPr>
        <xdr:cNvPr id="54037" name="Picture 54036">
          <a:extLst>
            <a:ext uri="{FF2B5EF4-FFF2-40B4-BE49-F238E27FC236}">
              <a16:creationId xmlns:a16="http://schemas.microsoft.com/office/drawing/2014/main" id="{00000000-0008-0000-0A00-000015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30</xdr:row>
      <xdr:rowOff>39688</xdr:rowOff>
    </xdr:from>
    <xdr:to>
      <xdr:col>159</xdr:col>
      <xdr:colOff>460375</xdr:colOff>
      <xdr:row>30</xdr:row>
      <xdr:rowOff>293688</xdr:rowOff>
    </xdr:to>
    <xdr:pic>
      <xdr:nvPicPr>
        <xdr:cNvPr id="54040" name="Picture 54039">
          <a:extLst>
            <a:ext uri="{FF2B5EF4-FFF2-40B4-BE49-F238E27FC236}">
              <a16:creationId xmlns:a16="http://schemas.microsoft.com/office/drawing/2014/main" id="{00000000-0008-0000-0A00-000018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29</xdr:row>
      <xdr:rowOff>39688</xdr:rowOff>
    </xdr:from>
    <xdr:to>
      <xdr:col>147</xdr:col>
      <xdr:colOff>460375</xdr:colOff>
      <xdr:row>29</xdr:row>
      <xdr:rowOff>293688</xdr:rowOff>
    </xdr:to>
    <xdr:pic>
      <xdr:nvPicPr>
        <xdr:cNvPr id="54043" name="Picture 54042">
          <a:extLst>
            <a:ext uri="{FF2B5EF4-FFF2-40B4-BE49-F238E27FC236}">
              <a16:creationId xmlns:a16="http://schemas.microsoft.com/office/drawing/2014/main" id="{00000000-0008-0000-0A00-00001B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29</xdr:row>
      <xdr:rowOff>39688</xdr:rowOff>
    </xdr:from>
    <xdr:to>
      <xdr:col>15</xdr:col>
      <xdr:colOff>460375</xdr:colOff>
      <xdr:row>29</xdr:row>
      <xdr:rowOff>293688</xdr:rowOff>
    </xdr:to>
    <xdr:pic>
      <xdr:nvPicPr>
        <xdr:cNvPr id="54046" name="Picture 54045">
          <a:extLst>
            <a:ext uri="{FF2B5EF4-FFF2-40B4-BE49-F238E27FC236}">
              <a16:creationId xmlns:a16="http://schemas.microsoft.com/office/drawing/2014/main" id="{00000000-0008-0000-0A00-00001E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28</xdr:row>
      <xdr:rowOff>39688</xdr:rowOff>
    </xdr:from>
    <xdr:to>
      <xdr:col>135</xdr:col>
      <xdr:colOff>460375</xdr:colOff>
      <xdr:row>28</xdr:row>
      <xdr:rowOff>293688</xdr:rowOff>
    </xdr:to>
    <xdr:pic>
      <xdr:nvPicPr>
        <xdr:cNvPr id="54049" name="Picture 54048">
          <a:extLst>
            <a:ext uri="{FF2B5EF4-FFF2-40B4-BE49-F238E27FC236}">
              <a16:creationId xmlns:a16="http://schemas.microsoft.com/office/drawing/2014/main" id="{00000000-0008-0000-0A00-000021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963136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29</xdr:row>
      <xdr:rowOff>39688</xdr:rowOff>
    </xdr:from>
    <xdr:to>
      <xdr:col>87</xdr:col>
      <xdr:colOff>460375</xdr:colOff>
      <xdr:row>29</xdr:row>
      <xdr:rowOff>293688</xdr:rowOff>
    </xdr:to>
    <xdr:pic>
      <xdr:nvPicPr>
        <xdr:cNvPr id="54052" name="Picture 54051">
          <a:extLst>
            <a:ext uri="{FF2B5EF4-FFF2-40B4-BE49-F238E27FC236}">
              <a16:creationId xmlns:a16="http://schemas.microsoft.com/office/drawing/2014/main" id="{00000000-0008-0000-0A00-000024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29</xdr:row>
      <xdr:rowOff>39688</xdr:rowOff>
    </xdr:from>
    <xdr:to>
      <xdr:col>3</xdr:col>
      <xdr:colOff>460375</xdr:colOff>
      <xdr:row>29</xdr:row>
      <xdr:rowOff>293688</xdr:rowOff>
    </xdr:to>
    <xdr:pic>
      <xdr:nvPicPr>
        <xdr:cNvPr id="54055" name="Picture 54054">
          <a:extLst>
            <a:ext uri="{FF2B5EF4-FFF2-40B4-BE49-F238E27FC236}">
              <a16:creationId xmlns:a16="http://schemas.microsoft.com/office/drawing/2014/main" id="{00000000-0008-0000-0A00-000027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30</xdr:row>
      <xdr:rowOff>39688</xdr:rowOff>
    </xdr:from>
    <xdr:to>
      <xdr:col>147</xdr:col>
      <xdr:colOff>460375</xdr:colOff>
      <xdr:row>30</xdr:row>
      <xdr:rowOff>293688</xdr:rowOff>
    </xdr:to>
    <xdr:pic>
      <xdr:nvPicPr>
        <xdr:cNvPr id="54058" name="Picture 54057">
          <a:extLst>
            <a:ext uri="{FF2B5EF4-FFF2-40B4-BE49-F238E27FC236}">
              <a16:creationId xmlns:a16="http://schemas.microsoft.com/office/drawing/2014/main" id="{00000000-0008-0000-0A00-00002A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30</xdr:row>
      <xdr:rowOff>39688</xdr:rowOff>
    </xdr:from>
    <xdr:to>
      <xdr:col>15</xdr:col>
      <xdr:colOff>460375</xdr:colOff>
      <xdr:row>30</xdr:row>
      <xdr:rowOff>293688</xdr:rowOff>
    </xdr:to>
    <xdr:pic>
      <xdr:nvPicPr>
        <xdr:cNvPr id="54061" name="Picture 54060">
          <a:extLst>
            <a:ext uri="{FF2B5EF4-FFF2-40B4-BE49-F238E27FC236}">
              <a16:creationId xmlns:a16="http://schemas.microsoft.com/office/drawing/2014/main" id="{00000000-0008-0000-0A00-00002D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30</xdr:row>
      <xdr:rowOff>39688</xdr:rowOff>
    </xdr:from>
    <xdr:to>
      <xdr:col>3</xdr:col>
      <xdr:colOff>460375</xdr:colOff>
      <xdr:row>30</xdr:row>
      <xdr:rowOff>293688</xdr:rowOff>
    </xdr:to>
    <xdr:pic>
      <xdr:nvPicPr>
        <xdr:cNvPr id="54064" name="Picture 54063">
          <a:extLst>
            <a:ext uri="{FF2B5EF4-FFF2-40B4-BE49-F238E27FC236}">
              <a16:creationId xmlns:a16="http://schemas.microsoft.com/office/drawing/2014/main" id="{00000000-0008-0000-0A00-000030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30</xdr:row>
      <xdr:rowOff>39688</xdr:rowOff>
    </xdr:from>
    <xdr:to>
      <xdr:col>39</xdr:col>
      <xdr:colOff>460375</xdr:colOff>
      <xdr:row>30</xdr:row>
      <xdr:rowOff>293688</xdr:rowOff>
    </xdr:to>
    <xdr:pic>
      <xdr:nvPicPr>
        <xdr:cNvPr id="54067" name="Picture 54066">
          <a:extLst>
            <a:ext uri="{FF2B5EF4-FFF2-40B4-BE49-F238E27FC236}">
              <a16:creationId xmlns:a16="http://schemas.microsoft.com/office/drawing/2014/main" id="{00000000-0008-0000-0A00-000033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30</xdr:row>
      <xdr:rowOff>39688</xdr:rowOff>
    </xdr:from>
    <xdr:to>
      <xdr:col>75</xdr:col>
      <xdr:colOff>460375</xdr:colOff>
      <xdr:row>30</xdr:row>
      <xdr:rowOff>293688</xdr:rowOff>
    </xdr:to>
    <xdr:pic>
      <xdr:nvPicPr>
        <xdr:cNvPr id="54070" name="Picture 54069">
          <a:extLst>
            <a:ext uri="{FF2B5EF4-FFF2-40B4-BE49-F238E27FC236}">
              <a16:creationId xmlns:a16="http://schemas.microsoft.com/office/drawing/2014/main" id="{00000000-0008-0000-0A00-000036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29</xdr:row>
      <xdr:rowOff>39688</xdr:rowOff>
    </xdr:from>
    <xdr:to>
      <xdr:col>51</xdr:col>
      <xdr:colOff>460375</xdr:colOff>
      <xdr:row>29</xdr:row>
      <xdr:rowOff>293688</xdr:rowOff>
    </xdr:to>
    <xdr:pic>
      <xdr:nvPicPr>
        <xdr:cNvPr id="54073" name="Picture 54072">
          <a:extLst>
            <a:ext uri="{FF2B5EF4-FFF2-40B4-BE49-F238E27FC236}">
              <a16:creationId xmlns:a16="http://schemas.microsoft.com/office/drawing/2014/main" id="{00000000-0008-0000-0A00-000039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31</xdr:row>
      <xdr:rowOff>39688</xdr:rowOff>
    </xdr:from>
    <xdr:to>
      <xdr:col>99</xdr:col>
      <xdr:colOff>460375</xdr:colOff>
      <xdr:row>31</xdr:row>
      <xdr:rowOff>293688</xdr:rowOff>
    </xdr:to>
    <xdr:pic>
      <xdr:nvPicPr>
        <xdr:cNvPr id="54076" name="Picture 54075">
          <a:extLst>
            <a:ext uri="{FF2B5EF4-FFF2-40B4-BE49-F238E27FC236}">
              <a16:creationId xmlns:a16="http://schemas.microsoft.com/office/drawing/2014/main" id="{00000000-0008-0000-0A00-00003C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30</xdr:row>
      <xdr:rowOff>39688</xdr:rowOff>
    </xdr:from>
    <xdr:to>
      <xdr:col>63</xdr:col>
      <xdr:colOff>460375</xdr:colOff>
      <xdr:row>30</xdr:row>
      <xdr:rowOff>293688</xdr:rowOff>
    </xdr:to>
    <xdr:pic>
      <xdr:nvPicPr>
        <xdr:cNvPr id="54079" name="Picture 54078">
          <a:extLst>
            <a:ext uri="{FF2B5EF4-FFF2-40B4-BE49-F238E27FC236}">
              <a16:creationId xmlns:a16="http://schemas.microsoft.com/office/drawing/2014/main" id="{00000000-0008-0000-0A00-00003F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30</xdr:row>
      <xdr:rowOff>39688</xdr:rowOff>
    </xdr:from>
    <xdr:to>
      <xdr:col>195</xdr:col>
      <xdr:colOff>460375</xdr:colOff>
      <xdr:row>30</xdr:row>
      <xdr:rowOff>293688</xdr:rowOff>
    </xdr:to>
    <xdr:pic>
      <xdr:nvPicPr>
        <xdr:cNvPr id="54082" name="Picture 54081">
          <a:extLst>
            <a:ext uri="{FF2B5EF4-FFF2-40B4-BE49-F238E27FC236}">
              <a16:creationId xmlns:a16="http://schemas.microsoft.com/office/drawing/2014/main" id="{00000000-0008-0000-0A00-000042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30</xdr:row>
      <xdr:rowOff>39688</xdr:rowOff>
    </xdr:from>
    <xdr:to>
      <xdr:col>87</xdr:col>
      <xdr:colOff>460375</xdr:colOff>
      <xdr:row>30</xdr:row>
      <xdr:rowOff>293688</xdr:rowOff>
    </xdr:to>
    <xdr:pic>
      <xdr:nvPicPr>
        <xdr:cNvPr id="54085" name="Picture 54084">
          <a:extLst>
            <a:ext uri="{FF2B5EF4-FFF2-40B4-BE49-F238E27FC236}">
              <a16:creationId xmlns:a16="http://schemas.microsoft.com/office/drawing/2014/main" id="{00000000-0008-0000-0A00-000045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30</xdr:row>
      <xdr:rowOff>39688</xdr:rowOff>
    </xdr:from>
    <xdr:to>
      <xdr:col>111</xdr:col>
      <xdr:colOff>460375</xdr:colOff>
      <xdr:row>30</xdr:row>
      <xdr:rowOff>293688</xdr:rowOff>
    </xdr:to>
    <xdr:pic>
      <xdr:nvPicPr>
        <xdr:cNvPr id="54088" name="Picture 54087">
          <a:extLst>
            <a:ext uri="{FF2B5EF4-FFF2-40B4-BE49-F238E27FC236}">
              <a16:creationId xmlns:a16="http://schemas.microsoft.com/office/drawing/2014/main" id="{00000000-0008-0000-0A00-000048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30</xdr:row>
      <xdr:rowOff>39688</xdr:rowOff>
    </xdr:from>
    <xdr:to>
      <xdr:col>183</xdr:col>
      <xdr:colOff>460375</xdr:colOff>
      <xdr:row>30</xdr:row>
      <xdr:rowOff>293688</xdr:rowOff>
    </xdr:to>
    <xdr:pic>
      <xdr:nvPicPr>
        <xdr:cNvPr id="54091" name="Picture 54090">
          <a:extLst>
            <a:ext uri="{FF2B5EF4-FFF2-40B4-BE49-F238E27FC236}">
              <a16:creationId xmlns:a16="http://schemas.microsoft.com/office/drawing/2014/main" id="{00000000-0008-0000-0A00-00004B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31</xdr:row>
      <xdr:rowOff>39688</xdr:rowOff>
    </xdr:from>
    <xdr:to>
      <xdr:col>147</xdr:col>
      <xdr:colOff>460375</xdr:colOff>
      <xdr:row>31</xdr:row>
      <xdr:rowOff>293688</xdr:rowOff>
    </xdr:to>
    <xdr:pic>
      <xdr:nvPicPr>
        <xdr:cNvPr id="54094" name="Picture 54093">
          <a:extLst>
            <a:ext uri="{FF2B5EF4-FFF2-40B4-BE49-F238E27FC236}">
              <a16:creationId xmlns:a16="http://schemas.microsoft.com/office/drawing/2014/main" id="{00000000-0008-0000-0A00-00004E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30</xdr:row>
      <xdr:rowOff>39688</xdr:rowOff>
    </xdr:from>
    <xdr:to>
      <xdr:col>231</xdr:col>
      <xdr:colOff>460375</xdr:colOff>
      <xdr:row>30</xdr:row>
      <xdr:rowOff>293688</xdr:rowOff>
    </xdr:to>
    <xdr:pic>
      <xdr:nvPicPr>
        <xdr:cNvPr id="54097" name="Picture 54096">
          <a:extLst>
            <a:ext uri="{FF2B5EF4-FFF2-40B4-BE49-F238E27FC236}">
              <a16:creationId xmlns:a16="http://schemas.microsoft.com/office/drawing/2014/main" id="{00000000-0008-0000-0A00-000051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30</xdr:row>
      <xdr:rowOff>39688</xdr:rowOff>
    </xdr:from>
    <xdr:to>
      <xdr:col>27</xdr:col>
      <xdr:colOff>460375</xdr:colOff>
      <xdr:row>30</xdr:row>
      <xdr:rowOff>293688</xdr:rowOff>
    </xdr:to>
    <xdr:pic>
      <xdr:nvPicPr>
        <xdr:cNvPr id="54100" name="Picture 54099">
          <a:extLst>
            <a:ext uri="{FF2B5EF4-FFF2-40B4-BE49-F238E27FC236}">
              <a16:creationId xmlns:a16="http://schemas.microsoft.com/office/drawing/2014/main" id="{00000000-0008-0000-0A00-000054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30</xdr:row>
      <xdr:rowOff>39688</xdr:rowOff>
    </xdr:from>
    <xdr:to>
      <xdr:col>171</xdr:col>
      <xdr:colOff>460375</xdr:colOff>
      <xdr:row>30</xdr:row>
      <xdr:rowOff>293688</xdr:rowOff>
    </xdr:to>
    <xdr:pic>
      <xdr:nvPicPr>
        <xdr:cNvPr id="54103" name="Picture 54102">
          <a:extLst>
            <a:ext uri="{FF2B5EF4-FFF2-40B4-BE49-F238E27FC236}">
              <a16:creationId xmlns:a16="http://schemas.microsoft.com/office/drawing/2014/main" id="{00000000-0008-0000-0A00-000057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29</xdr:row>
      <xdr:rowOff>39688</xdr:rowOff>
    </xdr:from>
    <xdr:to>
      <xdr:col>135</xdr:col>
      <xdr:colOff>460375</xdr:colOff>
      <xdr:row>29</xdr:row>
      <xdr:rowOff>293688</xdr:rowOff>
    </xdr:to>
    <xdr:pic>
      <xdr:nvPicPr>
        <xdr:cNvPr id="54106" name="Picture 54105">
          <a:extLst>
            <a:ext uri="{FF2B5EF4-FFF2-40B4-BE49-F238E27FC236}">
              <a16:creationId xmlns:a16="http://schemas.microsoft.com/office/drawing/2014/main" id="{00000000-0008-0000-0A00-00005A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996473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31</xdr:row>
      <xdr:rowOff>39688</xdr:rowOff>
    </xdr:from>
    <xdr:to>
      <xdr:col>159</xdr:col>
      <xdr:colOff>460375</xdr:colOff>
      <xdr:row>31</xdr:row>
      <xdr:rowOff>293688</xdr:rowOff>
    </xdr:to>
    <xdr:pic>
      <xdr:nvPicPr>
        <xdr:cNvPr id="54109" name="Picture 54108">
          <a:extLst>
            <a:ext uri="{FF2B5EF4-FFF2-40B4-BE49-F238E27FC236}">
              <a16:creationId xmlns:a16="http://schemas.microsoft.com/office/drawing/2014/main" id="{00000000-0008-0000-0A00-00005D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30</xdr:row>
      <xdr:rowOff>39688</xdr:rowOff>
    </xdr:from>
    <xdr:to>
      <xdr:col>123</xdr:col>
      <xdr:colOff>460375</xdr:colOff>
      <xdr:row>30</xdr:row>
      <xdr:rowOff>293688</xdr:rowOff>
    </xdr:to>
    <xdr:pic>
      <xdr:nvPicPr>
        <xdr:cNvPr id="54112" name="Picture 54111">
          <a:extLst>
            <a:ext uri="{FF2B5EF4-FFF2-40B4-BE49-F238E27FC236}">
              <a16:creationId xmlns:a16="http://schemas.microsoft.com/office/drawing/2014/main" id="{00000000-0008-0000-0A00-000060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31</xdr:row>
      <xdr:rowOff>39688</xdr:rowOff>
    </xdr:from>
    <xdr:to>
      <xdr:col>207</xdr:col>
      <xdr:colOff>460375</xdr:colOff>
      <xdr:row>31</xdr:row>
      <xdr:rowOff>293688</xdr:rowOff>
    </xdr:to>
    <xdr:pic>
      <xdr:nvPicPr>
        <xdr:cNvPr id="54115" name="Picture 54114">
          <a:extLst>
            <a:ext uri="{FF2B5EF4-FFF2-40B4-BE49-F238E27FC236}">
              <a16:creationId xmlns:a16="http://schemas.microsoft.com/office/drawing/2014/main" id="{00000000-0008-0000-0A00-000063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30</xdr:row>
      <xdr:rowOff>39688</xdr:rowOff>
    </xdr:from>
    <xdr:to>
      <xdr:col>219</xdr:col>
      <xdr:colOff>460375</xdr:colOff>
      <xdr:row>30</xdr:row>
      <xdr:rowOff>293688</xdr:rowOff>
    </xdr:to>
    <xdr:pic>
      <xdr:nvPicPr>
        <xdr:cNvPr id="54118" name="Picture 54117">
          <a:extLst>
            <a:ext uri="{FF2B5EF4-FFF2-40B4-BE49-F238E27FC236}">
              <a16:creationId xmlns:a16="http://schemas.microsoft.com/office/drawing/2014/main" id="{00000000-0008-0000-0A00-000066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32</xdr:row>
      <xdr:rowOff>39688</xdr:rowOff>
    </xdr:from>
    <xdr:to>
      <xdr:col>99</xdr:col>
      <xdr:colOff>460375</xdr:colOff>
      <xdr:row>32</xdr:row>
      <xdr:rowOff>293688</xdr:rowOff>
    </xdr:to>
    <xdr:pic>
      <xdr:nvPicPr>
        <xdr:cNvPr id="54121" name="Picture 54120">
          <a:extLst>
            <a:ext uri="{FF2B5EF4-FFF2-40B4-BE49-F238E27FC236}">
              <a16:creationId xmlns:a16="http://schemas.microsoft.com/office/drawing/2014/main" id="{00000000-0008-0000-0A00-000069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096486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31</xdr:row>
      <xdr:rowOff>39688</xdr:rowOff>
    </xdr:from>
    <xdr:to>
      <xdr:col>231</xdr:col>
      <xdr:colOff>460375</xdr:colOff>
      <xdr:row>31</xdr:row>
      <xdr:rowOff>293688</xdr:rowOff>
    </xdr:to>
    <xdr:pic>
      <xdr:nvPicPr>
        <xdr:cNvPr id="54124" name="Picture 54123">
          <a:extLst>
            <a:ext uri="{FF2B5EF4-FFF2-40B4-BE49-F238E27FC236}">
              <a16:creationId xmlns:a16="http://schemas.microsoft.com/office/drawing/2014/main" id="{00000000-0008-0000-0A00-00006C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31</xdr:row>
      <xdr:rowOff>39688</xdr:rowOff>
    </xdr:from>
    <xdr:to>
      <xdr:col>87</xdr:col>
      <xdr:colOff>460375</xdr:colOff>
      <xdr:row>31</xdr:row>
      <xdr:rowOff>293688</xdr:rowOff>
    </xdr:to>
    <xdr:pic>
      <xdr:nvPicPr>
        <xdr:cNvPr id="54127" name="Picture 54126">
          <a:extLst>
            <a:ext uri="{FF2B5EF4-FFF2-40B4-BE49-F238E27FC236}">
              <a16:creationId xmlns:a16="http://schemas.microsoft.com/office/drawing/2014/main" id="{00000000-0008-0000-0A00-00006F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31</xdr:row>
      <xdr:rowOff>39688</xdr:rowOff>
    </xdr:from>
    <xdr:to>
      <xdr:col>15</xdr:col>
      <xdr:colOff>460375</xdr:colOff>
      <xdr:row>31</xdr:row>
      <xdr:rowOff>293688</xdr:rowOff>
    </xdr:to>
    <xdr:pic>
      <xdr:nvPicPr>
        <xdr:cNvPr id="54130" name="Picture 54129">
          <a:extLst>
            <a:ext uri="{FF2B5EF4-FFF2-40B4-BE49-F238E27FC236}">
              <a16:creationId xmlns:a16="http://schemas.microsoft.com/office/drawing/2014/main" id="{00000000-0008-0000-0A00-000072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31</xdr:row>
      <xdr:rowOff>39688</xdr:rowOff>
    </xdr:from>
    <xdr:to>
      <xdr:col>111</xdr:col>
      <xdr:colOff>460375</xdr:colOff>
      <xdr:row>31</xdr:row>
      <xdr:rowOff>293688</xdr:rowOff>
    </xdr:to>
    <xdr:pic>
      <xdr:nvPicPr>
        <xdr:cNvPr id="54133" name="Picture 54132">
          <a:extLst>
            <a:ext uri="{FF2B5EF4-FFF2-40B4-BE49-F238E27FC236}">
              <a16:creationId xmlns:a16="http://schemas.microsoft.com/office/drawing/2014/main" id="{00000000-0008-0000-0A00-000075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31</xdr:row>
      <xdr:rowOff>39688</xdr:rowOff>
    </xdr:from>
    <xdr:to>
      <xdr:col>195</xdr:col>
      <xdr:colOff>460375</xdr:colOff>
      <xdr:row>31</xdr:row>
      <xdr:rowOff>293688</xdr:rowOff>
    </xdr:to>
    <xdr:pic>
      <xdr:nvPicPr>
        <xdr:cNvPr id="54136" name="Picture 54135">
          <a:extLst>
            <a:ext uri="{FF2B5EF4-FFF2-40B4-BE49-F238E27FC236}">
              <a16:creationId xmlns:a16="http://schemas.microsoft.com/office/drawing/2014/main" id="{00000000-0008-0000-0A00-000078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31</xdr:row>
      <xdr:rowOff>39688</xdr:rowOff>
    </xdr:from>
    <xdr:to>
      <xdr:col>123</xdr:col>
      <xdr:colOff>460375</xdr:colOff>
      <xdr:row>31</xdr:row>
      <xdr:rowOff>293688</xdr:rowOff>
    </xdr:to>
    <xdr:pic>
      <xdr:nvPicPr>
        <xdr:cNvPr id="54139" name="Picture 54138">
          <a:extLst>
            <a:ext uri="{FF2B5EF4-FFF2-40B4-BE49-F238E27FC236}">
              <a16:creationId xmlns:a16="http://schemas.microsoft.com/office/drawing/2014/main" id="{00000000-0008-0000-0A00-00007B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31</xdr:row>
      <xdr:rowOff>39688</xdr:rowOff>
    </xdr:from>
    <xdr:to>
      <xdr:col>3</xdr:col>
      <xdr:colOff>460375</xdr:colOff>
      <xdr:row>31</xdr:row>
      <xdr:rowOff>293688</xdr:rowOff>
    </xdr:to>
    <xdr:pic>
      <xdr:nvPicPr>
        <xdr:cNvPr id="54142" name="Picture 54141">
          <a:extLst>
            <a:ext uri="{FF2B5EF4-FFF2-40B4-BE49-F238E27FC236}">
              <a16:creationId xmlns:a16="http://schemas.microsoft.com/office/drawing/2014/main" id="{00000000-0008-0000-0A00-00007E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31</xdr:row>
      <xdr:rowOff>39688</xdr:rowOff>
    </xdr:from>
    <xdr:to>
      <xdr:col>219</xdr:col>
      <xdr:colOff>460375</xdr:colOff>
      <xdr:row>31</xdr:row>
      <xdr:rowOff>293688</xdr:rowOff>
    </xdr:to>
    <xdr:pic>
      <xdr:nvPicPr>
        <xdr:cNvPr id="54145" name="Picture 54144">
          <a:extLst>
            <a:ext uri="{FF2B5EF4-FFF2-40B4-BE49-F238E27FC236}">
              <a16:creationId xmlns:a16="http://schemas.microsoft.com/office/drawing/2014/main" id="{00000000-0008-0000-0A00-000081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31</xdr:row>
      <xdr:rowOff>39688</xdr:rowOff>
    </xdr:from>
    <xdr:to>
      <xdr:col>183</xdr:col>
      <xdr:colOff>460375</xdr:colOff>
      <xdr:row>31</xdr:row>
      <xdr:rowOff>293688</xdr:rowOff>
    </xdr:to>
    <xdr:pic>
      <xdr:nvPicPr>
        <xdr:cNvPr id="54148" name="Picture 54147">
          <a:extLst>
            <a:ext uri="{FF2B5EF4-FFF2-40B4-BE49-F238E27FC236}">
              <a16:creationId xmlns:a16="http://schemas.microsoft.com/office/drawing/2014/main" id="{00000000-0008-0000-0A00-000084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31</xdr:row>
      <xdr:rowOff>39688</xdr:rowOff>
    </xdr:from>
    <xdr:to>
      <xdr:col>27</xdr:col>
      <xdr:colOff>460375</xdr:colOff>
      <xdr:row>31</xdr:row>
      <xdr:rowOff>293688</xdr:rowOff>
    </xdr:to>
    <xdr:pic>
      <xdr:nvPicPr>
        <xdr:cNvPr id="54151" name="Picture 54150">
          <a:extLst>
            <a:ext uri="{FF2B5EF4-FFF2-40B4-BE49-F238E27FC236}">
              <a16:creationId xmlns:a16="http://schemas.microsoft.com/office/drawing/2014/main" id="{00000000-0008-0000-0A00-000087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32</xdr:row>
      <xdr:rowOff>39688</xdr:rowOff>
    </xdr:from>
    <xdr:to>
      <xdr:col>147</xdr:col>
      <xdr:colOff>460375</xdr:colOff>
      <xdr:row>32</xdr:row>
      <xdr:rowOff>293688</xdr:rowOff>
    </xdr:to>
    <xdr:pic>
      <xdr:nvPicPr>
        <xdr:cNvPr id="54154" name="Picture 54153">
          <a:extLst>
            <a:ext uri="{FF2B5EF4-FFF2-40B4-BE49-F238E27FC236}">
              <a16:creationId xmlns:a16="http://schemas.microsoft.com/office/drawing/2014/main" id="{00000000-0008-0000-0A00-00008A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096486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31</xdr:row>
      <xdr:rowOff>39688</xdr:rowOff>
    </xdr:from>
    <xdr:to>
      <xdr:col>75</xdr:col>
      <xdr:colOff>460375</xdr:colOff>
      <xdr:row>31</xdr:row>
      <xdr:rowOff>293688</xdr:rowOff>
    </xdr:to>
    <xdr:pic>
      <xdr:nvPicPr>
        <xdr:cNvPr id="54157" name="Picture 54156">
          <a:extLst>
            <a:ext uri="{FF2B5EF4-FFF2-40B4-BE49-F238E27FC236}">
              <a16:creationId xmlns:a16="http://schemas.microsoft.com/office/drawing/2014/main" id="{00000000-0008-0000-0A00-00008D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30</xdr:row>
      <xdr:rowOff>39688</xdr:rowOff>
    </xdr:from>
    <xdr:to>
      <xdr:col>135</xdr:col>
      <xdr:colOff>460375</xdr:colOff>
      <xdr:row>30</xdr:row>
      <xdr:rowOff>293688</xdr:rowOff>
    </xdr:to>
    <xdr:pic>
      <xdr:nvPicPr>
        <xdr:cNvPr id="54160" name="Picture 54159">
          <a:extLst>
            <a:ext uri="{FF2B5EF4-FFF2-40B4-BE49-F238E27FC236}">
              <a16:creationId xmlns:a16="http://schemas.microsoft.com/office/drawing/2014/main" id="{00000000-0008-0000-0A00-000090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029811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32</xdr:row>
      <xdr:rowOff>39688</xdr:rowOff>
    </xdr:from>
    <xdr:to>
      <xdr:col>207</xdr:col>
      <xdr:colOff>460375</xdr:colOff>
      <xdr:row>32</xdr:row>
      <xdr:rowOff>293688</xdr:rowOff>
    </xdr:to>
    <xdr:pic>
      <xdr:nvPicPr>
        <xdr:cNvPr id="54163" name="Picture 54162">
          <a:extLst>
            <a:ext uri="{FF2B5EF4-FFF2-40B4-BE49-F238E27FC236}">
              <a16:creationId xmlns:a16="http://schemas.microsoft.com/office/drawing/2014/main" id="{00000000-0008-0000-0A00-000093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096486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31</xdr:row>
      <xdr:rowOff>39688</xdr:rowOff>
    </xdr:from>
    <xdr:to>
      <xdr:col>63</xdr:col>
      <xdr:colOff>460375</xdr:colOff>
      <xdr:row>31</xdr:row>
      <xdr:rowOff>293688</xdr:rowOff>
    </xdr:to>
    <xdr:pic>
      <xdr:nvPicPr>
        <xdr:cNvPr id="54166" name="Picture 54165">
          <a:extLst>
            <a:ext uri="{FF2B5EF4-FFF2-40B4-BE49-F238E27FC236}">
              <a16:creationId xmlns:a16="http://schemas.microsoft.com/office/drawing/2014/main" id="{00000000-0008-0000-0A00-000096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33</xdr:row>
      <xdr:rowOff>39688</xdr:rowOff>
    </xdr:from>
    <xdr:to>
      <xdr:col>3</xdr:col>
      <xdr:colOff>460375</xdr:colOff>
      <xdr:row>33</xdr:row>
      <xdr:rowOff>293688</xdr:rowOff>
    </xdr:to>
    <xdr:pic>
      <xdr:nvPicPr>
        <xdr:cNvPr id="54169" name="Picture 54168">
          <a:extLst>
            <a:ext uri="{FF2B5EF4-FFF2-40B4-BE49-F238E27FC236}">
              <a16:creationId xmlns:a16="http://schemas.microsoft.com/office/drawing/2014/main" id="{00000000-0008-0000-0A00-000099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33</xdr:row>
      <xdr:rowOff>39688</xdr:rowOff>
    </xdr:from>
    <xdr:to>
      <xdr:col>87</xdr:col>
      <xdr:colOff>460375</xdr:colOff>
      <xdr:row>33</xdr:row>
      <xdr:rowOff>293688</xdr:rowOff>
    </xdr:to>
    <xdr:pic>
      <xdr:nvPicPr>
        <xdr:cNvPr id="54172" name="Picture 54171">
          <a:extLst>
            <a:ext uri="{FF2B5EF4-FFF2-40B4-BE49-F238E27FC236}">
              <a16:creationId xmlns:a16="http://schemas.microsoft.com/office/drawing/2014/main" id="{00000000-0008-0000-0A00-00009C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32</xdr:row>
      <xdr:rowOff>39688</xdr:rowOff>
    </xdr:from>
    <xdr:to>
      <xdr:col>135</xdr:col>
      <xdr:colOff>460375</xdr:colOff>
      <xdr:row>32</xdr:row>
      <xdr:rowOff>293688</xdr:rowOff>
    </xdr:to>
    <xdr:pic>
      <xdr:nvPicPr>
        <xdr:cNvPr id="54175" name="Picture 54174">
          <a:extLst>
            <a:ext uri="{FF2B5EF4-FFF2-40B4-BE49-F238E27FC236}">
              <a16:creationId xmlns:a16="http://schemas.microsoft.com/office/drawing/2014/main" id="{00000000-0008-0000-0A00-00009F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096486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33</xdr:row>
      <xdr:rowOff>39688</xdr:rowOff>
    </xdr:from>
    <xdr:to>
      <xdr:col>231</xdr:col>
      <xdr:colOff>460375</xdr:colOff>
      <xdr:row>33</xdr:row>
      <xdr:rowOff>293688</xdr:rowOff>
    </xdr:to>
    <xdr:pic>
      <xdr:nvPicPr>
        <xdr:cNvPr id="54178" name="Picture 54177">
          <a:extLst>
            <a:ext uri="{FF2B5EF4-FFF2-40B4-BE49-F238E27FC236}">
              <a16:creationId xmlns:a16="http://schemas.microsoft.com/office/drawing/2014/main" id="{00000000-0008-0000-0A00-0000A2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34</xdr:row>
      <xdr:rowOff>39688</xdr:rowOff>
    </xdr:from>
    <xdr:to>
      <xdr:col>147</xdr:col>
      <xdr:colOff>460375</xdr:colOff>
      <xdr:row>34</xdr:row>
      <xdr:rowOff>293688</xdr:rowOff>
    </xdr:to>
    <xdr:pic>
      <xdr:nvPicPr>
        <xdr:cNvPr id="54181" name="Picture 54180">
          <a:extLst>
            <a:ext uri="{FF2B5EF4-FFF2-40B4-BE49-F238E27FC236}">
              <a16:creationId xmlns:a16="http://schemas.microsoft.com/office/drawing/2014/main" id="{00000000-0008-0000-0A00-0000A5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32</xdr:row>
      <xdr:rowOff>39688</xdr:rowOff>
    </xdr:from>
    <xdr:to>
      <xdr:col>171</xdr:col>
      <xdr:colOff>460375</xdr:colOff>
      <xdr:row>32</xdr:row>
      <xdr:rowOff>293688</xdr:rowOff>
    </xdr:to>
    <xdr:pic>
      <xdr:nvPicPr>
        <xdr:cNvPr id="54184" name="Picture 54183">
          <a:extLst>
            <a:ext uri="{FF2B5EF4-FFF2-40B4-BE49-F238E27FC236}">
              <a16:creationId xmlns:a16="http://schemas.microsoft.com/office/drawing/2014/main" id="{00000000-0008-0000-0A00-0000A8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0964863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34</xdr:row>
      <xdr:rowOff>39688</xdr:rowOff>
    </xdr:from>
    <xdr:to>
      <xdr:col>3</xdr:col>
      <xdr:colOff>460375</xdr:colOff>
      <xdr:row>34</xdr:row>
      <xdr:rowOff>293688</xdr:rowOff>
    </xdr:to>
    <xdr:pic>
      <xdr:nvPicPr>
        <xdr:cNvPr id="54187" name="Picture 54186">
          <a:extLst>
            <a:ext uri="{FF2B5EF4-FFF2-40B4-BE49-F238E27FC236}">
              <a16:creationId xmlns:a16="http://schemas.microsoft.com/office/drawing/2014/main" id="{00000000-0008-0000-0A00-0000AB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33</xdr:row>
      <xdr:rowOff>39688</xdr:rowOff>
    </xdr:from>
    <xdr:to>
      <xdr:col>27</xdr:col>
      <xdr:colOff>460375</xdr:colOff>
      <xdr:row>33</xdr:row>
      <xdr:rowOff>293688</xdr:rowOff>
    </xdr:to>
    <xdr:pic>
      <xdr:nvPicPr>
        <xdr:cNvPr id="54190" name="Picture 54189">
          <a:extLst>
            <a:ext uri="{FF2B5EF4-FFF2-40B4-BE49-F238E27FC236}">
              <a16:creationId xmlns:a16="http://schemas.microsoft.com/office/drawing/2014/main" id="{00000000-0008-0000-0A00-0000AE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33</xdr:row>
      <xdr:rowOff>39688</xdr:rowOff>
    </xdr:from>
    <xdr:to>
      <xdr:col>15</xdr:col>
      <xdr:colOff>460375</xdr:colOff>
      <xdr:row>33</xdr:row>
      <xdr:rowOff>293688</xdr:rowOff>
    </xdr:to>
    <xdr:pic>
      <xdr:nvPicPr>
        <xdr:cNvPr id="54193" name="Picture 54192">
          <a:extLst>
            <a:ext uri="{FF2B5EF4-FFF2-40B4-BE49-F238E27FC236}">
              <a16:creationId xmlns:a16="http://schemas.microsoft.com/office/drawing/2014/main" id="{00000000-0008-0000-0A00-0000B1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33</xdr:row>
      <xdr:rowOff>39688</xdr:rowOff>
    </xdr:from>
    <xdr:to>
      <xdr:col>75</xdr:col>
      <xdr:colOff>460375</xdr:colOff>
      <xdr:row>33</xdr:row>
      <xdr:rowOff>293688</xdr:rowOff>
    </xdr:to>
    <xdr:pic>
      <xdr:nvPicPr>
        <xdr:cNvPr id="54196" name="Picture 54195">
          <a:extLst>
            <a:ext uri="{FF2B5EF4-FFF2-40B4-BE49-F238E27FC236}">
              <a16:creationId xmlns:a16="http://schemas.microsoft.com/office/drawing/2014/main" id="{00000000-0008-0000-0A00-0000B4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31</xdr:row>
      <xdr:rowOff>39688</xdr:rowOff>
    </xdr:from>
    <xdr:to>
      <xdr:col>51</xdr:col>
      <xdr:colOff>460375</xdr:colOff>
      <xdr:row>31</xdr:row>
      <xdr:rowOff>293688</xdr:rowOff>
    </xdr:to>
    <xdr:pic>
      <xdr:nvPicPr>
        <xdr:cNvPr id="54199" name="Picture 54198">
          <a:extLst>
            <a:ext uri="{FF2B5EF4-FFF2-40B4-BE49-F238E27FC236}">
              <a16:creationId xmlns:a16="http://schemas.microsoft.com/office/drawing/2014/main" id="{00000000-0008-0000-0A00-0000B7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063148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33</xdr:row>
      <xdr:rowOff>39688</xdr:rowOff>
    </xdr:from>
    <xdr:to>
      <xdr:col>219</xdr:col>
      <xdr:colOff>460375</xdr:colOff>
      <xdr:row>33</xdr:row>
      <xdr:rowOff>293688</xdr:rowOff>
    </xdr:to>
    <xdr:pic>
      <xdr:nvPicPr>
        <xdr:cNvPr id="54202" name="Picture 54201">
          <a:extLst>
            <a:ext uri="{FF2B5EF4-FFF2-40B4-BE49-F238E27FC236}">
              <a16:creationId xmlns:a16="http://schemas.microsoft.com/office/drawing/2014/main" id="{00000000-0008-0000-0A00-0000BA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33</xdr:row>
      <xdr:rowOff>39688</xdr:rowOff>
    </xdr:from>
    <xdr:to>
      <xdr:col>63</xdr:col>
      <xdr:colOff>460375</xdr:colOff>
      <xdr:row>33</xdr:row>
      <xdr:rowOff>293688</xdr:rowOff>
    </xdr:to>
    <xdr:pic>
      <xdr:nvPicPr>
        <xdr:cNvPr id="54205" name="Picture 54204">
          <a:extLst>
            <a:ext uri="{FF2B5EF4-FFF2-40B4-BE49-F238E27FC236}">
              <a16:creationId xmlns:a16="http://schemas.microsoft.com/office/drawing/2014/main" id="{00000000-0008-0000-0A00-0000BD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33</xdr:row>
      <xdr:rowOff>39688</xdr:rowOff>
    </xdr:from>
    <xdr:to>
      <xdr:col>111</xdr:col>
      <xdr:colOff>460375</xdr:colOff>
      <xdr:row>33</xdr:row>
      <xdr:rowOff>293688</xdr:rowOff>
    </xdr:to>
    <xdr:pic>
      <xdr:nvPicPr>
        <xdr:cNvPr id="54208" name="Picture 54207">
          <a:extLst>
            <a:ext uri="{FF2B5EF4-FFF2-40B4-BE49-F238E27FC236}">
              <a16:creationId xmlns:a16="http://schemas.microsoft.com/office/drawing/2014/main" id="{00000000-0008-0000-0A00-0000C0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34</xdr:row>
      <xdr:rowOff>39688</xdr:rowOff>
    </xdr:from>
    <xdr:to>
      <xdr:col>231</xdr:col>
      <xdr:colOff>460375</xdr:colOff>
      <xdr:row>34</xdr:row>
      <xdr:rowOff>293688</xdr:rowOff>
    </xdr:to>
    <xdr:pic>
      <xdr:nvPicPr>
        <xdr:cNvPr id="54211" name="Picture 54210">
          <a:extLst>
            <a:ext uri="{FF2B5EF4-FFF2-40B4-BE49-F238E27FC236}">
              <a16:creationId xmlns:a16="http://schemas.microsoft.com/office/drawing/2014/main" id="{00000000-0008-0000-0A00-0000C3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34</xdr:row>
      <xdr:rowOff>39688</xdr:rowOff>
    </xdr:from>
    <xdr:to>
      <xdr:col>207</xdr:col>
      <xdr:colOff>460375</xdr:colOff>
      <xdr:row>34</xdr:row>
      <xdr:rowOff>293688</xdr:rowOff>
    </xdr:to>
    <xdr:pic>
      <xdr:nvPicPr>
        <xdr:cNvPr id="54214" name="Picture 54213">
          <a:extLst>
            <a:ext uri="{FF2B5EF4-FFF2-40B4-BE49-F238E27FC236}">
              <a16:creationId xmlns:a16="http://schemas.microsoft.com/office/drawing/2014/main" id="{00000000-0008-0000-0A00-0000C6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33</xdr:row>
      <xdr:rowOff>39688</xdr:rowOff>
    </xdr:from>
    <xdr:to>
      <xdr:col>195</xdr:col>
      <xdr:colOff>460375</xdr:colOff>
      <xdr:row>33</xdr:row>
      <xdr:rowOff>293688</xdr:rowOff>
    </xdr:to>
    <xdr:pic>
      <xdr:nvPicPr>
        <xdr:cNvPr id="54217" name="Picture 54216">
          <a:extLst>
            <a:ext uri="{FF2B5EF4-FFF2-40B4-BE49-F238E27FC236}">
              <a16:creationId xmlns:a16="http://schemas.microsoft.com/office/drawing/2014/main" id="{00000000-0008-0000-0A00-0000C9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33</xdr:row>
      <xdr:rowOff>39688</xdr:rowOff>
    </xdr:from>
    <xdr:to>
      <xdr:col>123</xdr:col>
      <xdr:colOff>460375</xdr:colOff>
      <xdr:row>33</xdr:row>
      <xdr:rowOff>293688</xdr:rowOff>
    </xdr:to>
    <xdr:pic>
      <xdr:nvPicPr>
        <xdr:cNvPr id="54220" name="Picture 54219">
          <a:extLst>
            <a:ext uri="{FF2B5EF4-FFF2-40B4-BE49-F238E27FC236}">
              <a16:creationId xmlns:a16="http://schemas.microsoft.com/office/drawing/2014/main" id="{00000000-0008-0000-0A00-0000CC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33</xdr:row>
      <xdr:rowOff>39688</xdr:rowOff>
    </xdr:from>
    <xdr:to>
      <xdr:col>183</xdr:col>
      <xdr:colOff>460375</xdr:colOff>
      <xdr:row>33</xdr:row>
      <xdr:rowOff>293688</xdr:rowOff>
    </xdr:to>
    <xdr:pic>
      <xdr:nvPicPr>
        <xdr:cNvPr id="54222" name="Picture 54221">
          <a:extLst>
            <a:ext uri="{FF2B5EF4-FFF2-40B4-BE49-F238E27FC236}">
              <a16:creationId xmlns:a16="http://schemas.microsoft.com/office/drawing/2014/main" id="{00000000-0008-0000-0A00-0000CE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34</xdr:row>
      <xdr:rowOff>39688</xdr:rowOff>
    </xdr:from>
    <xdr:to>
      <xdr:col>87</xdr:col>
      <xdr:colOff>460375</xdr:colOff>
      <xdr:row>34</xdr:row>
      <xdr:rowOff>293688</xdr:rowOff>
    </xdr:to>
    <xdr:pic>
      <xdr:nvPicPr>
        <xdr:cNvPr id="54224" name="Picture 54223">
          <a:extLst>
            <a:ext uri="{FF2B5EF4-FFF2-40B4-BE49-F238E27FC236}">
              <a16:creationId xmlns:a16="http://schemas.microsoft.com/office/drawing/2014/main" id="{00000000-0008-0000-0A00-0000D0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33</xdr:row>
      <xdr:rowOff>39688</xdr:rowOff>
    </xdr:from>
    <xdr:to>
      <xdr:col>135</xdr:col>
      <xdr:colOff>460375</xdr:colOff>
      <xdr:row>33</xdr:row>
      <xdr:rowOff>293688</xdr:rowOff>
    </xdr:to>
    <xdr:pic>
      <xdr:nvPicPr>
        <xdr:cNvPr id="54226" name="Picture 54225">
          <a:extLst>
            <a:ext uri="{FF2B5EF4-FFF2-40B4-BE49-F238E27FC236}">
              <a16:creationId xmlns:a16="http://schemas.microsoft.com/office/drawing/2014/main" id="{00000000-0008-0000-0A00-0000D2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33</xdr:row>
      <xdr:rowOff>39688</xdr:rowOff>
    </xdr:from>
    <xdr:to>
      <xdr:col>159</xdr:col>
      <xdr:colOff>460375</xdr:colOff>
      <xdr:row>33</xdr:row>
      <xdr:rowOff>293688</xdr:rowOff>
    </xdr:to>
    <xdr:pic>
      <xdr:nvPicPr>
        <xdr:cNvPr id="54228" name="Picture 54227">
          <a:extLst>
            <a:ext uri="{FF2B5EF4-FFF2-40B4-BE49-F238E27FC236}">
              <a16:creationId xmlns:a16="http://schemas.microsoft.com/office/drawing/2014/main" id="{00000000-0008-0000-0A00-0000D4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32</xdr:row>
      <xdr:rowOff>39688</xdr:rowOff>
    </xdr:from>
    <xdr:to>
      <xdr:col>39</xdr:col>
      <xdr:colOff>460375</xdr:colOff>
      <xdr:row>32</xdr:row>
      <xdr:rowOff>293688</xdr:rowOff>
    </xdr:to>
    <xdr:pic>
      <xdr:nvPicPr>
        <xdr:cNvPr id="54230" name="Picture 54229">
          <a:extLst>
            <a:ext uri="{FF2B5EF4-FFF2-40B4-BE49-F238E27FC236}">
              <a16:creationId xmlns:a16="http://schemas.microsoft.com/office/drawing/2014/main" id="{00000000-0008-0000-0A00-0000D6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096486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34</xdr:row>
      <xdr:rowOff>39688</xdr:rowOff>
    </xdr:from>
    <xdr:to>
      <xdr:col>99</xdr:col>
      <xdr:colOff>460375</xdr:colOff>
      <xdr:row>34</xdr:row>
      <xdr:rowOff>293688</xdr:rowOff>
    </xdr:to>
    <xdr:pic>
      <xdr:nvPicPr>
        <xdr:cNvPr id="54232" name="Picture 54231">
          <a:extLst>
            <a:ext uri="{FF2B5EF4-FFF2-40B4-BE49-F238E27FC236}">
              <a16:creationId xmlns:a16="http://schemas.microsoft.com/office/drawing/2014/main" id="{00000000-0008-0000-0A00-0000D8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34</xdr:row>
      <xdr:rowOff>39688</xdr:rowOff>
    </xdr:from>
    <xdr:to>
      <xdr:col>27</xdr:col>
      <xdr:colOff>460375</xdr:colOff>
      <xdr:row>34</xdr:row>
      <xdr:rowOff>293688</xdr:rowOff>
    </xdr:to>
    <xdr:pic>
      <xdr:nvPicPr>
        <xdr:cNvPr id="54234" name="Picture 54233">
          <a:extLst>
            <a:ext uri="{FF2B5EF4-FFF2-40B4-BE49-F238E27FC236}">
              <a16:creationId xmlns:a16="http://schemas.microsoft.com/office/drawing/2014/main" id="{00000000-0008-0000-0A00-0000DA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34</xdr:row>
      <xdr:rowOff>39688</xdr:rowOff>
    </xdr:from>
    <xdr:to>
      <xdr:col>135</xdr:col>
      <xdr:colOff>460375</xdr:colOff>
      <xdr:row>34</xdr:row>
      <xdr:rowOff>293688</xdr:rowOff>
    </xdr:to>
    <xdr:pic>
      <xdr:nvPicPr>
        <xdr:cNvPr id="54236" name="Picture 54235">
          <a:extLst>
            <a:ext uri="{FF2B5EF4-FFF2-40B4-BE49-F238E27FC236}">
              <a16:creationId xmlns:a16="http://schemas.microsoft.com/office/drawing/2014/main" id="{00000000-0008-0000-0A00-0000DC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35</xdr:row>
      <xdr:rowOff>39688</xdr:rowOff>
    </xdr:from>
    <xdr:to>
      <xdr:col>87</xdr:col>
      <xdr:colOff>460375</xdr:colOff>
      <xdr:row>35</xdr:row>
      <xdr:rowOff>293688</xdr:rowOff>
    </xdr:to>
    <xdr:pic>
      <xdr:nvPicPr>
        <xdr:cNvPr id="54238" name="Picture 54237">
          <a:extLst>
            <a:ext uri="{FF2B5EF4-FFF2-40B4-BE49-F238E27FC236}">
              <a16:creationId xmlns:a16="http://schemas.microsoft.com/office/drawing/2014/main" id="{00000000-0008-0000-0A00-0000DE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196498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33</xdr:row>
      <xdr:rowOff>39688</xdr:rowOff>
    </xdr:from>
    <xdr:to>
      <xdr:col>39</xdr:col>
      <xdr:colOff>460375</xdr:colOff>
      <xdr:row>33</xdr:row>
      <xdr:rowOff>293688</xdr:rowOff>
    </xdr:to>
    <xdr:pic>
      <xdr:nvPicPr>
        <xdr:cNvPr id="54240" name="Picture 54239">
          <a:extLst>
            <a:ext uri="{FF2B5EF4-FFF2-40B4-BE49-F238E27FC236}">
              <a16:creationId xmlns:a16="http://schemas.microsoft.com/office/drawing/2014/main" id="{00000000-0008-0000-0A00-0000E0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34</xdr:row>
      <xdr:rowOff>39688</xdr:rowOff>
    </xdr:from>
    <xdr:to>
      <xdr:col>111</xdr:col>
      <xdr:colOff>460375</xdr:colOff>
      <xdr:row>34</xdr:row>
      <xdr:rowOff>293688</xdr:rowOff>
    </xdr:to>
    <xdr:pic>
      <xdr:nvPicPr>
        <xdr:cNvPr id="54242" name="Picture 54241">
          <a:extLst>
            <a:ext uri="{FF2B5EF4-FFF2-40B4-BE49-F238E27FC236}">
              <a16:creationId xmlns:a16="http://schemas.microsoft.com/office/drawing/2014/main" id="{00000000-0008-0000-0A00-0000E2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32</xdr:row>
      <xdr:rowOff>39688</xdr:rowOff>
    </xdr:from>
    <xdr:to>
      <xdr:col>51</xdr:col>
      <xdr:colOff>460375</xdr:colOff>
      <xdr:row>32</xdr:row>
      <xdr:rowOff>293688</xdr:rowOff>
    </xdr:to>
    <xdr:pic>
      <xdr:nvPicPr>
        <xdr:cNvPr id="54244" name="Picture 54243">
          <a:extLst>
            <a:ext uri="{FF2B5EF4-FFF2-40B4-BE49-F238E27FC236}">
              <a16:creationId xmlns:a16="http://schemas.microsoft.com/office/drawing/2014/main" id="{00000000-0008-0000-0A00-0000E4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0964863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34</xdr:row>
      <xdr:rowOff>39688</xdr:rowOff>
    </xdr:from>
    <xdr:to>
      <xdr:col>123</xdr:col>
      <xdr:colOff>460375</xdr:colOff>
      <xdr:row>34</xdr:row>
      <xdr:rowOff>293688</xdr:rowOff>
    </xdr:to>
    <xdr:pic>
      <xdr:nvPicPr>
        <xdr:cNvPr id="54246" name="Picture 54245">
          <a:extLst>
            <a:ext uri="{FF2B5EF4-FFF2-40B4-BE49-F238E27FC236}">
              <a16:creationId xmlns:a16="http://schemas.microsoft.com/office/drawing/2014/main" id="{00000000-0008-0000-0A00-0000E6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34</xdr:row>
      <xdr:rowOff>39688</xdr:rowOff>
    </xdr:from>
    <xdr:to>
      <xdr:col>63</xdr:col>
      <xdr:colOff>460375</xdr:colOff>
      <xdr:row>34</xdr:row>
      <xdr:rowOff>293688</xdr:rowOff>
    </xdr:to>
    <xdr:pic>
      <xdr:nvPicPr>
        <xdr:cNvPr id="54248" name="Picture 54247">
          <a:extLst>
            <a:ext uri="{FF2B5EF4-FFF2-40B4-BE49-F238E27FC236}">
              <a16:creationId xmlns:a16="http://schemas.microsoft.com/office/drawing/2014/main" id="{00000000-0008-0000-0A00-0000E8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35</xdr:row>
      <xdr:rowOff>39688</xdr:rowOff>
    </xdr:from>
    <xdr:to>
      <xdr:col>207</xdr:col>
      <xdr:colOff>460375</xdr:colOff>
      <xdr:row>35</xdr:row>
      <xdr:rowOff>293688</xdr:rowOff>
    </xdr:to>
    <xdr:pic>
      <xdr:nvPicPr>
        <xdr:cNvPr id="54250" name="Picture 54249">
          <a:extLst>
            <a:ext uri="{FF2B5EF4-FFF2-40B4-BE49-F238E27FC236}">
              <a16:creationId xmlns:a16="http://schemas.microsoft.com/office/drawing/2014/main" id="{00000000-0008-0000-0A00-0000EA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196498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34</xdr:row>
      <xdr:rowOff>39688</xdr:rowOff>
    </xdr:from>
    <xdr:to>
      <xdr:col>183</xdr:col>
      <xdr:colOff>460375</xdr:colOff>
      <xdr:row>34</xdr:row>
      <xdr:rowOff>293688</xdr:rowOff>
    </xdr:to>
    <xdr:pic>
      <xdr:nvPicPr>
        <xdr:cNvPr id="54252" name="Picture 54251">
          <a:extLst>
            <a:ext uri="{FF2B5EF4-FFF2-40B4-BE49-F238E27FC236}">
              <a16:creationId xmlns:a16="http://schemas.microsoft.com/office/drawing/2014/main" id="{00000000-0008-0000-0A00-0000EC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34</xdr:row>
      <xdr:rowOff>39688</xdr:rowOff>
    </xdr:from>
    <xdr:to>
      <xdr:col>75</xdr:col>
      <xdr:colOff>460375</xdr:colOff>
      <xdr:row>34</xdr:row>
      <xdr:rowOff>293688</xdr:rowOff>
    </xdr:to>
    <xdr:pic>
      <xdr:nvPicPr>
        <xdr:cNvPr id="54254" name="Picture 54253">
          <a:extLst>
            <a:ext uri="{FF2B5EF4-FFF2-40B4-BE49-F238E27FC236}">
              <a16:creationId xmlns:a16="http://schemas.microsoft.com/office/drawing/2014/main" id="{00000000-0008-0000-0A00-0000EE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35</xdr:row>
      <xdr:rowOff>39688</xdr:rowOff>
    </xdr:from>
    <xdr:to>
      <xdr:col>147</xdr:col>
      <xdr:colOff>460375</xdr:colOff>
      <xdr:row>35</xdr:row>
      <xdr:rowOff>293688</xdr:rowOff>
    </xdr:to>
    <xdr:pic>
      <xdr:nvPicPr>
        <xdr:cNvPr id="54256" name="Picture 54255">
          <a:extLst>
            <a:ext uri="{FF2B5EF4-FFF2-40B4-BE49-F238E27FC236}">
              <a16:creationId xmlns:a16="http://schemas.microsoft.com/office/drawing/2014/main" id="{00000000-0008-0000-0A00-0000F0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1964988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35</xdr:row>
      <xdr:rowOff>39688</xdr:rowOff>
    </xdr:from>
    <xdr:to>
      <xdr:col>99</xdr:col>
      <xdr:colOff>460375</xdr:colOff>
      <xdr:row>35</xdr:row>
      <xdr:rowOff>293688</xdr:rowOff>
    </xdr:to>
    <xdr:pic>
      <xdr:nvPicPr>
        <xdr:cNvPr id="54258" name="Picture 54257">
          <a:extLst>
            <a:ext uri="{FF2B5EF4-FFF2-40B4-BE49-F238E27FC236}">
              <a16:creationId xmlns:a16="http://schemas.microsoft.com/office/drawing/2014/main" id="{00000000-0008-0000-0A00-0000F2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196498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35</xdr:row>
      <xdr:rowOff>39688</xdr:rowOff>
    </xdr:from>
    <xdr:to>
      <xdr:col>3</xdr:col>
      <xdr:colOff>460375</xdr:colOff>
      <xdr:row>35</xdr:row>
      <xdr:rowOff>293688</xdr:rowOff>
    </xdr:to>
    <xdr:pic>
      <xdr:nvPicPr>
        <xdr:cNvPr id="54260" name="Picture 54259">
          <a:extLst>
            <a:ext uri="{FF2B5EF4-FFF2-40B4-BE49-F238E27FC236}">
              <a16:creationId xmlns:a16="http://schemas.microsoft.com/office/drawing/2014/main" id="{00000000-0008-0000-0A00-0000F4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196498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34</xdr:row>
      <xdr:rowOff>39688</xdr:rowOff>
    </xdr:from>
    <xdr:to>
      <xdr:col>159</xdr:col>
      <xdr:colOff>460375</xdr:colOff>
      <xdr:row>34</xdr:row>
      <xdr:rowOff>293688</xdr:rowOff>
    </xdr:to>
    <xdr:pic>
      <xdr:nvPicPr>
        <xdr:cNvPr id="54262" name="Picture 54261">
          <a:extLst>
            <a:ext uri="{FF2B5EF4-FFF2-40B4-BE49-F238E27FC236}">
              <a16:creationId xmlns:a16="http://schemas.microsoft.com/office/drawing/2014/main" id="{00000000-0008-0000-0A00-0000F6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34</xdr:row>
      <xdr:rowOff>39688</xdr:rowOff>
    </xdr:from>
    <xdr:to>
      <xdr:col>195</xdr:col>
      <xdr:colOff>460375</xdr:colOff>
      <xdr:row>34</xdr:row>
      <xdr:rowOff>293688</xdr:rowOff>
    </xdr:to>
    <xdr:pic>
      <xdr:nvPicPr>
        <xdr:cNvPr id="54264" name="Picture 54263">
          <a:extLst>
            <a:ext uri="{FF2B5EF4-FFF2-40B4-BE49-F238E27FC236}">
              <a16:creationId xmlns:a16="http://schemas.microsoft.com/office/drawing/2014/main" id="{00000000-0008-0000-0A00-0000F8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34</xdr:row>
      <xdr:rowOff>39688</xdr:rowOff>
    </xdr:from>
    <xdr:to>
      <xdr:col>219</xdr:col>
      <xdr:colOff>460375</xdr:colOff>
      <xdr:row>34</xdr:row>
      <xdr:rowOff>293688</xdr:rowOff>
    </xdr:to>
    <xdr:pic>
      <xdr:nvPicPr>
        <xdr:cNvPr id="54266" name="Picture 54265">
          <a:extLst>
            <a:ext uri="{FF2B5EF4-FFF2-40B4-BE49-F238E27FC236}">
              <a16:creationId xmlns:a16="http://schemas.microsoft.com/office/drawing/2014/main" id="{00000000-0008-0000-0A00-0000FA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34</xdr:row>
      <xdr:rowOff>39688</xdr:rowOff>
    </xdr:from>
    <xdr:to>
      <xdr:col>15</xdr:col>
      <xdr:colOff>460375</xdr:colOff>
      <xdr:row>34</xdr:row>
      <xdr:rowOff>293688</xdr:rowOff>
    </xdr:to>
    <xdr:pic>
      <xdr:nvPicPr>
        <xdr:cNvPr id="54268" name="Picture 54267">
          <a:extLst>
            <a:ext uri="{FF2B5EF4-FFF2-40B4-BE49-F238E27FC236}">
              <a16:creationId xmlns:a16="http://schemas.microsoft.com/office/drawing/2014/main" id="{00000000-0008-0000-0A00-0000FC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33</xdr:row>
      <xdr:rowOff>39688</xdr:rowOff>
    </xdr:from>
    <xdr:to>
      <xdr:col>171</xdr:col>
      <xdr:colOff>460375</xdr:colOff>
      <xdr:row>33</xdr:row>
      <xdr:rowOff>293688</xdr:rowOff>
    </xdr:to>
    <xdr:pic>
      <xdr:nvPicPr>
        <xdr:cNvPr id="54270" name="Picture 54269">
          <a:extLst>
            <a:ext uri="{FF2B5EF4-FFF2-40B4-BE49-F238E27FC236}">
              <a16:creationId xmlns:a16="http://schemas.microsoft.com/office/drawing/2014/main" id="{00000000-0008-0000-0A00-0000FE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35</xdr:row>
      <xdr:rowOff>39688</xdr:rowOff>
    </xdr:from>
    <xdr:to>
      <xdr:col>231</xdr:col>
      <xdr:colOff>460375</xdr:colOff>
      <xdr:row>35</xdr:row>
      <xdr:rowOff>293688</xdr:rowOff>
    </xdr:to>
    <xdr:pic>
      <xdr:nvPicPr>
        <xdr:cNvPr id="54273" name="Picture 54272">
          <a:extLst>
            <a:ext uri="{FF2B5EF4-FFF2-40B4-BE49-F238E27FC236}">
              <a16:creationId xmlns:a16="http://schemas.microsoft.com/office/drawing/2014/main" id="{00000000-0008-0000-0A00-000001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1964988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33</xdr:row>
      <xdr:rowOff>39688</xdr:rowOff>
    </xdr:from>
    <xdr:to>
      <xdr:col>51</xdr:col>
      <xdr:colOff>460375</xdr:colOff>
      <xdr:row>33</xdr:row>
      <xdr:rowOff>293688</xdr:rowOff>
    </xdr:to>
    <xdr:pic>
      <xdr:nvPicPr>
        <xdr:cNvPr id="54276" name="Picture 54275">
          <a:extLst>
            <a:ext uri="{FF2B5EF4-FFF2-40B4-BE49-F238E27FC236}">
              <a16:creationId xmlns:a16="http://schemas.microsoft.com/office/drawing/2014/main" id="{00000000-0008-0000-0A00-000004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129823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35</xdr:row>
      <xdr:rowOff>39688</xdr:rowOff>
    </xdr:from>
    <xdr:to>
      <xdr:col>75</xdr:col>
      <xdr:colOff>460375</xdr:colOff>
      <xdr:row>35</xdr:row>
      <xdr:rowOff>293688</xdr:rowOff>
    </xdr:to>
    <xdr:pic>
      <xdr:nvPicPr>
        <xdr:cNvPr id="54279" name="Picture 54278">
          <a:extLst>
            <a:ext uri="{FF2B5EF4-FFF2-40B4-BE49-F238E27FC236}">
              <a16:creationId xmlns:a16="http://schemas.microsoft.com/office/drawing/2014/main" id="{00000000-0008-0000-0A00-000007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196498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35</xdr:row>
      <xdr:rowOff>39688</xdr:rowOff>
    </xdr:from>
    <xdr:to>
      <xdr:col>195</xdr:col>
      <xdr:colOff>460375</xdr:colOff>
      <xdr:row>35</xdr:row>
      <xdr:rowOff>293688</xdr:rowOff>
    </xdr:to>
    <xdr:pic>
      <xdr:nvPicPr>
        <xdr:cNvPr id="54282" name="Picture 54281">
          <a:extLst>
            <a:ext uri="{FF2B5EF4-FFF2-40B4-BE49-F238E27FC236}">
              <a16:creationId xmlns:a16="http://schemas.microsoft.com/office/drawing/2014/main" id="{00000000-0008-0000-0A00-00000A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196498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34</xdr:row>
      <xdr:rowOff>39688</xdr:rowOff>
    </xdr:from>
    <xdr:to>
      <xdr:col>39</xdr:col>
      <xdr:colOff>460375</xdr:colOff>
      <xdr:row>34</xdr:row>
      <xdr:rowOff>293688</xdr:rowOff>
    </xdr:to>
    <xdr:pic>
      <xdr:nvPicPr>
        <xdr:cNvPr id="54285" name="Picture 54284">
          <a:extLst>
            <a:ext uri="{FF2B5EF4-FFF2-40B4-BE49-F238E27FC236}">
              <a16:creationId xmlns:a16="http://schemas.microsoft.com/office/drawing/2014/main" id="{00000000-0008-0000-0A00-00000D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35</xdr:row>
      <xdr:rowOff>39688</xdr:rowOff>
    </xdr:from>
    <xdr:to>
      <xdr:col>183</xdr:col>
      <xdr:colOff>460375</xdr:colOff>
      <xdr:row>35</xdr:row>
      <xdr:rowOff>293688</xdr:rowOff>
    </xdr:to>
    <xdr:pic>
      <xdr:nvPicPr>
        <xdr:cNvPr id="54288" name="Picture 54287">
          <a:extLst>
            <a:ext uri="{FF2B5EF4-FFF2-40B4-BE49-F238E27FC236}">
              <a16:creationId xmlns:a16="http://schemas.microsoft.com/office/drawing/2014/main" id="{00000000-0008-0000-0A00-000010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1964988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34</xdr:row>
      <xdr:rowOff>39688</xdr:rowOff>
    </xdr:from>
    <xdr:to>
      <xdr:col>171</xdr:col>
      <xdr:colOff>460375</xdr:colOff>
      <xdr:row>34</xdr:row>
      <xdr:rowOff>293688</xdr:rowOff>
    </xdr:to>
    <xdr:pic>
      <xdr:nvPicPr>
        <xdr:cNvPr id="54291" name="Picture 54290">
          <a:extLst>
            <a:ext uri="{FF2B5EF4-FFF2-40B4-BE49-F238E27FC236}">
              <a16:creationId xmlns:a16="http://schemas.microsoft.com/office/drawing/2014/main" id="{00000000-0008-0000-0A00-000013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163161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35</xdr:row>
      <xdr:rowOff>39688</xdr:rowOff>
    </xdr:from>
    <xdr:to>
      <xdr:col>15</xdr:col>
      <xdr:colOff>460375</xdr:colOff>
      <xdr:row>35</xdr:row>
      <xdr:rowOff>293688</xdr:rowOff>
    </xdr:to>
    <xdr:pic>
      <xdr:nvPicPr>
        <xdr:cNvPr id="54294" name="Picture 54293">
          <a:extLst>
            <a:ext uri="{FF2B5EF4-FFF2-40B4-BE49-F238E27FC236}">
              <a16:creationId xmlns:a16="http://schemas.microsoft.com/office/drawing/2014/main" id="{00000000-0008-0000-0A00-000016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196498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35</xdr:row>
      <xdr:rowOff>39688</xdr:rowOff>
    </xdr:from>
    <xdr:to>
      <xdr:col>27</xdr:col>
      <xdr:colOff>460375</xdr:colOff>
      <xdr:row>35</xdr:row>
      <xdr:rowOff>293688</xdr:rowOff>
    </xdr:to>
    <xdr:pic>
      <xdr:nvPicPr>
        <xdr:cNvPr id="54297" name="Picture 54296">
          <a:extLst>
            <a:ext uri="{FF2B5EF4-FFF2-40B4-BE49-F238E27FC236}">
              <a16:creationId xmlns:a16="http://schemas.microsoft.com/office/drawing/2014/main" id="{00000000-0008-0000-0A00-000019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196498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35</xdr:row>
      <xdr:rowOff>39688</xdr:rowOff>
    </xdr:from>
    <xdr:to>
      <xdr:col>39</xdr:col>
      <xdr:colOff>460375</xdr:colOff>
      <xdr:row>35</xdr:row>
      <xdr:rowOff>293688</xdr:rowOff>
    </xdr:to>
    <xdr:pic>
      <xdr:nvPicPr>
        <xdr:cNvPr id="54300" name="Picture 54299">
          <a:extLst>
            <a:ext uri="{FF2B5EF4-FFF2-40B4-BE49-F238E27FC236}">
              <a16:creationId xmlns:a16="http://schemas.microsoft.com/office/drawing/2014/main" id="{00000000-0008-0000-0A00-00001C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196498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35</xdr:row>
      <xdr:rowOff>39688</xdr:rowOff>
    </xdr:from>
    <xdr:to>
      <xdr:col>123</xdr:col>
      <xdr:colOff>460375</xdr:colOff>
      <xdr:row>35</xdr:row>
      <xdr:rowOff>293688</xdr:rowOff>
    </xdr:to>
    <xdr:pic>
      <xdr:nvPicPr>
        <xdr:cNvPr id="54303" name="Picture 54302">
          <a:extLst>
            <a:ext uri="{FF2B5EF4-FFF2-40B4-BE49-F238E27FC236}">
              <a16:creationId xmlns:a16="http://schemas.microsoft.com/office/drawing/2014/main" id="{00000000-0008-0000-0A00-00001F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196498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36</xdr:row>
      <xdr:rowOff>39688</xdr:rowOff>
    </xdr:from>
    <xdr:to>
      <xdr:col>195</xdr:col>
      <xdr:colOff>460375</xdr:colOff>
      <xdr:row>36</xdr:row>
      <xdr:rowOff>293688</xdr:rowOff>
    </xdr:to>
    <xdr:pic>
      <xdr:nvPicPr>
        <xdr:cNvPr id="54306" name="Picture 54305">
          <a:extLst>
            <a:ext uri="{FF2B5EF4-FFF2-40B4-BE49-F238E27FC236}">
              <a16:creationId xmlns:a16="http://schemas.microsoft.com/office/drawing/2014/main" id="{00000000-0008-0000-0A00-000022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229836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36</xdr:row>
      <xdr:rowOff>39688</xdr:rowOff>
    </xdr:from>
    <xdr:to>
      <xdr:col>207</xdr:col>
      <xdr:colOff>460375</xdr:colOff>
      <xdr:row>36</xdr:row>
      <xdr:rowOff>293688</xdr:rowOff>
    </xdr:to>
    <xdr:pic>
      <xdr:nvPicPr>
        <xdr:cNvPr id="54309" name="Picture 54308">
          <a:extLst>
            <a:ext uri="{FF2B5EF4-FFF2-40B4-BE49-F238E27FC236}">
              <a16:creationId xmlns:a16="http://schemas.microsoft.com/office/drawing/2014/main" id="{00000000-0008-0000-0A00-000025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229836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36</xdr:row>
      <xdr:rowOff>39688</xdr:rowOff>
    </xdr:from>
    <xdr:to>
      <xdr:col>231</xdr:col>
      <xdr:colOff>460375</xdr:colOff>
      <xdr:row>36</xdr:row>
      <xdr:rowOff>293688</xdr:rowOff>
    </xdr:to>
    <xdr:pic>
      <xdr:nvPicPr>
        <xdr:cNvPr id="54312" name="Picture 54311">
          <a:extLst>
            <a:ext uri="{FF2B5EF4-FFF2-40B4-BE49-F238E27FC236}">
              <a16:creationId xmlns:a16="http://schemas.microsoft.com/office/drawing/2014/main" id="{00000000-0008-0000-0A00-000028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229836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35</xdr:row>
      <xdr:rowOff>39688</xdr:rowOff>
    </xdr:from>
    <xdr:to>
      <xdr:col>111</xdr:col>
      <xdr:colOff>460375</xdr:colOff>
      <xdr:row>35</xdr:row>
      <xdr:rowOff>293688</xdr:rowOff>
    </xdr:to>
    <xdr:pic>
      <xdr:nvPicPr>
        <xdr:cNvPr id="54315" name="Picture 54314">
          <a:extLst>
            <a:ext uri="{FF2B5EF4-FFF2-40B4-BE49-F238E27FC236}">
              <a16:creationId xmlns:a16="http://schemas.microsoft.com/office/drawing/2014/main" id="{00000000-0008-0000-0A00-00002B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196498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35</xdr:row>
      <xdr:rowOff>39688</xdr:rowOff>
    </xdr:from>
    <xdr:to>
      <xdr:col>63</xdr:col>
      <xdr:colOff>460375</xdr:colOff>
      <xdr:row>35</xdr:row>
      <xdr:rowOff>293688</xdr:rowOff>
    </xdr:to>
    <xdr:pic>
      <xdr:nvPicPr>
        <xdr:cNvPr id="54318" name="Picture 54317">
          <a:extLst>
            <a:ext uri="{FF2B5EF4-FFF2-40B4-BE49-F238E27FC236}">
              <a16:creationId xmlns:a16="http://schemas.microsoft.com/office/drawing/2014/main" id="{00000000-0008-0000-0A00-00002E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196498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36</xdr:row>
      <xdr:rowOff>39688</xdr:rowOff>
    </xdr:from>
    <xdr:to>
      <xdr:col>87</xdr:col>
      <xdr:colOff>460375</xdr:colOff>
      <xdr:row>36</xdr:row>
      <xdr:rowOff>293688</xdr:rowOff>
    </xdr:to>
    <xdr:pic>
      <xdr:nvPicPr>
        <xdr:cNvPr id="54321" name="Picture 54320">
          <a:extLst>
            <a:ext uri="{FF2B5EF4-FFF2-40B4-BE49-F238E27FC236}">
              <a16:creationId xmlns:a16="http://schemas.microsoft.com/office/drawing/2014/main" id="{00000000-0008-0000-0A00-000031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2298363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36</xdr:row>
      <xdr:rowOff>39688</xdr:rowOff>
    </xdr:from>
    <xdr:to>
      <xdr:col>3</xdr:col>
      <xdr:colOff>460375</xdr:colOff>
      <xdr:row>36</xdr:row>
      <xdr:rowOff>293688</xdr:rowOff>
    </xdr:to>
    <xdr:pic>
      <xdr:nvPicPr>
        <xdr:cNvPr id="54324" name="Picture 54323">
          <a:extLst>
            <a:ext uri="{FF2B5EF4-FFF2-40B4-BE49-F238E27FC236}">
              <a16:creationId xmlns:a16="http://schemas.microsoft.com/office/drawing/2014/main" id="{00000000-0008-0000-0A00-000034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229836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36</xdr:row>
      <xdr:rowOff>39688</xdr:rowOff>
    </xdr:from>
    <xdr:to>
      <xdr:col>75</xdr:col>
      <xdr:colOff>460375</xdr:colOff>
      <xdr:row>36</xdr:row>
      <xdr:rowOff>293688</xdr:rowOff>
    </xdr:to>
    <xdr:pic>
      <xdr:nvPicPr>
        <xdr:cNvPr id="54327" name="Picture 54326">
          <a:extLst>
            <a:ext uri="{FF2B5EF4-FFF2-40B4-BE49-F238E27FC236}">
              <a16:creationId xmlns:a16="http://schemas.microsoft.com/office/drawing/2014/main" id="{00000000-0008-0000-0A00-000037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229836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37</xdr:row>
      <xdr:rowOff>39688</xdr:rowOff>
    </xdr:from>
    <xdr:to>
      <xdr:col>147</xdr:col>
      <xdr:colOff>460375</xdr:colOff>
      <xdr:row>37</xdr:row>
      <xdr:rowOff>293688</xdr:rowOff>
    </xdr:to>
    <xdr:pic>
      <xdr:nvPicPr>
        <xdr:cNvPr id="54330" name="Picture 54329">
          <a:extLst>
            <a:ext uri="{FF2B5EF4-FFF2-40B4-BE49-F238E27FC236}">
              <a16:creationId xmlns:a16="http://schemas.microsoft.com/office/drawing/2014/main" id="{00000000-0008-0000-0A00-00003A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263173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36</xdr:row>
      <xdr:rowOff>39688</xdr:rowOff>
    </xdr:from>
    <xdr:to>
      <xdr:col>135</xdr:col>
      <xdr:colOff>460375</xdr:colOff>
      <xdr:row>36</xdr:row>
      <xdr:rowOff>293688</xdr:rowOff>
    </xdr:to>
    <xdr:pic>
      <xdr:nvPicPr>
        <xdr:cNvPr id="54333" name="Picture 54332">
          <a:extLst>
            <a:ext uri="{FF2B5EF4-FFF2-40B4-BE49-F238E27FC236}">
              <a16:creationId xmlns:a16="http://schemas.microsoft.com/office/drawing/2014/main" id="{00000000-0008-0000-0A00-00003D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2298363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38</xdr:row>
      <xdr:rowOff>39688</xdr:rowOff>
    </xdr:from>
    <xdr:to>
      <xdr:col>3</xdr:col>
      <xdr:colOff>460375</xdr:colOff>
      <xdr:row>38</xdr:row>
      <xdr:rowOff>293688</xdr:rowOff>
    </xdr:to>
    <xdr:pic>
      <xdr:nvPicPr>
        <xdr:cNvPr id="54336" name="Picture 54335">
          <a:extLst>
            <a:ext uri="{FF2B5EF4-FFF2-40B4-BE49-F238E27FC236}">
              <a16:creationId xmlns:a16="http://schemas.microsoft.com/office/drawing/2014/main" id="{00000000-0008-0000-0A00-000040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37</xdr:row>
      <xdr:rowOff>39688</xdr:rowOff>
    </xdr:from>
    <xdr:to>
      <xdr:col>111</xdr:col>
      <xdr:colOff>460375</xdr:colOff>
      <xdr:row>37</xdr:row>
      <xdr:rowOff>293688</xdr:rowOff>
    </xdr:to>
    <xdr:pic>
      <xdr:nvPicPr>
        <xdr:cNvPr id="54339" name="Picture 54338">
          <a:extLst>
            <a:ext uri="{FF2B5EF4-FFF2-40B4-BE49-F238E27FC236}">
              <a16:creationId xmlns:a16="http://schemas.microsoft.com/office/drawing/2014/main" id="{00000000-0008-0000-0A00-000043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263173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37</xdr:row>
      <xdr:rowOff>39688</xdr:rowOff>
    </xdr:from>
    <xdr:to>
      <xdr:col>27</xdr:col>
      <xdr:colOff>460375</xdr:colOff>
      <xdr:row>37</xdr:row>
      <xdr:rowOff>293688</xdr:rowOff>
    </xdr:to>
    <xdr:pic>
      <xdr:nvPicPr>
        <xdr:cNvPr id="54342" name="Picture 54341">
          <a:extLst>
            <a:ext uri="{FF2B5EF4-FFF2-40B4-BE49-F238E27FC236}">
              <a16:creationId xmlns:a16="http://schemas.microsoft.com/office/drawing/2014/main" id="{00000000-0008-0000-0A00-000046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2631738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37</xdr:row>
      <xdr:rowOff>39688</xdr:rowOff>
    </xdr:from>
    <xdr:to>
      <xdr:col>99</xdr:col>
      <xdr:colOff>460375</xdr:colOff>
      <xdr:row>37</xdr:row>
      <xdr:rowOff>293688</xdr:rowOff>
    </xdr:to>
    <xdr:pic>
      <xdr:nvPicPr>
        <xdr:cNvPr id="54345" name="Picture 54344">
          <a:extLst>
            <a:ext uri="{FF2B5EF4-FFF2-40B4-BE49-F238E27FC236}">
              <a16:creationId xmlns:a16="http://schemas.microsoft.com/office/drawing/2014/main" id="{00000000-0008-0000-0A00-000049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2631738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35</xdr:row>
      <xdr:rowOff>39688</xdr:rowOff>
    </xdr:from>
    <xdr:to>
      <xdr:col>51</xdr:col>
      <xdr:colOff>460375</xdr:colOff>
      <xdr:row>35</xdr:row>
      <xdr:rowOff>293688</xdr:rowOff>
    </xdr:to>
    <xdr:pic>
      <xdr:nvPicPr>
        <xdr:cNvPr id="54348" name="Picture 54347">
          <a:extLst>
            <a:ext uri="{FF2B5EF4-FFF2-40B4-BE49-F238E27FC236}">
              <a16:creationId xmlns:a16="http://schemas.microsoft.com/office/drawing/2014/main" id="{00000000-0008-0000-0A00-00004C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196498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37</xdr:row>
      <xdr:rowOff>39688</xdr:rowOff>
    </xdr:from>
    <xdr:to>
      <xdr:col>39</xdr:col>
      <xdr:colOff>460375</xdr:colOff>
      <xdr:row>37</xdr:row>
      <xdr:rowOff>293688</xdr:rowOff>
    </xdr:to>
    <xdr:pic>
      <xdr:nvPicPr>
        <xdr:cNvPr id="54351" name="Picture 54350">
          <a:extLst>
            <a:ext uri="{FF2B5EF4-FFF2-40B4-BE49-F238E27FC236}">
              <a16:creationId xmlns:a16="http://schemas.microsoft.com/office/drawing/2014/main" id="{00000000-0008-0000-0A00-00004F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263173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38</xdr:row>
      <xdr:rowOff>39688</xdr:rowOff>
    </xdr:from>
    <xdr:to>
      <xdr:col>75</xdr:col>
      <xdr:colOff>460375</xdr:colOff>
      <xdr:row>38</xdr:row>
      <xdr:rowOff>293688</xdr:rowOff>
    </xdr:to>
    <xdr:pic>
      <xdr:nvPicPr>
        <xdr:cNvPr id="54354" name="Picture 54353">
          <a:extLst>
            <a:ext uri="{FF2B5EF4-FFF2-40B4-BE49-F238E27FC236}">
              <a16:creationId xmlns:a16="http://schemas.microsoft.com/office/drawing/2014/main" id="{00000000-0008-0000-0A00-000052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37</xdr:row>
      <xdr:rowOff>39688</xdr:rowOff>
    </xdr:from>
    <xdr:to>
      <xdr:col>123</xdr:col>
      <xdr:colOff>460375</xdr:colOff>
      <xdr:row>37</xdr:row>
      <xdr:rowOff>293688</xdr:rowOff>
    </xdr:to>
    <xdr:pic>
      <xdr:nvPicPr>
        <xdr:cNvPr id="54357" name="Picture 54356">
          <a:extLst>
            <a:ext uri="{FF2B5EF4-FFF2-40B4-BE49-F238E27FC236}">
              <a16:creationId xmlns:a16="http://schemas.microsoft.com/office/drawing/2014/main" id="{00000000-0008-0000-0A00-000055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263173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37</xdr:row>
      <xdr:rowOff>39688</xdr:rowOff>
    </xdr:from>
    <xdr:to>
      <xdr:col>183</xdr:col>
      <xdr:colOff>460375</xdr:colOff>
      <xdr:row>37</xdr:row>
      <xdr:rowOff>293688</xdr:rowOff>
    </xdr:to>
    <xdr:pic>
      <xdr:nvPicPr>
        <xdr:cNvPr id="54360" name="Picture 54359">
          <a:extLst>
            <a:ext uri="{FF2B5EF4-FFF2-40B4-BE49-F238E27FC236}">
              <a16:creationId xmlns:a16="http://schemas.microsoft.com/office/drawing/2014/main" id="{00000000-0008-0000-0A00-000058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263173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38</xdr:row>
      <xdr:rowOff>39688</xdr:rowOff>
    </xdr:from>
    <xdr:to>
      <xdr:col>231</xdr:col>
      <xdr:colOff>460375</xdr:colOff>
      <xdr:row>38</xdr:row>
      <xdr:rowOff>293688</xdr:rowOff>
    </xdr:to>
    <xdr:pic>
      <xdr:nvPicPr>
        <xdr:cNvPr id="54363" name="Picture 54362">
          <a:extLst>
            <a:ext uri="{FF2B5EF4-FFF2-40B4-BE49-F238E27FC236}">
              <a16:creationId xmlns:a16="http://schemas.microsoft.com/office/drawing/2014/main" id="{00000000-0008-0000-0A00-00005B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37</xdr:row>
      <xdr:rowOff>39688</xdr:rowOff>
    </xdr:from>
    <xdr:to>
      <xdr:col>63</xdr:col>
      <xdr:colOff>460375</xdr:colOff>
      <xdr:row>37</xdr:row>
      <xdr:rowOff>293688</xdr:rowOff>
    </xdr:to>
    <xdr:pic>
      <xdr:nvPicPr>
        <xdr:cNvPr id="54366" name="Picture 54365">
          <a:extLst>
            <a:ext uri="{FF2B5EF4-FFF2-40B4-BE49-F238E27FC236}">
              <a16:creationId xmlns:a16="http://schemas.microsoft.com/office/drawing/2014/main" id="{00000000-0008-0000-0A00-00005E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2631738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37</xdr:row>
      <xdr:rowOff>39688</xdr:rowOff>
    </xdr:from>
    <xdr:to>
      <xdr:col>15</xdr:col>
      <xdr:colOff>460375</xdr:colOff>
      <xdr:row>37</xdr:row>
      <xdr:rowOff>293688</xdr:rowOff>
    </xdr:to>
    <xdr:pic>
      <xdr:nvPicPr>
        <xdr:cNvPr id="54369" name="Picture 54368">
          <a:extLst>
            <a:ext uri="{FF2B5EF4-FFF2-40B4-BE49-F238E27FC236}">
              <a16:creationId xmlns:a16="http://schemas.microsoft.com/office/drawing/2014/main" id="{00000000-0008-0000-0A00-000061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263173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36</xdr:row>
      <xdr:rowOff>39688</xdr:rowOff>
    </xdr:from>
    <xdr:to>
      <xdr:col>219</xdr:col>
      <xdr:colOff>460375</xdr:colOff>
      <xdr:row>36</xdr:row>
      <xdr:rowOff>293688</xdr:rowOff>
    </xdr:to>
    <xdr:pic>
      <xdr:nvPicPr>
        <xdr:cNvPr id="54372" name="Picture 54371">
          <a:extLst>
            <a:ext uri="{FF2B5EF4-FFF2-40B4-BE49-F238E27FC236}">
              <a16:creationId xmlns:a16="http://schemas.microsoft.com/office/drawing/2014/main" id="{00000000-0008-0000-0A00-000064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229836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38</xdr:row>
      <xdr:rowOff>39688</xdr:rowOff>
    </xdr:from>
    <xdr:to>
      <xdr:col>195</xdr:col>
      <xdr:colOff>460375</xdr:colOff>
      <xdr:row>38</xdr:row>
      <xdr:rowOff>293688</xdr:rowOff>
    </xdr:to>
    <xdr:pic>
      <xdr:nvPicPr>
        <xdr:cNvPr id="54375" name="Picture 54374">
          <a:extLst>
            <a:ext uri="{FF2B5EF4-FFF2-40B4-BE49-F238E27FC236}">
              <a16:creationId xmlns:a16="http://schemas.microsoft.com/office/drawing/2014/main" id="{00000000-0008-0000-0A00-000067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36</xdr:row>
      <xdr:rowOff>39688</xdr:rowOff>
    </xdr:from>
    <xdr:to>
      <xdr:col>171</xdr:col>
      <xdr:colOff>460375</xdr:colOff>
      <xdr:row>36</xdr:row>
      <xdr:rowOff>293688</xdr:rowOff>
    </xdr:to>
    <xdr:pic>
      <xdr:nvPicPr>
        <xdr:cNvPr id="54378" name="Picture 54377">
          <a:extLst>
            <a:ext uri="{FF2B5EF4-FFF2-40B4-BE49-F238E27FC236}">
              <a16:creationId xmlns:a16="http://schemas.microsoft.com/office/drawing/2014/main" id="{00000000-0008-0000-0A00-00006A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229836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36</xdr:row>
      <xdr:rowOff>39688</xdr:rowOff>
    </xdr:from>
    <xdr:to>
      <xdr:col>159</xdr:col>
      <xdr:colOff>460375</xdr:colOff>
      <xdr:row>36</xdr:row>
      <xdr:rowOff>293688</xdr:rowOff>
    </xdr:to>
    <xdr:pic>
      <xdr:nvPicPr>
        <xdr:cNvPr id="54381" name="Picture 54380">
          <a:extLst>
            <a:ext uri="{FF2B5EF4-FFF2-40B4-BE49-F238E27FC236}">
              <a16:creationId xmlns:a16="http://schemas.microsoft.com/office/drawing/2014/main" id="{00000000-0008-0000-0A00-00006D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229836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38</xdr:row>
      <xdr:rowOff>39688</xdr:rowOff>
    </xdr:from>
    <xdr:to>
      <xdr:col>87</xdr:col>
      <xdr:colOff>460375</xdr:colOff>
      <xdr:row>38</xdr:row>
      <xdr:rowOff>293688</xdr:rowOff>
    </xdr:to>
    <xdr:pic>
      <xdr:nvPicPr>
        <xdr:cNvPr id="54384" name="Picture 54383">
          <a:extLst>
            <a:ext uri="{FF2B5EF4-FFF2-40B4-BE49-F238E27FC236}">
              <a16:creationId xmlns:a16="http://schemas.microsoft.com/office/drawing/2014/main" id="{00000000-0008-0000-0A00-000070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38</xdr:row>
      <xdr:rowOff>39688</xdr:rowOff>
    </xdr:from>
    <xdr:to>
      <xdr:col>207</xdr:col>
      <xdr:colOff>460375</xdr:colOff>
      <xdr:row>38</xdr:row>
      <xdr:rowOff>293688</xdr:rowOff>
    </xdr:to>
    <xdr:pic>
      <xdr:nvPicPr>
        <xdr:cNvPr id="54387" name="Picture 54386">
          <a:extLst>
            <a:ext uri="{FF2B5EF4-FFF2-40B4-BE49-F238E27FC236}">
              <a16:creationId xmlns:a16="http://schemas.microsoft.com/office/drawing/2014/main" id="{00000000-0008-0000-0A00-000073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38</xdr:row>
      <xdr:rowOff>39688</xdr:rowOff>
    </xdr:from>
    <xdr:to>
      <xdr:col>27</xdr:col>
      <xdr:colOff>460375</xdr:colOff>
      <xdr:row>38</xdr:row>
      <xdr:rowOff>293688</xdr:rowOff>
    </xdr:to>
    <xdr:pic>
      <xdr:nvPicPr>
        <xdr:cNvPr id="54390" name="Picture 54389">
          <a:extLst>
            <a:ext uri="{FF2B5EF4-FFF2-40B4-BE49-F238E27FC236}">
              <a16:creationId xmlns:a16="http://schemas.microsoft.com/office/drawing/2014/main" id="{00000000-0008-0000-0A00-000076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36</xdr:row>
      <xdr:rowOff>39688</xdr:rowOff>
    </xdr:from>
    <xdr:to>
      <xdr:col>51</xdr:col>
      <xdr:colOff>460375</xdr:colOff>
      <xdr:row>36</xdr:row>
      <xdr:rowOff>293688</xdr:rowOff>
    </xdr:to>
    <xdr:pic>
      <xdr:nvPicPr>
        <xdr:cNvPr id="54393" name="Picture 54392">
          <a:extLst>
            <a:ext uri="{FF2B5EF4-FFF2-40B4-BE49-F238E27FC236}">
              <a16:creationId xmlns:a16="http://schemas.microsoft.com/office/drawing/2014/main" id="{00000000-0008-0000-0A00-000079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229836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38</xdr:row>
      <xdr:rowOff>39688</xdr:rowOff>
    </xdr:from>
    <xdr:to>
      <xdr:col>111</xdr:col>
      <xdr:colOff>460375</xdr:colOff>
      <xdr:row>38</xdr:row>
      <xdr:rowOff>293688</xdr:rowOff>
    </xdr:to>
    <xdr:pic>
      <xdr:nvPicPr>
        <xdr:cNvPr id="54396" name="Picture 54395">
          <a:extLst>
            <a:ext uri="{FF2B5EF4-FFF2-40B4-BE49-F238E27FC236}">
              <a16:creationId xmlns:a16="http://schemas.microsoft.com/office/drawing/2014/main" id="{00000000-0008-0000-0A00-00007C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38</xdr:row>
      <xdr:rowOff>39688</xdr:rowOff>
    </xdr:from>
    <xdr:to>
      <xdr:col>183</xdr:col>
      <xdr:colOff>460375</xdr:colOff>
      <xdr:row>38</xdr:row>
      <xdr:rowOff>293688</xdr:rowOff>
    </xdr:to>
    <xdr:pic>
      <xdr:nvPicPr>
        <xdr:cNvPr id="54399" name="Picture 54398">
          <a:extLst>
            <a:ext uri="{FF2B5EF4-FFF2-40B4-BE49-F238E27FC236}">
              <a16:creationId xmlns:a16="http://schemas.microsoft.com/office/drawing/2014/main" id="{00000000-0008-0000-0A00-00007F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38</xdr:row>
      <xdr:rowOff>39688</xdr:rowOff>
    </xdr:from>
    <xdr:to>
      <xdr:col>123</xdr:col>
      <xdr:colOff>460375</xdr:colOff>
      <xdr:row>38</xdr:row>
      <xdr:rowOff>293688</xdr:rowOff>
    </xdr:to>
    <xdr:pic>
      <xdr:nvPicPr>
        <xdr:cNvPr id="54402" name="Picture 54401">
          <a:extLst>
            <a:ext uri="{FF2B5EF4-FFF2-40B4-BE49-F238E27FC236}">
              <a16:creationId xmlns:a16="http://schemas.microsoft.com/office/drawing/2014/main" id="{00000000-0008-0000-0A00-000082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38</xdr:row>
      <xdr:rowOff>39688</xdr:rowOff>
    </xdr:from>
    <xdr:to>
      <xdr:col>15</xdr:col>
      <xdr:colOff>460375</xdr:colOff>
      <xdr:row>38</xdr:row>
      <xdr:rowOff>293688</xdr:rowOff>
    </xdr:to>
    <xdr:pic>
      <xdr:nvPicPr>
        <xdr:cNvPr id="54405" name="Picture 54404">
          <a:extLst>
            <a:ext uri="{FF2B5EF4-FFF2-40B4-BE49-F238E27FC236}">
              <a16:creationId xmlns:a16="http://schemas.microsoft.com/office/drawing/2014/main" id="{00000000-0008-0000-0A00-000085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38</xdr:row>
      <xdr:rowOff>39688</xdr:rowOff>
    </xdr:from>
    <xdr:to>
      <xdr:col>63</xdr:col>
      <xdr:colOff>460375</xdr:colOff>
      <xdr:row>38</xdr:row>
      <xdr:rowOff>293688</xdr:rowOff>
    </xdr:to>
    <xdr:pic>
      <xdr:nvPicPr>
        <xdr:cNvPr id="54408" name="Picture 54407">
          <a:extLst>
            <a:ext uri="{FF2B5EF4-FFF2-40B4-BE49-F238E27FC236}">
              <a16:creationId xmlns:a16="http://schemas.microsoft.com/office/drawing/2014/main" id="{00000000-0008-0000-0A00-000088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37</xdr:row>
      <xdr:rowOff>39688</xdr:rowOff>
    </xdr:from>
    <xdr:to>
      <xdr:col>135</xdr:col>
      <xdr:colOff>460375</xdr:colOff>
      <xdr:row>37</xdr:row>
      <xdr:rowOff>293688</xdr:rowOff>
    </xdr:to>
    <xdr:pic>
      <xdr:nvPicPr>
        <xdr:cNvPr id="54411" name="Picture 54410">
          <a:extLst>
            <a:ext uri="{FF2B5EF4-FFF2-40B4-BE49-F238E27FC236}">
              <a16:creationId xmlns:a16="http://schemas.microsoft.com/office/drawing/2014/main" id="{00000000-0008-0000-0A00-00008B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263173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37</xdr:row>
      <xdr:rowOff>39688</xdr:rowOff>
    </xdr:from>
    <xdr:to>
      <xdr:col>159</xdr:col>
      <xdr:colOff>460375</xdr:colOff>
      <xdr:row>37</xdr:row>
      <xdr:rowOff>293688</xdr:rowOff>
    </xdr:to>
    <xdr:pic>
      <xdr:nvPicPr>
        <xdr:cNvPr id="54414" name="Picture 54413">
          <a:extLst>
            <a:ext uri="{FF2B5EF4-FFF2-40B4-BE49-F238E27FC236}">
              <a16:creationId xmlns:a16="http://schemas.microsoft.com/office/drawing/2014/main" id="{00000000-0008-0000-0A00-00008E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263173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38</xdr:row>
      <xdr:rowOff>39688</xdr:rowOff>
    </xdr:from>
    <xdr:to>
      <xdr:col>39</xdr:col>
      <xdr:colOff>460375</xdr:colOff>
      <xdr:row>38</xdr:row>
      <xdr:rowOff>293688</xdr:rowOff>
    </xdr:to>
    <xdr:pic>
      <xdr:nvPicPr>
        <xdr:cNvPr id="54417" name="Picture 54416">
          <a:extLst>
            <a:ext uri="{FF2B5EF4-FFF2-40B4-BE49-F238E27FC236}">
              <a16:creationId xmlns:a16="http://schemas.microsoft.com/office/drawing/2014/main" id="{00000000-0008-0000-0A00-000091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37</xdr:row>
      <xdr:rowOff>39688</xdr:rowOff>
    </xdr:from>
    <xdr:to>
      <xdr:col>219</xdr:col>
      <xdr:colOff>460375</xdr:colOff>
      <xdr:row>37</xdr:row>
      <xdr:rowOff>293688</xdr:rowOff>
    </xdr:to>
    <xdr:pic>
      <xdr:nvPicPr>
        <xdr:cNvPr id="54420" name="Picture 54419">
          <a:extLst>
            <a:ext uri="{FF2B5EF4-FFF2-40B4-BE49-F238E27FC236}">
              <a16:creationId xmlns:a16="http://schemas.microsoft.com/office/drawing/2014/main" id="{00000000-0008-0000-0A00-000094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2631738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37</xdr:row>
      <xdr:rowOff>39688</xdr:rowOff>
    </xdr:from>
    <xdr:to>
      <xdr:col>171</xdr:col>
      <xdr:colOff>460375</xdr:colOff>
      <xdr:row>37</xdr:row>
      <xdr:rowOff>293688</xdr:rowOff>
    </xdr:to>
    <xdr:pic>
      <xdr:nvPicPr>
        <xdr:cNvPr id="54423" name="Picture 54422">
          <a:extLst>
            <a:ext uri="{FF2B5EF4-FFF2-40B4-BE49-F238E27FC236}">
              <a16:creationId xmlns:a16="http://schemas.microsoft.com/office/drawing/2014/main" id="{00000000-0008-0000-0A00-000097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263173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38</xdr:row>
      <xdr:rowOff>39688</xdr:rowOff>
    </xdr:from>
    <xdr:to>
      <xdr:col>159</xdr:col>
      <xdr:colOff>460375</xdr:colOff>
      <xdr:row>38</xdr:row>
      <xdr:rowOff>293688</xdr:rowOff>
    </xdr:to>
    <xdr:pic>
      <xdr:nvPicPr>
        <xdr:cNvPr id="54426" name="Picture 54425">
          <a:extLst>
            <a:ext uri="{FF2B5EF4-FFF2-40B4-BE49-F238E27FC236}">
              <a16:creationId xmlns:a16="http://schemas.microsoft.com/office/drawing/2014/main" id="{00000000-0008-0000-0A00-00009A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39</xdr:row>
      <xdr:rowOff>39688</xdr:rowOff>
    </xdr:from>
    <xdr:to>
      <xdr:col>87</xdr:col>
      <xdr:colOff>460375</xdr:colOff>
      <xdr:row>39</xdr:row>
      <xdr:rowOff>293688</xdr:rowOff>
    </xdr:to>
    <xdr:pic>
      <xdr:nvPicPr>
        <xdr:cNvPr id="54429" name="Picture 54428">
          <a:extLst>
            <a:ext uri="{FF2B5EF4-FFF2-40B4-BE49-F238E27FC236}">
              <a16:creationId xmlns:a16="http://schemas.microsoft.com/office/drawing/2014/main" id="{00000000-0008-0000-0A00-00009D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39</xdr:row>
      <xdr:rowOff>39688</xdr:rowOff>
    </xdr:from>
    <xdr:to>
      <xdr:col>15</xdr:col>
      <xdr:colOff>460375</xdr:colOff>
      <xdr:row>39</xdr:row>
      <xdr:rowOff>293688</xdr:rowOff>
    </xdr:to>
    <xdr:pic>
      <xdr:nvPicPr>
        <xdr:cNvPr id="54432" name="Picture 54431">
          <a:extLst>
            <a:ext uri="{FF2B5EF4-FFF2-40B4-BE49-F238E27FC236}">
              <a16:creationId xmlns:a16="http://schemas.microsoft.com/office/drawing/2014/main" id="{00000000-0008-0000-0A00-0000A0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39</xdr:row>
      <xdr:rowOff>39688</xdr:rowOff>
    </xdr:from>
    <xdr:to>
      <xdr:col>183</xdr:col>
      <xdr:colOff>460375</xdr:colOff>
      <xdr:row>39</xdr:row>
      <xdr:rowOff>293688</xdr:rowOff>
    </xdr:to>
    <xdr:pic>
      <xdr:nvPicPr>
        <xdr:cNvPr id="54435" name="Picture 54434">
          <a:extLst>
            <a:ext uri="{FF2B5EF4-FFF2-40B4-BE49-F238E27FC236}">
              <a16:creationId xmlns:a16="http://schemas.microsoft.com/office/drawing/2014/main" id="{00000000-0008-0000-0A00-0000A3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39</xdr:row>
      <xdr:rowOff>39688</xdr:rowOff>
    </xdr:from>
    <xdr:to>
      <xdr:col>39</xdr:col>
      <xdr:colOff>460375</xdr:colOff>
      <xdr:row>39</xdr:row>
      <xdr:rowOff>293688</xdr:rowOff>
    </xdr:to>
    <xdr:pic>
      <xdr:nvPicPr>
        <xdr:cNvPr id="54438" name="Picture 54437">
          <a:extLst>
            <a:ext uri="{FF2B5EF4-FFF2-40B4-BE49-F238E27FC236}">
              <a16:creationId xmlns:a16="http://schemas.microsoft.com/office/drawing/2014/main" id="{00000000-0008-0000-0A00-0000A6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38</xdr:row>
      <xdr:rowOff>39688</xdr:rowOff>
    </xdr:from>
    <xdr:to>
      <xdr:col>171</xdr:col>
      <xdr:colOff>460375</xdr:colOff>
      <xdr:row>38</xdr:row>
      <xdr:rowOff>293688</xdr:rowOff>
    </xdr:to>
    <xdr:pic>
      <xdr:nvPicPr>
        <xdr:cNvPr id="54441" name="Picture 54440">
          <a:extLst>
            <a:ext uri="{FF2B5EF4-FFF2-40B4-BE49-F238E27FC236}">
              <a16:creationId xmlns:a16="http://schemas.microsoft.com/office/drawing/2014/main" id="{00000000-0008-0000-0A00-0000A9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38</xdr:row>
      <xdr:rowOff>39688</xdr:rowOff>
    </xdr:from>
    <xdr:to>
      <xdr:col>99</xdr:col>
      <xdr:colOff>460375</xdr:colOff>
      <xdr:row>38</xdr:row>
      <xdr:rowOff>293688</xdr:rowOff>
    </xdr:to>
    <xdr:pic>
      <xdr:nvPicPr>
        <xdr:cNvPr id="54444" name="Picture 54443">
          <a:extLst>
            <a:ext uri="{FF2B5EF4-FFF2-40B4-BE49-F238E27FC236}">
              <a16:creationId xmlns:a16="http://schemas.microsoft.com/office/drawing/2014/main" id="{00000000-0008-0000-0A00-0000AC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38</xdr:row>
      <xdr:rowOff>39688</xdr:rowOff>
    </xdr:from>
    <xdr:to>
      <xdr:col>219</xdr:col>
      <xdr:colOff>460375</xdr:colOff>
      <xdr:row>38</xdr:row>
      <xdr:rowOff>293688</xdr:rowOff>
    </xdr:to>
    <xdr:pic>
      <xdr:nvPicPr>
        <xdr:cNvPr id="54447" name="Picture 54446">
          <a:extLst>
            <a:ext uri="{FF2B5EF4-FFF2-40B4-BE49-F238E27FC236}">
              <a16:creationId xmlns:a16="http://schemas.microsoft.com/office/drawing/2014/main" id="{00000000-0008-0000-0A00-0000AF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39</xdr:row>
      <xdr:rowOff>39688</xdr:rowOff>
    </xdr:from>
    <xdr:to>
      <xdr:col>123</xdr:col>
      <xdr:colOff>460375</xdr:colOff>
      <xdr:row>39</xdr:row>
      <xdr:rowOff>293688</xdr:rowOff>
    </xdr:to>
    <xdr:pic>
      <xdr:nvPicPr>
        <xdr:cNvPr id="54450" name="Picture 54449">
          <a:extLst>
            <a:ext uri="{FF2B5EF4-FFF2-40B4-BE49-F238E27FC236}">
              <a16:creationId xmlns:a16="http://schemas.microsoft.com/office/drawing/2014/main" id="{00000000-0008-0000-0A00-0000B2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39</xdr:row>
      <xdr:rowOff>39688</xdr:rowOff>
    </xdr:from>
    <xdr:to>
      <xdr:col>27</xdr:col>
      <xdr:colOff>460375</xdr:colOff>
      <xdr:row>39</xdr:row>
      <xdr:rowOff>293688</xdr:rowOff>
    </xdr:to>
    <xdr:pic>
      <xdr:nvPicPr>
        <xdr:cNvPr id="54453" name="Picture 54452">
          <a:extLst>
            <a:ext uri="{FF2B5EF4-FFF2-40B4-BE49-F238E27FC236}">
              <a16:creationId xmlns:a16="http://schemas.microsoft.com/office/drawing/2014/main" id="{00000000-0008-0000-0A00-0000B5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39</xdr:row>
      <xdr:rowOff>39688</xdr:rowOff>
    </xdr:from>
    <xdr:to>
      <xdr:col>207</xdr:col>
      <xdr:colOff>460375</xdr:colOff>
      <xdr:row>39</xdr:row>
      <xdr:rowOff>293688</xdr:rowOff>
    </xdr:to>
    <xdr:pic>
      <xdr:nvPicPr>
        <xdr:cNvPr id="54456" name="Picture 54455">
          <a:extLst>
            <a:ext uri="{FF2B5EF4-FFF2-40B4-BE49-F238E27FC236}">
              <a16:creationId xmlns:a16="http://schemas.microsoft.com/office/drawing/2014/main" id="{00000000-0008-0000-0A00-0000B8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37</xdr:row>
      <xdr:rowOff>39688</xdr:rowOff>
    </xdr:from>
    <xdr:to>
      <xdr:col>51</xdr:col>
      <xdr:colOff>460375</xdr:colOff>
      <xdr:row>37</xdr:row>
      <xdr:rowOff>293688</xdr:rowOff>
    </xdr:to>
    <xdr:pic>
      <xdr:nvPicPr>
        <xdr:cNvPr id="54459" name="Picture 54458">
          <a:extLst>
            <a:ext uri="{FF2B5EF4-FFF2-40B4-BE49-F238E27FC236}">
              <a16:creationId xmlns:a16="http://schemas.microsoft.com/office/drawing/2014/main" id="{00000000-0008-0000-0A00-0000BB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263173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39</xdr:row>
      <xdr:rowOff>39688</xdr:rowOff>
    </xdr:from>
    <xdr:to>
      <xdr:col>231</xdr:col>
      <xdr:colOff>460375</xdr:colOff>
      <xdr:row>39</xdr:row>
      <xdr:rowOff>293688</xdr:rowOff>
    </xdr:to>
    <xdr:pic>
      <xdr:nvPicPr>
        <xdr:cNvPr id="54462" name="Picture 54461">
          <a:extLst>
            <a:ext uri="{FF2B5EF4-FFF2-40B4-BE49-F238E27FC236}">
              <a16:creationId xmlns:a16="http://schemas.microsoft.com/office/drawing/2014/main" id="{00000000-0008-0000-0A00-0000BE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39</xdr:row>
      <xdr:rowOff>39688</xdr:rowOff>
    </xdr:from>
    <xdr:to>
      <xdr:col>63</xdr:col>
      <xdr:colOff>460375</xdr:colOff>
      <xdr:row>39</xdr:row>
      <xdr:rowOff>293688</xdr:rowOff>
    </xdr:to>
    <xdr:pic>
      <xdr:nvPicPr>
        <xdr:cNvPr id="54465" name="Picture 54464">
          <a:extLst>
            <a:ext uri="{FF2B5EF4-FFF2-40B4-BE49-F238E27FC236}">
              <a16:creationId xmlns:a16="http://schemas.microsoft.com/office/drawing/2014/main" id="{00000000-0008-0000-0A00-0000C1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39</xdr:row>
      <xdr:rowOff>39688</xdr:rowOff>
    </xdr:from>
    <xdr:to>
      <xdr:col>195</xdr:col>
      <xdr:colOff>460375</xdr:colOff>
      <xdr:row>39</xdr:row>
      <xdr:rowOff>293688</xdr:rowOff>
    </xdr:to>
    <xdr:pic>
      <xdr:nvPicPr>
        <xdr:cNvPr id="54468" name="Picture 54467">
          <a:extLst>
            <a:ext uri="{FF2B5EF4-FFF2-40B4-BE49-F238E27FC236}">
              <a16:creationId xmlns:a16="http://schemas.microsoft.com/office/drawing/2014/main" id="{00000000-0008-0000-0A00-0000C4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38</xdr:row>
      <xdr:rowOff>39688</xdr:rowOff>
    </xdr:from>
    <xdr:to>
      <xdr:col>147</xdr:col>
      <xdr:colOff>460375</xdr:colOff>
      <xdr:row>38</xdr:row>
      <xdr:rowOff>293688</xdr:rowOff>
    </xdr:to>
    <xdr:pic>
      <xdr:nvPicPr>
        <xdr:cNvPr id="54471" name="Picture 54470">
          <a:extLst>
            <a:ext uri="{FF2B5EF4-FFF2-40B4-BE49-F238E27FC236}">
              <a16:creationId xmlns:a16="http://schemas.microsoft.com/office/drawing/2014/main" id="{00000000-0008-0000-0A00-0000C7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39</xdr:row>
      <xdr:rowOff>39688</xdr:rowOff>
    </xdr:from>
    <xdr:to>
      <xdr:col>111</xdr:col>
      <xdr:colOff>460375</xdr:colOff>
      <xdr:row>39</xdr:row>
      <xdr:rowOff>293688</xdr:rowOff>
    </xdr:to>
    <xdr:pic>
      <xdr:nvPicPr>
        <xdr:cNvPr id="54474" name="Picture 54473">
          <a:extLst>
            <a:ext uri="{FF2B5EF4-FFF2-40B4-BE49-F238E27FC236}">
              <a16:creationId xmlns:a16="http://schemas.microsoft.com/office/drawing/2014/main" id="{00000000-0008-0000-0A00-0000CA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39</xdr:row>
      <xdr:rowOff>39688</xdr:rowOff>
    </xdr:from>
    <xdr:to>
      <xdr:col>75</xdr:col>
      <xdr:colOff>460375</xdr:colOff>
      <xdr:row>39</xdr:row>
      <xdr:rowOff>293688</xdr:rowOff>
    </xdr:to>
    <xdr:pic>
      <xdr:nvPicPr>
        <xdr:cNvPr id="54477" name="Picture 54476">
          <a:extLst>
            <a:ext uri="{FF2B5EF4-FFF2-40B4-BE49-F238E27FC236}">
              <a16:creationId xmlns:a16="http://schemas.microsoft.com/office/drawing/2014/main" id="{00000000-0008-0000-0A00-0000CD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38</xdr:row>
      <xdr:rowOff>39688</xdr:rowOff>
    </xdr:from>
    <xdr:to>
      <xdr:col>135</xdr:col>
      <xdr:colOff>460375</xdr:colOff>
      <xdr:row>38</xdr:row>
      <xdr:rowOff>293688</xdr:rowOff>
    </xdr:to>
    <xdr:pic>
      <xdr:nvPicPr>
        <xdr:cNvPr id="54480" name="Picture 54479">
          <a:extLst>
            <a:ext uri="{FF2B5EF4-FFF2-40B4-BE49-F238E27FC236}">
              <a16:creationId xmlns:a16="http://schemas.microsoft.com/office/drawing/2014/main" id="{00000000-0008-0000-0A00-0000D0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39</xdr:row>
      <xdr:rowOff>39688</xdr:rowOff>
    </xdr:from>
    <xdr:to>
      <xdr:col>3</xdr:col>
      <xdr:colOff>460375</xdr:colOff>
      <xdr:row>39</xdr:row>
      <xdr:rowOff>293688</xdr:rowOff>
    </xdr:to>
    <xdr:pic>
      <xdr:nvPicPr>
        <xdr:cNvPr id="54483" name="Picture 54482">
          <a:extLst>
            <a:ext uri="{FF2B5EF4-FFF2-40B4-BE49-F238E27FC236}">
              <a16:creationId xmlns:a16="http://schemas.microsoft.com/office/drawing/2014/main" id="{00000000-0008-0000-0A00-0000D3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40</xdr:row>
      <xdr:rowOff>39688</xdr:rowOff>
    </xdr:from>
    <xdr:to>
      <xdr:col>15</xdr:col>
      <xdr:colOff>460375</xdr:colOff>
      <xdr:row>40</xdr:row>
      <xdr:rowOff>293688</xdr:rowOff>
    </xdr:to>
    <xdr:pic>
      <xdr:nvPicPr>
        <xdr:cNvPr id="54486" name="Picture 54485">
          <a:extLst>
            <a:ext uri="{FF2B5EF4-FFF2-40B4-BE49-F238E27FC236}">
              <a16:creationId xmlns:a16="http://schemas.microsoft.com/office/drawing/2014/main" id="{00000000-0008-0000-0A00-0000D6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39</xdr:row>
      <xdr:rowOff>39688</xdr:rowOff>
    </xdr:from>
    <xdr:to>
      <xdr:col>171</xdr:col>
      <xdr:colOff>460375</xdr:colOff>
      <xdr:row>39</xdr:row>
      <xdr:rowOff>293688</xdr:rowOff>
    </xdr:to>
    <xdr:pic>
      <xdr:nvPicPr>
        <xdr:cNvPr id="54489" name="Picture 54488">
          <a:extLst>
            <a:ext uri="{FF2B5EF4-FFF2-40B4-BE49-F238E27FC236}">
              <a16:creationId xmlns:a16="http://schemas.microsoft.com/office/drawing/2014/main" id="{00000000-0008-0000-0A00-0000D9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40</xdr:row>
      <xdr:rowOff>39688</xdr:rowOff>
    </xdr:from>
    <xdr:to>
      <xdr:col>63</xdr:col>
      <xdr:colOff>460375</xdr:colOff>
      <xdr:row>40</xdr:row>
      <xdr:rowOff>293688</xdr:rowOff>
    </xdr:to>
    <xdr:pic>
      <xdr:nvPicPr>
        <xdr:cNvPr id="54492" name="Picture 54491">
          <a:extLst>
            <a:ext uri="{FF2B5EF4-FFF2-40B4-BE49-F238E27FC236}">
              <a16:creationId xmlns:a16="http://schemas.microsoft.com/office/drawing/2014/main" id="{00000000-0008-0000-0A00-0000DC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38</xdr:row>
      <xdr:rowOff>39688</xdr:rowOff>
    </xdr:from>
    <xdr:to>
      <xdr:col>51</xdr:col>
      <xdr:colOff>460375</xdr:colOff>
      <xdr:row>38</xdr:row>
      <xdr:rowOff>293688</xdr:rowOff>
    </xdr:to>
    <xdr:pic>
      <xdr:nvPicPr>
        <xdr:cNvPr id="54495" name="Picture 54494">
          <a:extLst>
            <a:ext uri="{FF2B5EF4-FFF2-40B4-BE49-F238E27FC236}">
              <a16:creationId xmlns:a16="http://schemas.microsoft.com/office/drawing/2014/main" id="{00000000-0008-0000-0A00-0000DF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296511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40</xdr:row>
      <xdr:rowOff>39688</xdr:rowOff>
    </xdr:from>
    <xdr:to>
      <xdr:col>87</xdr:col>
      <xdr:colOff>460375</xdr:colOff>
      <xdr:row>40</xdr:row>
      <xdr:rowOff>293688</xdr:rowOff>
    </xdr:to>
    <xdr:pic>
      <xdr:nvPicPr>
        <xdr:cNvPr id="54498" name="Picture 54497">
          <a:extLst>
            <a:ext uri="{FF2B5EF4-FFF2-40B4-BE49-F238E27FC236}">
              <a16:creationId xmlns:a16="http://schemas.microsoft.com/office/drawing/2014/main" id="{00000000-0008-0000-0A00-0000E2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39</xdr:row>
      <xdr:rowOff>39688</xdr:rowOff>
    </xdr:from>
    <xdr:to>
      <xdr:col>99</xdr:col>
      <xdr:colOff>460375</xdr:colOff>
      <xdr:row>39</xdr:row>
      <xdr:rowOff>293688</xdr:rowOff>
    </xdr:to>
    <xdr:pic>
      <xdr:nvPicPr>
        <xdr:cNvPr id="54501" name="Picture 54500">
          <a:extLst>
            <a:ext uri="{FF2B5EF4-FFF2-40B4-BE49-F238E27FC236}">
              <a16:creationId xmlns:a16="http://schemas.microsoft.com/office/drawing/2014/main" id="{00000000-0008-0000-0A00-0000E5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40</xdr:row>
      <xdr:rowOff>39688</xdr:rowOff>
    </xdr:from>
    <xdr:to>
      <xdr:col>195</xdr:col>
      <xdr:colOff>460375</xdr:colOff>
      <xdr:row>40</xdr:row>
      <xdr:rowOff>293688</xdr:rowOff>
    </xdr:to>
    <xdr:pic>
      <xdr:nvPicPr>
        <xdr:cNvPr id="54504" name="Picture 54503">
          <a:extLst>
            <a:ext uri="{FF2B5EF4-FFF2-40B4-BE49-F238E27FC236}">
              <a16:creationId xmlns:a16="http://schemas.microsoft.com/office/drawing/2014/main" id="{00000000-0008-0000-0A00-0000E8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40</xdr:row>
      <xdr:rowOff>39688</xdr:rowOff>
    </xdr:from>
    <xdr:to>
      <xdr:col>75</xdr:col>
      <xdr:colOff>460375</xdr:colOff>
      <xdr:row>40</xdr:row>
      <xdr:rowOff>293688</xdr:rowOff>
    </xdr:to>
    <xdr:pic>
      <xdr:nvPicPr>
        <xdr:cNvPr id="54507" name="Picture 54506">
          <a:extLst>
            <a:ext uri="{FF2B5EF4-FFF2-40B4-BE49-F238E27FC236}">
              <a16:creationId xmlns:a16="http://schemas.microsoft.com/office/drawing/2014/main" id="{00000000-0008-0000-0A00-0000EB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40</xdr:row>
      <xdr:rowOff>39688</xdr:rowOff>
    </xdr:from>
    <xdr:to>
      <xdr:col>231</xdr:col>
      <xdr:colOff>460375</xdr:colOff>
      <xdr:row>40</xdr:row>
      <xdr:rowOff>293688</xdr:rowOff>
    </xdr:to>
    <xdr:pic>
      <xdr:nvPicPr>
        <xdr:cNvPr id="54510" name="Picture 54509">
          <a:extLst>
            <a:ext uri="{FF2B5EF4-FFF2-40B4-BE49-F238E27FC236}">
              <a16:creationId xmlns:a16="http://schemas.microsoft.com/office/drawing/2014/main" id="{00000000-0008-0000-0A00-0000EE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40</xdr:row>
      <xdr:rowOff>39688</xdr:rowOff>
    </xdr:from>
    <xdr:to>
      <xdr:col>39</xdr:col>
      <xdr:colOff>460375</xdr:colOff>
      <xdr:row>40</xdr:row>
      <xdr:rowOff>293688</xdr:rowOff>
    </xdr:to>
    <xdr:pic>
      <xdr:nvPicPr>
        <xdr:cNvPr id="54513" name="Picture 54512">
          <a:extLst>
            <a:ext uri="{FF2B5EF4-FFF2-40B4-BE49-F238E27FC236}">
              <a16:creationId xmlns:a16="http://schemas.microsoft.com/office/drawing/2014/main" id="{00000000-0008-0000-0A00-0000F1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40</xdr:row>
      <xdr:rowOff>39688</xdr:rowOff>
    </xdr:from>
    <xdr:to>
      <xdr:col>207</xdr:col>
      <xdr:colOff>460375</xdr:colOff>
      <xdr:row>40</xdr:row>
      <xdr:rowOff>293688</xdr:rowOff>
    </xdr:to>
    <xdr:pic>
      <xdr:nvPicPr>
        <xdr:cNvPr id="54516" name="Picture 54515">
          <a:extLst>
            <a:ext uri="{FF2B5EF4-FFF2-40B4-BE49-F238E27FC236}">
              <a16:creationId xmlns:a16="http://schemas.microsoft.com/office/drawing/2014/main" id="{00000000-0008-0000-0A00-0000F4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40</xdr:row>
      <xdr:rowOff>39688</xdr:rowOff>
    </xdr:from>
    <xdr:to>
      <xdr:col>27</xdr:col>
      <xdr:colOff>460375</xdr:colOff>
      <xdr:row>40</xdr:row>
      <xdr:rowOff>293688</xdr:rowOff>
    </xdr:to>
    <xdr:pic>
      <xdr:nvPicPr>
        <xdr:cNvPr id="54519" name="Picture 54518">
          <a:extLst>
            <a:ext uri="{FF2B5EF4-FFF2-40B4-BE49-F238E27FC236}">
              <a16:creationId xmlns:a16="http://schemas.microsoft.com/office/drawing/2014/main" id="{00000000-0008-0000-0A00-0000F7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39</xdr:row>
      <xdr:rowOff>39688</xdr:rowOff>
    </xdr:from>
    <xdr:to>
      <xdr:col>147</xdr:col>
      <xdr:colOff>460375</xdr:colOff>
      <xdr:row>39</xdr:row>
      <xdr:rowOff>293688</xdr:rowOff>
    </xdr:to>
    <xdr:pic>
      <xdr:nvPicPr>
        <xdr:cNvPr id="54522" name="Picture 54521">
          <a:extLst>
            <a:ext uri="{FF2B5EF4-FFF2-40B4-BE49-F238E27FC236}">
              <a16:creationId xmlns:a16="http://schemas.microsoft.com/office/drawing/2014/main" id="{00000000-0008-0000-0A00-0000FA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40</xdr:row>
      <xdr:rowOff>39688</xdr:rowOff>
    </xdr:from>
    <xdr:to>
      <xdr:col>123</xdr:col>
      <xdr:colOff>460375</xdr:colOff>
      <xdr:row>40</xdr:row>
      <xdr:rowOff>293688</xdr:rowOff>
    </xdr:to>
    <xdr:pic>
      <xdr:nvPicPr>
        <xdr:cNvPr id="54525" name="Picture 54524">
          <a:extLst>
            <a:ext uri="{FF2B5EF4-FFF2-40B4-BE49-F238E27FC236}">
              <a16:creationId xmlns:a16="http://schemas.microsoft.com/office/drawing/2014/main" id="{00000000-0008-0000-0A00-0000FD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39</xdr:row>
      <xdr:rowOff>39688</xdr:rowOff>
    </xdr:from>
    <xdr:to>
      <xdr:col>219</xdr:col>
      <xdr:colOff>460375</xdr:colOff>
      <xdr:row>39</xdr:row>
      <xdr:rowOff>293688</xdr:rowOff>
    </xdr:to>
    <xdr:pic>
      <xdr:nvPicPr>
        <xdr:cNvPr id="54528" name="Picture 54527">
          <a:extLst>
            <a:ext uri="{FF2B5EF4-FFF2-40B4-BE49-F238E27FC236}">
              <a16:creationId xmlns:a16="http://schemas.microsoft.com/office/drawing/2014/main" id="{00000000-0008-0000-0A00-000000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40</xdr:row>
      <xdr:rowOff>39688</xdr:rowOff>
    </xdr:from>
    <xdr:to>
      <xdr:col>3</xdr:col>
      <xdr:colOff>460375</xdr:colOff>
      <xdr:row>40</xdr:row>
      <xdr:rowOff>293688</xdr:rowOff>
    </xdr:to>
    <xdr:pic>
      <xdr:nvPicPr>
        <xdr:cNvPr id="54531" name="Picture 54530">
          <a:extLst>
            <a:ext uri="{FF2B5EF4-FFF2-40B4-BE49-F238E27FC236}">
              <a16:creationId xmlns:a16="http://schemas.microsoft.com/office/drawing/2014/main" id="{00000000-0008-0000-0A00-000003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40</xdr:row>
      <xdr:rowOff>39688</xdr:rowOff>
    </xdr:from>
    <xdr:to>
      <xdr:col>183</xdr:col>
      <xdr:colOff>460375</xdr:colOff>
      <xdr:row>40</xdr:row>
      <xdr:rowOff>293688</xdr:rowOff>
    </xdr:to>
    <xdr:pic>
      <xdr:nvPicPr>
        <xdr:cNvPr id="54534" name="Picture 54533">
          <a:extLst>
            <a:ext uri="{FF2B5EF4-FFF2-40B4-BE49-F238E27FC236}">
              <a16:creationId xmlns:a16="http://schemas.microsoft.com/office/drawing/2014/main" id="{00000000-0008-0000-0A00-000006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39</xdr:row>
      <xdr:rowOff>39688</xdr:rowOff>
    </xdr:from>
    <xdr:to>
      <xdr:col>159</xdr:col>
      <xdr:colOff>460375</xdr:colOff>
      <xdr:row>39</xdr:row>
      <xdr:rowOff>293688</xdr:rowOff>
    </xdr:to>
    <xdr:pic>
      <xdr:nvPicPr>
        <xdr:cNvPr id="54537" name="Picture 54536">
          <a:extLst>
            <a:ext uri="{FF2B5EF4-FFF2-40B4-BE49-F238E27FC236}">
              <a16:creationId xmlns:a16="http://schemas.microsoft.com/office/drawing/2014/main" id="{00000000-0008-0000-0A00-000009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40</xdr:row>
      <xdr:rowOff>39688</xdr:rowOff>
    </xdr:from>
    <xdr:to>
      <xdr:col>111</xdr:col>
      <xdr:colOff>460375</xdr:colOff>
      <xdr:row>40</xdr:row>
      <xdr:rowOff>293688</xdr:rowOff>
    </xdr:to>
    <xdr:pic>
      <xdr:nvPicPr>
        <xdr:cNvPr id="54540" name="Picture 54539">
          <a:extLst>
            <a:ext uri="{FF2B5EF4-FFF2-40B4-BE49-F238E27FC236}">
              <a16:creationId xmlns:a16="http://schemas.microsoft.com/office/drawing/2014/main" id="{00000000-0008-0000-0A00-00000C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39</xdr:row>
      <xdr:rowOff>39688</xdr:rowOff>
    </xdr:from>
    <xdr:to>
      <xdr:col>135</xdr:col>
      <xdr:colOff>460375</xdr:colOff>
      <xdr:row>39</xdr:row>
      <xdr:rowOff>293688</xdr:rowOff>
    </xdr:to>
    <xdr:pic>
      <xdr:nvPicPr>
        <xdr:cNvPr id="54543" name="Picture 54542">
          <a:extLst>
            <a:ext uri="{FF2B5EF4-FFF2-40B4-BE49-F238E27FC236}">
              <a16:creationId xmlns:a16="http://schemas.microsoft.com/office/drawing/2014/main" id="{00000000-0008-0000-0A00-00000F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41</xdr:row>
      <xdr:rowOff>39688</xdr:rowOff>
    </xdr:from>
    <xdr:to>
      <xdr:col>3</xdr:col>
      <xdr:colOff>460375</xdr:colOff>
      <xdr:row>41</xdr:row>
      <xdr:rowOff>293688</xdr:rowOff>
    </xdr:to>
    <xdr:pic>
      <xdr:nvPicPr>
        <xdr:cNvPr id="54546" name="Picture 54545">
          <a:extLst>
            <a:ext uri="{FF2B5EF4-FFF2-40B4-BE49-F238E27FC236}">
              <a16:creationId xmlns:a16="http://schemas.microsoft.com/office/drawing/2014/main" id="{00000000-0008-0000-0A00-000012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41</xdr:row>
      <xdr:rowOff>39688</xdr:rowOff>
    </xdr:from>
    <xdr:to>
      <xdr:col>195</xdr:col>
      <xdr:colOff>460375</xdr:colOff>
      <xdr:row>41</xdr:row>
      <xdr:rowOff>293688</xdr:rowOff>
    </xdr:to>
    <xdr:pic>
      <xdr:nvPicPr>
        <xdr:cNvPr id="54549" name="Picture 54548">
          <a:extLst>
            <a:ext uri="{FF2B5EF4-FFF2-40B4-BE49-F238E27FC236}">
              <a16:creationId xmlns:a16="http://schemas.microsoft.com/office/drawing/2014/main" id="{00000000-0008-0000-0A00-000015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40</xdr:row>
      <xdr:rowOff>39688</xdr:rowOff>
    </xdr:from>
    <xdr:to>
      <xdr:col>99</xdr:col>
      <xdr:colOff>460375</xdr:colOff>
      <xdr:row>40</xdr:row>
      <xdr:rowOff>293688</xdr:rowOff>
    </xdr:to>
    <xdr:pic>
      <xdr:nvPicPr>
        <xdr:cNvPr id="54552" name="Picture 54551">
          <a:extLst>
            <a:ext uri="{FF2B5EF4-FFF2-40B4-BE49-F238E27FC236}">
              <a16:creationId xmlns:a16="http://schemas.microsoft.com/office/drawing/2014/main" id="{00000000-0008-0000-0A00-000018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41</xdr:row>
      <xdr:rowOff>39688</xdr:rowOff>
    </xdr:from>
    <xdr:to>
      <xdr:col>111</xdr:col>
      <xdr:colOff>460375</xdr:colOff>
      <xdr:row>41</xdr:row>
      <xdr:rowOff>293688</xdr:rowOff>
    </xdr:to>
    <xdr:pic>
      <xdr:nvPicPr>
        <xdr:cNvPr id="54555" name="Picture 54554">
          <a:extLst>
            <a:ext uri="{FF2B5EF4-FFF2-40B4-BE49-F238E27FC236}">
              <a16:creationId xmlns:a16="http://schemas.microsoft.com/office/drawing/2014/main" id="{00000000-0008-0000-0A00-00001B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41</xdr:row>
      <xdr:rowOff>39688</xdr:rowOff>
    </xdr:from>
    <xdr:to>
      <xdr:col>39</xdr:col>
      <xdr:colOff>460375</xdr:colOff>
      <xdr:row>41</xdr:row>
      <xdr:rowOff>293688</xdr:rowOff>
    </xdr:to>
    <xdr:pic>
      <xdr:nvPicPr>
        <xdr:cNvPr id="54558" name="Picture 54557">
          <a:extLst>
            <a:ext uri="{FF2B5EF4-FFF2-40B4-BE49-F238E27FC236}">
              <a16:creationId xmlns:a16="http://schemas.microsoft.com/office/drawing/2014/main" id="{00000000-0008-0000-0A00-00001E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41</xdr:row>
      <xdr:rowOff>39688</xdr:rowOff>
    </xdr:from>
    <xdr:to>
      <xdr:col>15</xdr:col>
      <xdr:colOff>460375</xdr:colOff>
      <xdr:row>41</xdr:row>
      <xdr:rowOff>293688</xdr:rowOff>
    </xdr:to>
    <xdr:pic>
      <xdr:nvPicPr>
        <xdr:cNvPr id="54561" name="Picture 54560">
          <a:extLst>
            <a:ext uri="{FF2B5EF4-FFF2-40B4-BE49-F238E27FC236}">
              <a16:creationId xmlns:a16="http://schemas.microsoft.com/office/drawing/2014/main" id="{00000000-0008-0000-0A00-000021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41</xdr:row>
      <xdr:rowOff>39688</xdr:rowOff>
    </xdr:from>
    <xdr:to>
      <xdr:col>75</xdr:col>
      <xdr:colOff>460375</xdr:colOff>
      <xdr:row>41</xdr:row>
      <xdr:rowOff>293688</xdr:rowOff>
    </xdr:to>
    <xdr:pic>
      <xdr:nvPicPr>
        <xdr:cNvPr id="54564" name="Picture 54563">
          <a:extLst>
            <a:ext uri="{FF2B5EF4-FFF2-40B4-BE49-F238E27FC236}">
              <a16:creationId xmlns:a16="http://schemas.microsoft.com/office/drawing/2014/main" id="{00000000-0008-0000-0A00-000024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41</xdr:row>
      <xdr:rowOff>39688</xdr:rowOff>
    </xdr:from>
    <xdr:to>
      <xdr:col>87</xdr:col>
      <xdr:colOff>460375</xdr:colOff>
      <xdr:row>41</xdr:row>
      <xdr:rowOff>293688</xdr:rowOff>
    </xdr:to>
    <xdr:pic>
      <xdr:nvPicPr>
        <xdr:cNvPr id="54567" name="Picture 54566">
          <a:extLst>
            <a:ext uri="{FF2B5EF4-FFF2-40B4-BE49-F238E27FC236}">
              <a16:creationId xmlns:a16="http://schemas.microsoft.com/office/drawing/2014/main" id="{00000000-0008-0000-0A00-000027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41</xdr:row>
      <xdr:rowOff>39688</xdr:rowOff>
    </xdr:from>
    <xdr:to>
      <xdr:col>123</xdr:col>
      <xdr:colOff>460375</xdr:colOff>
      <xdr:row>41</xdr:row>
      <xdr:rowOff>293688</xdr:rowOff>
    </xdr:to>
    <xdr:pic>
      <xdr:nvPicPr>
        <xdr:cNvPr id="54570" name="Picture 54569">
          <a:extLst>
            <a:ext uri="{FF2B5EF4-FFF2-40B4-BE49-F238E27FC236}">
              <a16:creationId xmlns:a16="http://schemas.microsoft.com/office/drawing/2014/main" id="{00000000-0008-0000-0A00-00002A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41</xdr:row>
      <xdr:rowOff>39688</xdr:rowOff>
    </xdr:from>
    <xdr:to>
      <xdr:col>231</xdr:col>
      <xdr:colOff>460375</xdr:colOff>
      <xdr:row>41</xdr:row>
      <xdr:rowOff>293688</xdr:rowOff>
    </xdr:to>
    <xdr:pic>
      <xdr:nvPicPr>
        <xdr:cNvPr id="54573" name="Picture 54572">
          <a:extLst>
            <a:ext uri="{FF2B5EF4-FFF2-40B4-BE49-F238E27FC236}">
              <a16:creationId xmlns:a16="http://schemas.microsoft.com/office/drawing/2014/main" id="{00000000-0008-0000-0A00-00002D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40</xdr:row>
      <xdr:rowOff>39688</xdr:rowOff>
    </xdr:from>
    <xdr:to>
      <xdr:col>135</xdr:col>
      <xdr:colOff>460375</xdr:colOff>
      <xdr:row>40</xdr:row>
      <xdr:rowOff>293688</xdr:rowOff>
    </xdr:to>
    <xdr:pic>
      <xdr:nvPicPr>
        <xdr:cNvPr id="54576" name="Picture 54575">
          <a:extLst>
            <a:ext uri="{FF2B5EF4-FFF2-40B4-BE49-F238E27FC236}">
              <a16:creationId xmlns:a16="http://schemas.microsoft.com/office/drawing/2014/main" id="{00000000-0008-0000-0A00-000030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41</xdr:row>
      <xdr:rowOff>39688</xdr:rowOff>
    </xdr:from>
    <xdr:to>
      <xdr:col>183</xdr:col>
      <xdr:colOff>460375</xdr:colOff>
      <xdr:row>41</xdr:row>
      <xdr:rowOff>293688</xdr:rowOff>
    </xdr:to>
    <xdr:pic>
      <xdr:nvPicPr>
        <xdr:cNvPr id="54579" name="Picture 54578">
          <a:extLst>
            <a:ext uri="{FF2B5EF4-FFF2-40B4-BE49-F238E27FC236}">
              <a16:creationId xmlns:a16="http://schemas.microsoft.com/office/drawing/2014/main" id="{00000000-0008-0000-0A00-000033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41</xdr:row>
      <xdr:rowOff>39688</xdr:rowOff>
    </xdr:from>
    <xdr:to>
      <xdr:col>27</xdr:col>
      <xdr:colOff>460375</xdr:colOff>
      <xdr:row>41</xdr:row>
      <xdr:rowOff>293688</xdr:rowOff>
    </xdr:to>
    <xdr:pic>
      <xdr:nvPicPr>
        <xdr:cNvPr id="54582" name="Picture 54581">
          <a:extLst>
            <a:ext uri="{FF2B5EF4-FFF2-40B4-BE49-F238E27FC236}">
              <a16:creationId xmlns:a16="http://schemas.microsoft.com/office/drawing/2014/main" id="{00000000-0008-0000-0A00-000036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40</xdr:row>
      <xdr:rowOff>39688</xdr:rowOff>
    </xdr:from>
    <xdr:to>
      <xdr:col>219</xdr:col>
      <xdr:colOff>460375</xdr:colOff>
      <xdr:row>40</xdr:row>
      <xdr:rowOff>293688</xdr:rowOff>
    </xdr:to>
    <xdr:pic>
      <xdr:nvPicPr>
        <xdr:cNvPr id="54585" name="Picture 54584">
          <a:extLst>
            <a:ext uri="{FF2B5EF4-FFF2-40B4-BE49-F238E27FC236}">
              <a16:creationId xmlns:a16="http://schemas.microsoft.com/office/drawing/2014/main" id="{00000000-0008-0000-0A00-000039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40</xdr:row>
      <xdr:rowOff>39688</xdr:rowOff>
    </xdr:from>
    <xdr:to>
      <xdr:col>171</xdr:col>
      <xdr:colOff>460375</xdr:colOff>
      <xdr:row>40</xdr:row>
      <xdr:rowOff>293688</xdr:rowOff>
    </xdr:to>
    <xdr:pic>
      <xdr:nvPicPr>
        <xdr:cNvPr id="54588" name="Picture 54587">
          <a:extLst>
            <a:ext uri="{FF2B5EF4-FFF2-40B4-BE49-F238E27FC236}">
              <a16:creationId xmlns:a16="http://schemas.microsoft.com/office/drawing/2014/main" id="{00000000-0008-0000-0A00-00003C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41</xdr:row>
      <xdr:rowOff>39688</xdr:rowOff>
    </xdr:from>
    <xdr:to>
      <xdr:col>207</xdr:col>
      <xdr:colOff>460375</xdr:colOff>
      <xdr:row>41</xdr:row>
      <xdr:rowOff>293688</xdr:rowOff>
    </xdr:to>
    <xdr:pic>
      <xdr:nvPicPr>
        <xdr:cNvPr id="54591" name="Picture 54590">
          <a:extLst>
            <a:ext uri="{FF2B5EF4-FFF2-40B4-BE49-F238E27FC236}">
              <a16:creationId xmlns:a16="http://schemas.microsoft.com/office/drawing/2014/main" id="{00000000-0008-0000-0A00-00003F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42</xdr:row>
      <xdr:rowOff>39688</xdr:rowOff>
    </xdr:from>
    <xdr:to>
      <xdr:col>231</xdr:col>
      <xdr:colOff>460375</xdr:colOff>
      <xdr:row>42</xdr:row>
      <xdr:rowOff>293688</xdr:rowOff>
    </xdr:to>
    <xdr:pic>
      <xdr:nvPicPr>
        <xdr:cNvPr id="54594" name="Picture 54593">
          <a:extLst>
            <a:ext uri="{FF2B5EF4-FFF2-40B4-BE49-F238E27FC236}">
              <a16:creationId xmlns:a16="http://schemas.microsoft.com/office/drawing/2014/main" id="{00000000-0008-0000-0A00-000042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42</xdr:row>
      <xdr:rowOff>39688</xdr:rowOff>
    </xdr:from>
    <xdr:to>
      <xdr:col>75</xdr:col>
      <xdr:colOff>460375</xdr:colOff>
      <xdr:row>42</xdr:row>
      <xdr:rowOff>293688</xdr:rowOff>
    </xdr:to>
    <xdr:pic>
      <xdr:nvPicPr>
        <xdr:cNvPr id="54597" name="Picture 54596">
          <a:extLst>
            <a:ext uri="{FF2B5EF4-FFF2-40B4-BE49-F238E27FC236}">
              <a16:creationId xmlns:a16="http://schemas.microsoft.com/office/drawing/2014/main" id="{00000000-0008-0000-0A00-000045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42</xdr:row>
      <xdr:rowOff>39688</xdr:rowOff>
    </xdr:from>
    <xdr:to>
      <xdr:col>15</xdr:col>
      <xdr:colOff>460375</xdr:colOff>
      <xdr:row>42</xdr:row>
      <xdr:rowOff>293688</xdr:rowOff>
    </xdr:to>
    <xdr:pic>
      <xdr:nvPicPr>
        <xdr:cNvPr id="54600" name="Picture 54599">
          <a:extLst>
            <a:ext uri="{FF2B5EF4-FFF2-40B4-BE49-F238E27FC236}">
              <a16:creationId xmlns:a16="http://schemas.microsoft.com/office/drawing/2014/main" id="{00000000-0008-0000-0A00-000048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41</xdr:row>
      <xdr:rowOff>39688</xdr:rowOff>
    </xdr:from>
    <xdr:to>
      <xdr:col>99</xdr:col>
      <xdr:colOff>460375</xdr:colOff>
      <xdr:row>41</xdr:row>
      <xdr:rowOff>293688</xdr:rowOff>
    </xdr:to>
    <xdr:pic>
      <xdr:nvPicPr>
        <xdr:cNvPr id="54603" name="Picture 54602">
          <a:extLst>
            <a:ext uri="{FF2B5EF4-FFF2-40B4-BE49-F238E27FC236}">
              <a16:creationId xmlns:a16="http://schemas.microsoft.com/office/drawing/2014/main" id="{00000000-0008-0000-0A00-00004B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42</xdr:row>
      <xdr:rowOff>39688</xdr:rowOff>
    </xdr:from>
    <xdr:to>
      <xdr:col>111</xdr:col>
      <xdr:colOff>460375</xdr:colOff>
      <xdr:row>42</xdr:row>
      <xdr:rowOff>293688</xdr:rowOff>
    </xdr:to>
    <xdr:pic>
      <xdr:nvPicPr>
        <xdr:cNvPr id="54606" name="Picture 54605">
          <a:extLst>
            <a:ext uri="{FF2B5EF4-FFF2-40B4-BE49-F238E27FC236}">
              <a16:creationId xmlns:a16="http://schemas.microsoft.com/office/drawing/2014/main" id="{00000000-0008-0000-0A00-00004E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42</xdr:row>
      <xdr:rowOff>39688</xdr:rowOff>
    </xdr:from>
    <xdr:to>
      <xdr:col>123</xdr:col>
      <xdr:colOff>460375</xdr:colOff>
      <xdr:row>42</xdr:row>
      <xdr:rowOff>293688</xdr:rowOff>
    </xdr:to>
    <xdr:pic>
      <xdr:nvPicPr>
        <xdr:cNvPr id="54609" name="Picture 54608">
          <a:extLst>
            <a:ext uri="{FF2B5EF4-FFF2-40B4-BE49-F238E27FC236}">
              <a16:creationId xmlns:a16="http://schemas.microsoft.com/office/drawing/2014/main" id="{00000000-0008-0000-0A00-000051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42</xdr:row>
      <xdr:rowOff>39688</xdr:rowOff>
    </xdr:from>
    <xdr:to>
      <xdr:col>183</xdr:col>
      <xdr:colOff>460375</xdr:colOff>
      <xdr:row>42</xdr:row>
      <xdr:rowOff>293688</xdr:rowOff>
    </xdr:to>
    <xdr:pic>
      <xdr:nvPicPr>
        <xdr:cNvPr id="54612" name="Picture 54611">
          <a:extLst>
            <a:ext uri="{FF2B5EF4-FFF2-40B4-BE49-F238E27FC236}">
              <a16:creationId xmlns:a16="http://schemas.microsoft.com/office/drawing/2014/main" id="{00000000-0008-0000-0A00-000054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39</xdr:row>
      <xdr:rowOff>39688</xdr:rowOff>
    </xdr:from>
    <xdr:to>
      <xdr:col>51</xdr:col>
      <xdr:colOff>460375</xdr:colOff>
      <xdr:row>39</xdr:row>
      <xdr:rowOff>293688</xdr:rowOff>
    </xdr:to>
    <xdr:pic>
      <xdr:nvPicPr>
        <xdr:cNvPr id="54615" name="Picture 54614">
          <a:extLst>
            <a:ext uri="{FF2B5EF4-FFF2-40B4-BE49-F238E27FC236}">
              <a16:creationId xmlns:a16="http://schemas.microsoft.com/office/drawing/2014/main" id="{00000000-0008-0000-0A00-000057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329848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41</xdr:row>
      <xdr:rowOff>39688</xdr:rowOff>
    </xdr:from>
    <xdr:to>
      <xdr:col>63</xdr:col>
      <xdr:colOff>460375</xdr:colOff>
      <xdr:row>41</xdr:row>
      <xdr:rowOff>293688</xdr:rowOff>
    </xdr:to>
    <xdr:pic>
      <xdr:nvPicPr>
        <xdr:cNvPr id="54618" name="Picture 54617">
          <a:extLst>
            <a:ext uri="{FF2B5EF4-FFF2-40B4-BE49-F238E27FC236}">
              <a16:creationId xmlns:a16="http://schemas.microsoft.com/office/drawing/2014/main" id="{00000000-0008-0000-0A00-00005A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42</xdr:row>
      <xdr:rowOff>39688</xdr:rowOff>
    </xdr:from>
    <xdr:to>
      <xdr:col>39</xdr:col>
      <xdr:colOff>460375</xdr:colOff>
      <xdr:row>42</xdr:row>
      <xdr:rowOff>293688</xdr:rowOff>
    </xdr:to>
    <xdr:pic>
      <xdr:nvPicPr>
        <xdr:cNvPr id="54621" name="Picture 54620">
          <a:extLst>
            <a:ext uri="{FF2B5EF4-FFF2-40B4-BE49-F238E27FC236}">
              <a16:creationId xmlns:a16="http://schemas.microsoft.com/office/drawing/2014/main" id="{00000000-0008-0000-0A00-00005D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41</xdr:row>
      <xdr:rowOff>39688</xdr:rowOff>
    </xdr:from>
    <xdr:to>
      <xdr:col>219</xdr:col>
      <xdr:colOff>460375</xdr:colOff>
      <xdr:row>41</xdr:row>
      <xdr:rowOff>293688</xdr:rowOff>
    </xdr:to>
    <xdr:pic>
      <xdr:nvPicPr>
        <xdr:cNvPr id="54624" name="Picture 54623">
          <a:extLst>
            <a:ext uri="{FF2B5EF4-FFF2-40B4-BE49-F238E27FC236}">
              <a16:creationId xmlns:a16="http://schemas.microsoft.com/office/drawing/2014/main" id="{00000000-0008-0000-0A00-000060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41</xdr:row>
      <xdr:rowOff>39688</xdr:rowOff>
    </xdr:from>
    <xdr:to>
      <xdr:col>135</xdr:col>
      <xdr:colOff>460375</xdr:colOff>
      <xdr:row>41</xdr:row>
      <xdr:rowOff>293688</xdr:rowOff>
    </xdr:to>
    <xdr:pic>
      <xdr:nvPicPr>
        <xdr:cNvPr id="54627" name="Picture 54626">
          <a:extLst>
            <a:ext uri="{FF2B5EF4-FFF2-40B4-BE49-F238E27FC236}">
              <a16:creationId xmlns:a16="http://schemas.microsoft.com/office/drawing/2014/main" id="{00000000-0008-0000-0A00-000063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40</xdr:row>
      <xdr:rowOff>39688</xdr:rowOff>
    </xdr:from>
    <xdr:to>
      <xdr:col>147</xdr:col>
      <xdr:colOff>460375</xdr:colOff>
      <xdr:row>40</xdr:row>
      <xdr:rowOff>293688</xdr:rowOff>
    </xdr:to>
    <xdr:pic>
      <xdr:nvPicPr>
        <xdr:cNvPr id="54630" name="Picture 54629">
          <a:extLst>
            <a:ext uri="{FF2B5EF4-FFF2-40B4-BE49-F238E27FC236}">
              <a16:creationId xmlns:a16="http://schemas.microsoft.com/office/drawing/2014/main" id="{00000000-0008-0000-0A00-000066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42</xdr:row>
      <xdr:rowOff>39688</xdr:rowOff>
    </xdr:from>
    <xdr:to>
      <xdr:col>3</xdr:col>
      <xdr:colOff>460375</xdr:colOff>
      <xdr:row>42</xdr:row>
      <xdr:rowOff>293688</xdr:rowOff>
    </xdr:to>
    <xdr:pic>
      <xdr:nvPicPr>
        <xdr:cNvPr id="54633" name="Picture 54632">
          <a:extLst>
            <a:ext uri="{FF2B5EF4-FFF2-40B4-BE49-F238E27FC236}">
              <a16:creationId xmlns:a16="http://schemas.microsoft.com/office/drawing/2014/main" id="{00000000-0008-0000-0A00-000069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42</xdr:row>
      <xdr:rowOff>39688</xdr:rowOff>
    </xdr:from>
    <xdr:to>
      <xdr:col>87</xdr:col>
      <xdr:colOff>460375</xdr:colOff>
      <xdr:row>42</xdr:row>
      <xdr:rowOff>293688</xdr:rowOff>
    </xdr:to>
    <xdr:pic>
      <xdr:nvPicPr>
        <xdr:cNvPr id="54636" name="Picture 54635">
          <a:extLst>
            <a:ext uri="{FF2B5EF4-FFF2-40B4-BE49-F238E27FC236}">
              <a16:creationId xmlns:a16="http://schemas.microsoft.com/office/drawing/2014/main" id="{00000000-0008-0000-0A00-00006C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41</xdr:row>
      <xdr:rowOff>39688</xdr:rowOff>
    </xdr:from>
    <xdr:to>
      <xdr:col>171</xdr:col>
      <xdr:colOff>460375</xdr:colOff>
      <xdr:row>41</xdr:row>
      <xdr:rowOff>293688</xdr:rowOff>
    </xdr:to>
    <xdr:pic>
      <xdr:nvPicPr>
        <xdr:cNvPr id="54639" name="Picture 54638">
          <a:extLst>
            <a:ext uri="{FF2B5EF4-FFF2-40B4-BE49-F238E27FC236}">
              <a16:creationId xmlns:a16="http://schemas.microsoft.com/office/drawing/2014/main" id="{00000000-0008-0000-0A00-00006F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42</xdr:row>
      <xdr:rowOff>39688</xdr:rowOff>
    </xdr:from>
    <xdr:to>
      <xdr:col>195</xdr:col>
      <xdr:colOff>460375</xdr:colOff>
      <xdr:row>42</xdr:row>
      <xdr:rowOff>293688</xdr:rowOff>
    </xdr:to>
    <xdr:pic>
      <xdr:nvPicPr>
        <xdr:cNvPr id="54642" name="Picture 54641">
          <a:extLst>
            <a:ext uri="{FF2B5EF4-FFF2-40B4-BE49-F238E27FC236}">
              <a16:creationId xmlns:a16="http://schemas.microsoft.com/office/drawing/2014/main" id="{00000000-0008-0000-0A00-000072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42</xdr:row>
      <xdr:rowOff>39688</xdr:rowOff>
    </xdr:from>
    <xdr:to>
      <xdr:col>27</xdr:col>
      <xdr:colOff>460375</xdr:colOff>
      <xdr:row>42</xdr:row>
      <xdr:rowOff>293688</xdr:rowOff>
    </xdr:to>
    <xdr:pic>
      <xdr:nvPicPr>
        <xdr:cNvPr id="54645" name="Picture 54644">
          <a:extLst>
            <a:ext uri="{FF2B5EF4-FFF2-40B4-BE49-F238E27FC236}">
              <a16:creationId xmlns:a16="http://schemas.microsoft.com/office/drawing/2014/main" id="{00000000-0008-0000-0A00-000075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42</xdr:row>
      <xdr:rowOff>39688</xdr:rowOff>
    </xdr:from>
    <xdr:to>
      <xdr:col>207</xdr:col>
      <xdr:colOff>460375</xdr:colOff>
      <xdr:row>42</xdr:row>
      <xdr:rowOff>293688</xdr:rowOff>
    </xdr:to>
    <xdr:pic>
      <xdr:nvPicPr>
        <xdr:cNvPr id="54648" name="Picture 54647">
          <a:extLst>
            <a:ext uri="{FF2B5EF4-FFF2-40B4-BE49-F238E27FC236}">
              <a16:creationId xmlns:a16="http://schemas.microsoft.com/office/drawing/2014/main" id="{00000000-0008-0000-0A00-000078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40</xdr:row>
      <xdr:rowOff>39688</xdr:rowOff>
    </xdr:from>
    <xdr:to>
      <xdr:col>159</xdr:col>
      <xdr:colOff>460375</xdr:colOff>
      <xdr:row>40</xdr:row>
      <xdr:rowOff>293688</xdr:rowOff>
    </xdr:to>
    <xdr:pic>
      <xdr:nvPicPr>
        <xdr:cNvPr id="54651" name="Picture 54650">
          <a:extLst>
            <a:ext uri="{FF2B5EF4-FFF2-40B4-BE49-F238E27FC236}">
              <a16:creationId xmlns:a16="http://schemas.microsoft.com/office/drawing/2014/main" id="{00000000-0008-0000-0A00-00007B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43</xdr:row>
      <xdr:rowOff>39688</xdr:rowOff>
    </xdr:from>
    <xdr:to>
      <xdr:col>75</xdr:col>
      <xdr:colOff>460375</xdr:colOff>
      <xdr:row>43</xdr:row>
      <xdr:rowOff>293688</xdr:rowOff>
    </xdr:to>
    <xdr:pic>
      <xdr:nvPicPr>
        <xdr:cNvPr id="54654" name="Picture 54653">
          <a:extLst>
            <a:ext uri="{FF2B5EF4-FFF2-40B4-BE49-F238E27FC236}">
              <a16:creationId xmlns:a16="http://schemas.microsoft.com/office/drawing/2014/main" id="{00000000-0008-0000-0A00-00007E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463198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42</xdr:row>
      <xdr:rowOff>39688</xdr:rowOff>
    </xdr:from>
    <xdr:to>
      <xdr:col>219</xdr:col>
      <xdr:colOff>460375</xdr:colOff>
      <xdr:row>42</xdr:row>
      <xdr:rowOff>293688</xdr:rowOff>
    </xdr:to>
    <xdr:pic>
      <xdr:nvPicPr>
        <xdr:cNvPr id="54657" name="Picture 54656">
          <a:extLst>
            <a:ext uri="{FF2B5EF4-FFF2-40B4-BE49-F238E27FC236}">
              <a16:creationId xmlns:a16="http://schemas.microsoft.com/office/drawing/2014/main" id="{00000000-0008-0000-0A00-000081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43</xdr:row>
      <xdr:rowOff>39688</xdr:rowOff>
    </xdr:from>
    <xdr:to>
      <xdr:col>39</xdr:col>
      <xdr:colOff>460375</xdr:colOff>
      <xdr:row>43</xdr:row>
      <xdr:rowOff>293688</xdr:rowOff>
    </xdr:to>
    <xdr:pic>
      <xdr:nvPicPr>
        <xdr:cNvPr id="54660" name="Picture 54659">
          <a:extLst>
            <a:ext uri="{FF2B5EF4-FFF2-40B4-BE49-F238E27FC236}">
              <a16:creationId xmlns:a16="http://schemas.microsoft.com/office/drawing/2014/main" id="{00000000-0008-0000-0A00-000084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463198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43</xdr:row>
      <xdr:rowOff>39688</xdr:rowOff>
    </xdr:from>
    <xdr:to>
      <xdr:col>183</xdr:col>
      <xdr:colOff>460375</xdr:colOff>
      <xdr:row>43</xdr:row>
      <xdr:rowOff>293688</xdr:rowOff>
    </xdr:to>
    <xdr:pic>
      <xdr:nvPicPr>
        <xdr:cNvPr id="54663" name="Picture 54662">
          <a:extLst>
            <a:ext uri="{FF2B5EF4-FFF2-40B4-BE49-F238E27FC236}">
              <a16:creationId xmlns:a16="http://schemas.microsoft.com/office/drawing/2014/main" id="{00000000-0008-0000-0A00-000087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4631988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40</xdr:row>
      <xdr:rowOff>39688</xdr:rowOff>
    </xdr:from>
    <xdr:to>
      <xdr:col>51</xdr:col>
      <xdr:colOff>460375</xdr:colOff>
      <xdr:row>40</xdr:row>
      <xdr:rowOff>293688</xdr:rowOff>
    </xdr:to>
    <xdr:pic>
      <xdr:nvPicPr>
        <xdr:cNvPr id="54666" name="Picture 54665">
          <a:extLst>
            <a:ext uri="{FF2B5EF4-FFF2-40B4-BE49-F238E27FC236}">
              <a16:creationId xmlns:a16="http://schemas.microsoft.com/office/drawing/2014/main" id="{00000000-0008-0000-0A00-00008A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363186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43</xdr:row>
      <xdr:rowOff>39688</xdr:rowOff>
    </xdr:from>
    <xdr:to>
      <xdr:col>231</xdr:col>
      <xdr:colOff>460375</xdr:colOff>
      <xdr:row>43</xdr:row>
      <xdr:rowOff>293688</xdr:rowOff>
    </xdr:to>
    <xdr:pic>
      <xdr:nvPicPr>
        <xdr:cNvPr id="54669" name="Picture 54668">
          <a:extLst>
            <a:ext uri="{FF2B5EF4-FFF2-40B4-BE49-F238E27FC236}">
              <a16:creationId xmlns:a16="http://schemas.microsoft.com/office/drawing/2014/main" id="{00000000-0008-0000-0A00-00008D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463198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43</xdr:row>
      <xdr:rowOff>39688</xdr:rowOff>
    </xdr:from>
    <xdr:to>
      <xdr:col>27</xdr:col>
      <xdr:colOff>460375</xdr:colOff>
      <xdr:row>43</xdr:row>
      <xdr:rowOff>293688</xdr:rowOff>
    </xdr:to>
    <xdr:pic>
      <xdr:nvPicPr>
        <xdr:cNvPr id="54672" name="Picture 54671">
          <a:extLst>
            <a:ext uri="{FF2B5EF4-FFF2-40B4-BE49-F238E27FC236}">
              <a16:creationId xmlns:a16="http://schemas.microsoft.com/office/drawing/2014/main" id="{00000000-0008-0000-0A00-000090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463198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43</xdr:row>
      <xdr:rowOff>39688</xdr:rowOff>
    </xdr:from>
    <xdr:to>
      <xdr:col>111</xdr:col>
      <xdr:colOff>460375</xdr:colOff>
      <xdr:row>43</xdr:row>
      <xdr:rowOff>293688</xdr:rowOff>
    </xdr:to>
    <xdr:pic>
      <xdr:nvPicPr>
        <xdr:cNvPr id="54675" name="Picture 54674">
          <a:extLst>
            <a:ext uri="{FF2B5EF4-FFF2-40B4-BE49-F238E27FC236}">
              <a16:creationId xmlns:a16="http://schemas.microsoft.com/office/drawing/2014/main" id="{00000000-0008-0000-0A00-000093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4631988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42</xdr:row>
      <xdr:rowOff>39688</xdr:rowOff>
    </xdr:from>
    <xdr:to>
      <xdr:col>99</xdr:col>
      <xdr:colOff>460375</xdr:colOff>
      <xdr:row>42</xdr:row>
      <xdr:rowOff>293688</xdr:rowOff>
    </xdr:to>
    <xdr:pic>
      <xdr:nvPicPr>
        <xdr:cNvPr id="54678" name="Picture 54677">
          <a:extLst>
            <a:ext uri="{FF2B5EF4-FFF2-40B4-BE49-F238E27FC236}">
              <a16:creationId xmlns:a16="http://schemas.microsoft.com/office/drawing/2014/main" id="{00000000-0008-0000-0A00-000096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41</xdr:row>
      <xdr:rowOff>39688</xdr:rowOff>
    </xdr:from>
    <xdr:to>
      <xdr:col>147</xdr:col>
      <xdr:colOff>460375</xdr:colOff>
      <xdr:row>41</xdr:row>
      <xdr:rowOff>293688</xdr:rowOff>
    </xdr:to>
    <xdr:pic>
      <xdr:nvPicPr>
        <xdr:cNvPr id="54681" name="Picture 54680">
          <a:extLst>
            <a:ext uri="{FF2B5EF4-FFF2-40B4-BE49-F238E27FC236}">
              <a16:creationId xmlns:a16="http://schemas.microsoft.com/office/drawing/2014/main" id="{00000000-0008-0000-0A00-000099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41</xdr:row>
      <xdr:rowOff>39688</xdr:rowOff>
    </xdr:from>
    <xdr:to>
      <xdr:col>159</xdr:col>
      <xdr:colOff>460375</xdr:colOff>
      <xdr:row>41</xdr:row>
      <xdr:rowOff>293688</xdr:rowOff>
    </xdr:to>
    <xdr:pic>
      <xdr:nvPicPr>
        <xdr:cNvPr id="54684" name="Picture 54683">
          <a:extLst>
            <a:ext uri="{FF2B5EF4-FFF2-40B4-BE49-F238E27FC236}">
              <a16:creationId xmlns:a16="http://schemas.microsoft.com/office/drawing/2014/main" id="{00000000-0008-0000-0A00-00009C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3965238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43</xdr:row>
      <xdr:rowOff>39688</xdr:rowOff>
    </xdr:from>
    <xdr:to>
      <xdr:col>15</xdr:col>
      <xdr:colOff>460375</xdr:colOff>
      <xdr:row>43</xdr:row>
      <xdr:rowOff>293688</xdr:rowOff>
    </xdr:to>
    <xdr:pic>
      <xdr:nvPicPr>
        <xdr:cNvPr id="54687" name="Picture 54686">
          <a:extLst>
            <a:ext uri="{FF2B5EF4-FFF2-40B4-BE49-F238E27FC236}">
              <a16:creationId xmlns:a16="http://schemas.microsoft.com/office/drawing/2014/main" id="{00000000-0008-0000-0A00-00009F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4631988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42</xdr:row>
      <xdr:rowOff>39688</xdr:rowOff>
    </xdr:from>
    <xdr:to>
      <xdr:col>171</xdr:col>
      <xdr:colOff>460375</xdr:colOff>
      <xdr:row>42</xdr:row>
      <xdr:rowOff>293688</xdr:rowOff>
    </xdr:to>
    <xdr:pic>
      <xdr:nvPicPr>
        <xdr:cNvPr id="54690" name="Picture 54689">
          <a:extLst>
            <a:ext uri="{FF2B5EF4-FFF2-40B4-BE49-F238E27FC236}">
              <a16:creationId xmlns:a16="http://schemas.microsoft.com/office/drawing/2014/main" id="{00000000-0008-0000-0A00-0000A2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43</xdr:row>
      <xdr:rowOff>39688</xdr:rowOff>
    </xdr:from>
    <xdr:to>
      <xdr:col>195</xdr:col>
      <xdr:colOff>460375</xdr:colOff>
      <xdr:row>43</xdr:row>
      <xdr:rowOff>293688</xdr:rowOff>
    </xdr:to>
    <xdr:pic>
      <xdr:nvPicPr>
        <xdr:cNvPr id="54693" name="Picture 54692">
          <a:extLst>
            <a:ext uri="{FF2B5EF4-FFF2-40B4-BE49-F238E27FC236}">
              <a16:creationId xmlns:a16="http://schemas.microsoft.com/office/drawing/2014/main" id="{00000000-0008-0000-0A00-0000A5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463198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42</xdr:row>
      <xdr:rowOff>39688</xdr:rowOff>
    </xdr:from>
    <xdr:to>
      <xdr:col>135</xdr:col>
      <xdr:colOff>460375</xdr:colOff>
      <xdr:row>42</xdr:row>
      <xdr:rowOff>293688</xdr:rowOff>
    </xdr:to>
    <xdr:pic>
      <xdr:nvPicPr>
        <xdr:cNvPr id="54696" name="Picture 54695">
          <a:extLst>
            <a:ext uri="{FF2B5EF4-FFF2-40B4-BE49-F238E27FC236}">
              <a16:creationId xmlns:a16="http://schemas.microsoft.com/office/drawing/2014/main" id="{00000000-0008-0000-0A00-0000A8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43</xdr:row>
      <xdr:rowOff>39688</xdr:rowOff>
    </xdr:from>
    <xdr:to>
      <xdr:col>207</xdr:col>
      <xdr:colOff>460375</xdr:colOff>
      <xdr:row>43</xdr:row>
      <xdr:rowOff>293688</xdr:rowOff>
    </xdr:to>
    <xdr:pic>
      <xdr:nvPicPr>
        <xdr:cNvPr id="54699" name="Picture 54698">
          <a:extLst>
            <a:ext uri="{FF2B5EF4-FFF2-40B4-BE49-F238E27FC236}">
              <a16:creationId xmlns:a16="http://schemas.microsoft.com/office/drawing/2014/main" id="{00000000-0008-0000-0A00-0000AB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463198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44</xdr:row>
      <xdr:rowOff>39688</xdr:rowOff>
    </xdr:from>
    <xdr:to>
      <xdr:col>123</xdr:col>
      <xdr:colOff>460375</xdr:colOff>
      <xdr:row>44</xdr:row>
      <xdr:rowOff>293688</xdr:rowOff>
    </xdr:to>
    <xdr:pic>
      <xdr:nvPicPr>
        <xdr:cNvPr id="54702" name="Picture 54701">
          <a:extLst>
            <a:ext uri="{FF2B5EF4-FFF2-40B4-BE49-F238E27FC236}">
              <a16:creationId xmlns:a16="http://schemas.microsoft.com/office/drawing/2014/main" id="{00000000-0008-0000-0A00-0000AE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496536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44</xdr:row>
      <xdr:rowOff>39688</xdr:rowOff>
    </xdr:from>
    <xdr:to>
      <xdr:col>87</xdr:col>
      <xdr:colOff>460375</xdr:colOff>
      <xdr:row>44</xdr:row>
      <xdr:rowOff>293688</xdr:rowOff>
    </xdr:to>
    <xdr:pic>
      <xdr:nvPicPr>
        <xdr:cNvPr id="54705" name="Picture 54704">
          <a:extLst>
            <a:ext uri="{FF2B5EF4-FFF2-40B4-BE49-F238E27FC236}">
              <a16:creationId xmlns:a16="http://schemas.microsoft.com/office/drawing/2014/main" id="{00000000-0008-0000-0A00-0000B1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4965363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44</xdr:row>
      <xdr:rowOff>39688</xdr:rowOff>
    </xdr:from>
    <xdr:to>
      <xdr:col>3</xdr:col>
      <xdr:colOff>460375</xdr:colOff>
      <xdr:row>44</xdr:row>
      <xdr:rowOff>293688</xdr:rowOff>
    </xdr:to>
    <xdr:pic>
      <xdr:nvPicPr>
        <xdr:cNvPr id="54708" name="Picture 54707">
          <a:extLst>
            <a:ext uri="{FF2B5EF4-FFF2-40B4-BE49-F238E27FC236}">
              <a16:creationId xmlns:a16="http://schemas.microsoft.com/office/drawing/2014/main" id="{00000000-0008-0000-0A00-0000B4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496536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43</xdr:row>
      <xdr:rowOff>39688</xdr:rowOff>
    </xdr:from>
    <xdr:to>
      <xdr:col>63</xdr:col>
      <xdr:colOff>460375</xdr:colOff>
      <xdr:row>43</xdr:row>
      <xdr:rowOff>293688</xdr:rowOff>
    </xdr:to>
    <xdr:pic>
      <xdr:nvPicPr>
        <xdr:cNvPr id="54711" name="Picture 54710">
          <a:extLst>
            <a:ext uri="{FF2B5EF4-FFF2-40B4-BE49-F238E27FC236}">
              <a16:creationId xmlns:a16="http://schemas.microsoft.com/office/drawing/2014/main" id="{00000000-0008-0000-0A00-0000B7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463198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44</xdr:row>
      <xdr:rowOff>39688</xdr:rowOff>
    </xdr:from>
    <xdr:to>
      <xdr:col>135</xdr:col>
      <xdr:colOff>460375</xdr:colOff>
      <xdr:row>44</xdr:row>
      <xdr:rowOff>293688</xdr:rowOff>
    </xdr:to>
    <xdr:pic>
      <xdr:nvPicPr>
        <xdr:cNvPr id="54714" name="Picture 54713">
          <a:extLst>
            <a:ext uri="{FF2B5EF4-FFF2-40B4-BE49-F238E27FC236}">
              <a16:creationId xmlns:a16="http://schemas.microsoft.com/office/drawing/2014/main" id="{00000000-0008-0000-0A00-0000BA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496536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44</xdr:row>
      <xdr:rowOff>39688</xdr:rowOff>
    </xdr:from>
    <xdr:to>
      <xdr:col>99</xdr:col>
      <xdr:colOff>460375</xdr:colOff>
      <xdr:row>44</xdr:row>
      <xdr:rowOff>293688</xdr:rowOff>
    </xdr:to>
    <xdr:pic>
      <xdr:nvPicPr>
        <xdr:cNvPr id="54717" name="Picture 54716">
          <a:extLst>
            <a:ext uri="{FF2B5EF4-FFF2-40B4-BE49-F238E27FC236}">
              <a16:creationId xmlns:a16="http://schemas.microsoft.com/office/drawing/2014/main" id="{00000000-0008-0000-0A00-0000BD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496536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43</xdr:row>
      <xdr:rowOff>39688</xdr:rowOff>
    </xdr:from>
    <xdr:to>
      <xdr:col>147</xdr:col>
      <xdr:colOff>460375</xdr:colOff>
      <xdr:row>43</xdr:row>
      <xdr:rowOff>293688</xdr:rowOff>
    </xdr:to>
    <xdr:pic>
      <xdr:nvPicPr>
        <xdr:cNvPr id="54720" name="Picture 54719">
          <a:extLst>
            <a:ext uri="{FF2B5EF4-FFF2-40B4-BE49-F238E27FC236}">
              <a16:creationId xmlns:a16="http://schemas.microsoft.com/office/drawing/2014/main" id="{00000000-0008-0000-0A00-0000C0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463198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44</xdr:row>
      <xdr:rowOff>39688</xdr:rowOff>
    </xdr:from>
    <xdr:to>
      <xdr:col>219</xdr:col>
      <xdr:colOff>460375</xdr:colOff>
      <xdr:row>44</xdr:row>
      <xdr:rowOff>293688</xdr:rowOff>
    </xdr:to>
    <xdr:pic>
      <xdr:nvPicPr>
        <xdr:cNvPr id="54723" name="Picture 54722">
          <a:extLst>
            <a:ext uri="{FF2B5EF4-FFF2-40B4-BE49-F238E27FC236}">
              <a16:creationId xmlns:a16="http://schemas.microsoft.com/office/drawing/2014/main" id="{00000000-0008-0000-0A00-0000C3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496536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42</xdr:row>
      <xdr:rowOff>39688</xdr:rowOff>
    </xdr:from>
    <xdr:to>
      <xdr:col>51</xdr:col>
      <xdr:colOff>460375</xdr:colOff>
      <xdr:row>42</xdr:row>
      <xdr:rowOff>293688</xdr:rowOff>
    </xdr:to>
    <xdr:pic>
      <xdr:nvPicPr>
        <xdr:cNvPr id="54726" name="Picture 54725">
          <a:extLst>
            <a:ext uri="{FF2B5EF4-FFF2-40B4-BE49-F238E27FC236}">
              <a16:creationId xmlns:a16="http://schemas.microsoft.com/office/drawing/2014/main" id="{00000000-0008-0000-0A00-0000C6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429861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43</xdr:row>
      <xdr:rowOff>39688</xdr:rowOff>
    </xdr:from>
    <xdr:to>
      <xdr:col>159</xdr:col>
      <xdr:colOff>460375</xdr:colOff>
      <xdr:row>43</xdr:row>
      <xdr:rowOff>293688</xdr:rowOff>
    </xdr:to>
    <xdr:pic>
      <xdr:nvPicPr>
        <xdr:cNvPr id="54729" name="Picture 54728">
          <a:extLst>
            <a:ext uri="{FF2B5EF4-FFF2-40B4-BE49-F238E27FC236}">
              <a16:creationId xmlns:a16="http://schemas.microsoft.com/office/drawing/2014/main" id="{00000000-0008-0000-0A00-0000C9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463198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45</xdr:row>
      <xdr:rowOff>39688</xdr:rowOff>
    </xdr:from>
    <xdr:to>
      <xdr:col>27</xdr:col>
      <xdr:colOff>460375</xdr:colOff>
      <xdr:row>45</xdr:row>
      <xdr:rowOff>293688</xdr:rowOff>
    </xdr:to>
    <xdr:pic>
      <xdr:nvPicPr>
        <xdr:cNvPr id="54732" name="Picture 54731">
          <a:extLst>
            <a:ext uri="{FF2B5EF4-FFF2-40B4-BE49-F238E27FC236}">
              <a16:creationId xmlns:a16="http://schemas.microsoft.com/office/drawing/2014/main" id="{00000000-0008-0000-0A00-0000CC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44</xdr:row>
      <xdr:rowOff>39688</xdr:rowOff>
    </xdr:from>
    <xdr:to>
      <xdr:col>63</xdr:col>
      <xdr:colOff>460375</xdr:colOff>
      <xdr:row>44</xdr:row>
      <xdr:rowOff>293688</xdr:rowOff>
    </xdr:to>
    <xdr:pic>
      <xdr:nvPicPr>
        <xdr:cNvPr id="54735" name="Picture 54734">
          <a:extLst>
            <a:ext uri="{FF2B5EF4-FFF2-40B4-BE49-F238E27FC236}">
              <a16:creationId xmlns:a16="http://schemas.microsoft.com/office/drawing/2014/main" id="{00000000-0008-0000-0A00-0000CF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496536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44</xdr:row>
      <xdr:rowOff>39688</xdr:rowOff>
    </xdr:from>
    <xdr:to>
      <xdr:col>147</xdr:col>
      <xdr:colOff>460375</xdr:colOff>
      <xdr:row>44</xdr:row>
      <xdr:rowOff>293688</xdr:rowOff>
    </xdr:to>
    <xdr:pic>
      <xdr:nvPicPr>
        <xdr:cNvPr id="54738" name="Picture 54737">
          <a:extLst>
            <a:ext uri="{FF2B5EF4-FFF2-40B4-BE49-F238E27FC236}">
              <a16:creationId xmlns:a16="http://schemas.microsoft.com/office/drawing/2014/main" id="{00000000-0008-0000-0A00-0000D2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496536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45</xdr:row>
      <xdr:rowOff>39688</xdr:rowOff>
    </xdr:from>
    <xdr:to>
      <xdr:col>111</xdr:col>
      <xdr:colOff>460375</xdr:colOff>
      <xdr:row>45</xdr:row>
      <xdr:rowOff>293688</xdr:rowOff>
    </xdr:to>
    <xdr:pic>
      <xdr:nvPicPr>
        <xdr:cNvPr id="54741" name="Picture 54740">
          <a:extLst>
            <a:ext uri="{FF2B5EF4-FFF2-40B4-BE49-F238E27FC236}">
              <a16:creationId xmlns:a16="http://schemas.microsoft.com/office/drawing/2014/main" id="{00000000-0008-0000-0A00-0000D5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45</xdr:row>
      <xdr:rowOff>39688</xdr:rowOff>
    </xdr:from>
    <xdr:to>
      <xdr:col>207</xdr:col>
      <xdr:colOff>460375</xdr:colOff>
      <xdr:row>45</xdr:row>
      <xdr:rowOff>293688</xdr:rowOff>
    </xdr:to>
    <xdr:pic>
      <xdr:nvPicPr>
        <xdr:cNvPr id="54744" name="Picture 54743">
          <a:extLst>
            <a:ext uri="{FF2B5EF4-FFF2-40B4-BE49-F238E27FC236}">
              <a16:creationId xmlns:a16="http://schemas.microsoft.com/office/drawing/2014/main" id="{00000000-0008-0000-0A00-0000D8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45</xdr:row>
      <xdr:rowOff>39688</xdr:rowOff>
    </xdr:from>
    <xdr:to>
      <xdr:col>75</xdr:col>
      <xdr:colOff>460375</xdr:colOff>
      <xdr:row>45</xdr:row>
      <xdr:rowOff>293688</xdr:rowOff>
    </xdr:to>
    <xdr:pic>
      <xdr:nvPicPr>
        <xdr:cNvPr id="54747" name="Picture 54746">
          <a:extLst>
            <a:ext uri="{FF2B5EF4-FFF2-40B4-BE49-F238E27FC236}">
              <a16:creationId xmlns:a16="http://schemas.microsoft.com/office/drawing/2014/main" id="{00000000-0008-0000-0A00-0000DB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45</xdr:row>
      <xdr:rowOff>39688</xdr:rowOff>
    </xdr:from>
    <xdr:to>
      <xdr:col>231</xdr:col>
      <xdr:colOff>460375</xdr:colOff>
      <xdr:row>45</xdr:row>
      <xdr:rowOff>293688</xdr:rowOff>
    </xdr:to>
    <xdr:pic>
      <xdr:nvPicPr>
        <xdr:cNvPr id="54750" name="Picture 54749">
          <a:extLst>
            <a:ext uri="{FF2B5EF4-FFF2-40B4-BE49-F238E27FC236}">
              <a16:creationId xmlns:a16="http://schemas.microsoft.com/office/drawing/2014/main" id="{00000000-0008-0000-0A00-0000DE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45</xdr:row>
      <xdr:rowOff>39688</xdr:rowOff>
    </xdr:from>
    <xdr:to>
      <xdr:col>15</xdr:col>
      <xdr:colOff>460375</xdr:colOff>
      <xdr:row>45</xdr:row>
      <xdr:rowOff>293688</xdr:rowOff>
    </xdr:to>
    <xdr:pic>
      <xdr:nvPicPr>
        <xdr:cNvPr id="54753" name="Picture 54752">
          <a:extLst>
            <a:ext uri="{FF2B5EF4-FFF2-40B4-BE49-F238E27FC236}">
              <a16:creationId xmlns:a16="http://schemas.microsoft.com/office/drawing/2014/main" id="{00000000-0008-0000-0A00-0000E1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45</xdr:row>
      <xdr:rowOff>39688</xdr:rowOff>
    </xdr:from>
    <xdr:to>
      <xdr:col>135</xdr:col>
      <xdr:colOff>460375</xdr:colOff>
      <xdr:row>45</xdr:row>
      <xdr:rowOff>293688</xdr:rowOff>
    </xdr:to>
    <xdr:pic>
      <xdr:nvPicPr>
        <xdr:cNvPr id="54756" name="Picture 54755">
          <a:extLst>
            <a:ext uri="{FF2B5EF4-FFF2-40B4-BE49-F238E27FC236}">
              <a16:creationId xmlns:a16="http://schemas.microsoft.com/office/drawing/2014/main" id="{00000000-0008-0000-0A00-0000E4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45</xdr:row>
      <xdr:rowOff>39688</xdr:rowOff>
    </xdr:from>
    <xdr:to>
      <xdr:col>39</xdr:col>
      <xdr:colOff>460375</xdr:colOff>
      <xdr:row>45</xdr:row>
      <xdr:rowOff>293688</xdr:rowOff>
    </xdr:to>
    <xdr:pic>
      <xdr:nvPicPr>
        <xdr:cNvPr id="54759" name="Picture 54758">
          <a:extLst>
            <a:ext uri="{FF2B5EF4-FFF2-40B4-BE49-F238E27FC236}">
              <a16:creationId xmlns:a16="http://schemas.microsoft.com/office/drawing/2014/main" id="{00000000-0008-0000-0A00-0000E7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44</xdr:row>
      <xdr:rowOff>39688</xdr:rowOff>
    </xdr:from>
    <xdr:to>
      <xdr:col>171</xdr:col>
      <xdr:colOff>460375</xdr:colOff>
      <xdr:row>44</xdr:row>
      <xdr:rowOff>293688</xdr:rowOff>
    </xdr:to>
    <xdr:pic>
      <xdr:nvPicPr>
        <xdr:cNvPr id="54762" name="Picture 54761">
          <a:extLst>
            <a:ext uri="{FF2B5EF4-FFF2-40B4-BE49-F238E27FC236}">
              <a16:creationId xmlns:a16="http://schemas.microsoft.com/office/drawing/2014/main" id="{00000000-0008-0000-0A00-0000EA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4965363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45</xdr:row>
      <xdr:rowOff>39688</xdr:rowOff>
    </xdr:from>
    <xdr:to>
      <xdr:col>3</xdr:col>
      <xdr:colOff>460375</xdr:colOff>
      <xdr:row>45</xdr:row>
      <xdr:rowOff>293688</xdr:rowOff>
    </xdr:to>
    <xdr:pic>
      <xdr:nvPicPr>
        <xdr:cNvPr id="54765" name="Picture 54764">
          <a:extLst>
            <a:ext uri="{FF2B5EF4-FFF2-40B4-BE49-F238E27FC236}">
              <a16:creationId xmlns:a16="http://schemas.microsoft.com/office/drawing/2014/main" id="{00000000-0008-0000-0A00-0000ED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45</xdr:row>
      <xdr:rowOff>39688</xdr:rowOff>
    </xdr:from>
    <xdr:to>
      <xdr:col>219</xdr:col>
      <xdr:colOff>460375</xdr:colOff>
      <xdr:row>45</xdr:row>
      <xdr:rowOff>293688</xdr:rowOff>
    </xdr:to>
    <xdr:pic>
      <xdr:nvPicPr>
        <xdr:cNvPr id="54768" name="Picture 54767">
          <a:extLst>
            <a:ext uri="{FF2B5EF4-FFF2-40B4-BE49-F238E27FC236}">
              <a16:creationId xmlns:a16="http://schemas.microsoft.com/office/drawing/2014/main" id="{00000000-0008-0000-0A00-0000F0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44</xdr:row>
      <xdr:rowOff>39688</xdr:rowOff>
    </xdr:from>
    <xdr:to>
      <xdr:col>159</xdr:col>
      <xdr:colOff>460375</xdr:colOff>
      <xdr:row>44</xdr:row>
      <xdr:rowOff>293688</xdr:rowOff>
    </xdr:to>
    <xdr:pic>
      <xdr:nvPicPr>
        <xdr:cNvPr id="54771" name="Picture 54770">
          <a:extLst>
            <a:ext uri="{FF2B5EF4-FFF2-40B4-BE49-F238E27FC236}">
              <a16:creationId xmlns:a16="http://schemas.microsoft.com/office/drawing/2014/main" id="{00000000-0008-0000-0A00-0000F3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496536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45</xdr:row>
      <xdr:rowOff>39688</xdr:rowOff>
    </xdr:from>
    <xdr:to>
      <xdr:col>99</xdr:col>
      <xdr:colOff>460375</xdr:colOff>
      <xdr:row>45</xdr:row>
      <xdr:rowOff>293688</xdr:rowOff>
    </xdr:to>
    <xdr:pic>
      <xdr:nvPicPr>
        <xdr:cNvPr id="54774" name="Picture 54773">
          <a:extLst>
            <a:ext uri="{FF2B5EF4-FFF2-40B4-BE49-F238E27FC236}">
              <a16:creationId xmlns:a16="http://schemas.microsoft.com/office/drawing/2014/main" id="{00000000-0008-0000-0A00-0000F6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45</xdr:row>
      <xdr:rowOff>39688</xdr:rowOff>
    </xdr:from>
    <xdr:to>
      <xdr:col>123</xdr:col>
      <xdr:colOff>460375</xdr:colOff>
      <xdr:row>45</xdr:row>
      <xdr:rowOff>293688</xdr:rowOff>
    </xdr:to>
    <xdr:pic>
      <xdr:nvPicPr>
        <xdr:cNvPr id="54777" name="Picture 54776">
          <a:extLst>
            <a:ext uri="{FF2B5EF4-FFF2-40B4-BE49-F238E27FC236}">
              <a16:creationId xmlns:a16="http://schemas.microsoft.com/office/drawing/2014/main" id="{00000000-0008-0000-0A00-0000F9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43</xdr:row>
      <xdr:rowOff>39688</xdr:rowOff>
    </xdr:from>
    <xdr:to>
      <xdr:col>51</xdr:col>
      <xdr:colOff>460375</xdr:colOff>
      <xdr:row>43</xdr:row>
      <xdr:rowOff>293688</xdr:rowOff>
    </xdr:to>
    <xdr:pic>
      <xdr:nvPicPr>
        <xdr:cNvPr id="54780" name="Picture 54779">
          <a:extLst>
            <a:ext uri="{FF2B5EF4-FFF2-40B4-BE49-F238E27FC236}">
              <a16:creationId xmlns:a16="http://schemas.microsoft.com/office/drawing/2014/main" id="{00000000-0008-0000-0A00-0000FC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463198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45</xdr:row>
      <xdr:rowOff>39688</xdr:rowOff>
    </xdr:from>
    <xdr:to>
      <xdr:col>87</xdr:col>
      <xdr:colOff>460375</xdr:colOff>
      <xdr:row>45</xdr:row>
      <xdr:rowOff>293688</xdr:rowOff>
    </xdr:to>
    <xdr:pic>
      <xdr:nvPicPr>
        <xdr:cNvPr id="54783" name="Picture 54782">
          <a:extLst>
            <a:ext uri="{FF2B5EF4-FFF2-40B4-BE49-F238E27FC236}">
              <a16:creationId xmlns:a16="http://schemas.microsoft.com/office/drawing/2014/main" id="{00000000-0008-0000-0A00-0000FF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45</xdr:row>
      <xdr:rowOff>39688</xdr:rowOff>
    </xdr:from>
    <xdr:to>
      <xdr:col>183</xdr:col>
      <xdr:colOff>460375</xdr:colOff>
      <xdr:row>45</xdr:row>
      <xdr:rowOff>293688</xdr:rowOff>
    </xdr:to>
    <xdr:pic>
      <xdr:nvPicPr>
        <xdr:cNvPr id="54786" name="Picture 54785">
          <a:extLst>
            <a:ext uri="{FF2B5EF4-FFF2-40B4-BE49-F238E27FC236}">
              <a16:creationId xmlns:a16="http://schemas.microsoft.com/office/drawing/2014/main" id="{00000000-0008-0000-0A00-000002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45</xdr:row>
      <xdr:rowOff>39688</xdr:rowOff>
    </xdr:from>
    <xdr:to>
      <xdr:col>195</xdr:col>
      <xdr:colOff>460375</xdr:colOff>
      <xdr:row>45</xdr:row>
      <xdr:rowOff>293688</xdr:rowOff>
    </xdr:to>
    <xdr:pic>
      <xdr:nvPicPr>
        <xdr:cNvPr id="54789" name="Picture 54788">
          <a:extLst>
            <a:ext uri="{FF2B5EF4-FFF2-40B4-BE49-F238E27FC236}">
              <a16:creationId xmlns:a16="http://schemas.microsoft.com/office/drawing/2014/main" id="{00000000-0008-0000-0A00-000005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46</xdr:row>
      <xdr:rowOff>39688</xdr:rowOff>
    </xdr:from>
    <xdr:to>
      <xdr:col>111</xdr:col>
      <xdr:colOff>460375</xdr:colOff>
      <xdr:row>46</xdr:row>
      <xdr:rowOff>293688</xdr:rowOff>
    </xdr:to>
    <xdr:pic>
      <xdr:nvPicPr>
        <xdr:cNvPr id="54792" name="Picture 54791">
          <a:extLst>
            <a:ext uri="{FF2B5EF4-FFF2-40B4-BE49-F238E27FC236}">
              <a16:creationId xmlns:a16="http://schemas.microsoft.com/office/drawing/2014/main" id="{00000000-0008-0000-0A00-000008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45</xdr:row>
      <xdr:rowOff>39688</xdr:rowOff>
    </xdr:from>
    <xdr:to>
      <xdr:col>171</xdr:col>
      <xdr:colOff>460375</xdr:colOff>
      <xdr:row>45</xdr:row>
      <xdr:rowOff>293688</xdr:rowOff>
    </xdr:to>
    <xdr:pic>
      <xdr:nvPicPr>
        <xdr:cNvPr id="54795" name="Picture 54794">
          <a:extLst>
            <a:ext uri="{FF2B5EF4-FFF2-40B4-BE49-F238E27FC236}">
              <a16:creationId xmlns:a16="http://schemas.microsoft.com/office/drawing/2014/main" id="{00000000-0008-0000-0A00-00000B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46</xdr:row>
      <xdr:rowOff>39688</xdr:rowOff>
    </xdr:from>
    <xdr:to>
      <xdr:col>15</xdr:col>
      <xdr:colOff>460375</xdr:colOff>
      <xdr:row>46</xdr:row>
      <xdr:rowOff>293688</xdr:rowOff>
    </xdr:to>
    <xdr:pic>
      <xdr:nvPicPr>
        <xdr:cNvPr id="54798" name="Picture 54797">
          <a:extLst>
            <a:ext uri="{FF2B5EF4-FFF2-40B4-BE49-F238E27FC236}">
              <a16:creationId xmlns:a16="http://schemas.microsoft.com/office/drawing/2014/main" id="{00000000-0008-0000-0A00-00000E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46</xdr:row>
      <xdr:rowOff>39688</xdr:rowOff>
    </xdr:from>
    <xdr:to>
      <xdr:col>207</xdr:col>
      <xdr:colOff>460375</xdr:colOff>
      <xdr:row>46</xdr:row>
      <xdr:rowOff>293688</xdr:rowOff>
    </xdr:to>
    <xdr:pic>
      <xdr:nvPicPr>
        <xdr:cNvPr id="54801" name="Picture 54800">
          <a:extLst>
            <a:ext uri="{FF2B5EF4-FFF2-40B4-BE49-F238E27FC236}">
              <a16:creationId xmlns:a16="http://schemas.microsoft.com/office/drawing/2014/main" id="{00000000-0008-0000-0A00-000011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45</xdr:row>
      <xdr:rowOff>39688</xdr:rowOff>
    </xdr:from>
    <xdr:to>
      <xdr:col>63</xdr:col>
      <xdr:colOff>460375</xdr:colOff>
      <xdr:row>45</xdr:row>
      <xdr:rowOff>293688</xdr:rowOff>
    </xdr:to>
    <xdr:pic>
      <xdr:nvPicPr>
        <xdr:cNvPr id="54804" name="Picture 54803">
          <a:extLst>
            <a:ext uri="{FF2B5EF4-FFF2-40B4-BE49-F238E27FC236}">
              <a16:creationId xmlns:a16="http://schemas.microsoft.com/office/drawing/2014/main" id="{00000000-0008-0000-0A00-000014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46</xdr:row>
      <xdr:rowOff>39688</xdr:rowOff>
    </xdr:from>
    <xdr:to>
      <xdr:col>183</xdr:col>
      <xdr:colOff>460375</xdr:colOff>
      <xdr:row>46</xdr:row>
      <xdr:rowOff>293688</xdr:rowOff>
    </xdr:to>
    <xdr:pic>
      <xdr:nvPicPr>
        <xdr:cNvPr id="54807" name="Picture 54806">
          <a:extLst>
            <a:ext uri="{FF2B5EF4-FFF2-40B4-BE49-F238E27FC236}">
              <a16:creationId xmlns:a16="http://schemas.microsoft.com/office/drawing/2014/main" id="{00000000-0008-0000-0A00-000017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46</xdr:row>
      <xdr:rowOff>39688</xdr:rowOff>
    </xdr:from>
    <xdr:to>
      <xdr:col>75</xdr:col>
      <xdr:colOff>460375</xdr:colOff>
      <xdr:row>46</xdr:row>
      <xdr:rowOff>293688</xdr:rowOff>
    </xdr:to>
    <xdr:pic>
      <xdr:nvPicPr>
        <xdr:cNvPr id="54810" name="Picture 54809">
          <a:extLst>
            <a:ext uri="{FF2B5EF4-FFF2-40B4-BE49-F238E27FC236}">
              <a16:creationId xmlns:a16="http://schemas.microsoft.com/office/drawing/2014/main" id="{00000000-0008-0000-0A00-00001A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46</xdr:row>
      <xdr:rowOff>39688</xdr:rowOff>
    </xdr:from>
    <xdr:to>
      <xdr:col>27</xdr:col>
      <xdr:colOff>460375</xdr:colOff>
      <xdr:row>46</xdr:row>
      <xdr:rowOff>293688</xdr:rowOff>
    </xdr:to>
    <xdr:pic>
      <xdr:nvPicPr>
        <xdr:cNvPr id="54813" name="Picture 54812">
          <a:extLst>
            <a:ext uri="{FF2B5EF4-FFF2-40B4-BE49-F238E27FC236}">
              <a16:creationId xmlns:a16="http://schemas.microsoft.com/office/drawing/2014/main" id="{00000000-0008-0000-0A00-00001D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45</xdr:row>
      <xdr:rowOff>39688</xdr:rowOff>
    </xdr:from>
    <xdr:to>
      <xdr:col>159</xdr:col>
      <xdr:colOff>460375</xdr:colOff>
      <xdr:row>45</xdr:row>
      <xdr:rowOff>293688</xdr:rowOff>
    </xdr:to>
    <xdr:pic>
      <xdr:nvPicPr>
        <xdr:cNvPr id="54816" name="Picture 54815">
          <a:extLst>
            <a:ext uri="{FF2B5EF4-FFF2-40B4-BE49-F238E27FC236}">
              <a16:creationId xmlns:a16="http://schemas.microsoft.com/office/drawing/2014/main" id="{00000000-0008-0000-0A00-000020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46</xdr:row>
      <xdr:rowOff>39688</xdr:rowOff>
    </xdr:from>
    <xdr:to>
      <xdr:col>231</xdr:col>
      <xdr:colOff>460375</xdr:colOff>
      <xdr:row>46</xdr:row>
      <xdr:rowOff>293688</xdr:rowOff>
    </xdr:to>
    <xdr:pic>
      <xdr:nvPicPr>
        <xdr:cNvPr id="54819" name="Picture 54818">
          <a:extLst>
            <a:ext uri="{FF2B5EF4-FFF2-40B4-BE49-F238E27FC236}">
              <a16:creationId xmlns:a16="http://schemas.microsoft.com/office/drawing/2014/main" id="{00000000-0008-0000-0A00-000023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46</xdr:row>
      <xdr:rowOff>39688</xdr:rowOff>
    </xdr:from>
    <xdr:to>
      <xdr:col>195</xdr:col>
      <xdr:colOff>460375</xdr:colOff>
      <xdr:row>46</xdr:row>
      <xdr:rowOff>293688</xdr:rowOff>
    </xdr:to>
    <xdr:pic>
      <xdr:nvPicPr>
        <xdr:cNvPr id="54822" name="Picture 54821">
          <a:extLst>
            <a:ext uri="{FF2B5EF4-FFF2-40B4-BE49-F238E27FC236}">
              <a16:creationId xmlns:a16="http://schemas.microsoft.com/office/drawing/2014/main" id="{00000000-0008-0000-0A00-000026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46</xdr:row>
      <xdr:rowOff>39688</xdr:rowOff>
    </xdr:from>
    <xdr:to>
      <xdr:col>99</xdr:col>
      <xdr:colOff>460375</xdr:colOff>
      <xdr:row>46</xdr:row>
      <xdr:rowOff>293688</xdr:rowOff>
    </xdr:to>
    <xdr:pic>
      <xdr:nvPicPr>
        <xdr:cNvPr id="54825" name="Picture 54824">
          <a:extLst>
            <a:ext uri="{FF2B5EF4-FFF2-40B4-BE49-F238E27FC236}">
              <a16:creationId xmlns:a16="http://schemas.microsoft.com/office/drawing/2014/main" id="{00000000-0008-0000-0A00-000029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46</xdr:row>
      <xdr:rowOff>39688</xdr:rowOff>
    </xdr:from>
    <xdr:to>
      <xdr:col>39</xdr:col>
      <xdr:colOff>460375</xdr:colOff>
      <xdr:row>46</xdr:row>
      <xdr:rowOff>293688</xdr:rowOff>
    </xdr:to>
    <xdr:pic>
      <xdr:nvPicPr>
        <xdr:cNvPr id="54828" name="Picture 54827">
          <a:extLst>
            <a:ext uri="{FF2B5EF4-FFF2-40B4-BE49-F238E27FC236}">
              <a16:creationId xmlns:a16="http://schemas.microsoft.com/office/drawing/2014/main" id="{00000000-0008-0000-0A00-00002C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46</xdr:row>
      <xdr:rowOff>39688</xdr:rowOff>
    </xdr:from>
    <xdr:to>
      <xdr:col>219</xdr:col>
      <xdr:colOff>460375</xdr:colOff>
      <xdr:row>46</xdr:row>
      <xdr:rowOff>293688</xdr:rowOff>
    </xdr:to>
    <xdr:pic>
      <xdr:nvPicPr>
        <xdr:cNvPr id="54831" name="Picture 54830">
          <a:extLst>
            <a:ext uri="{FF2B5EF4-FFF2-40B4-BE49-F238E27FC236}">
              <a16:creationId xmlns:a16="http://schemas.microsoft.com/office/drawing/2014/main" id="{00000000-0008-0000-0A00-00002F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46</xdr:row>
      <xdr:rowOff>39688</xdr:rowOff>
    </xdr:from>
    <xdr:to>
      <xdr:col>87</xdr:col>
      <xdr:colOff>460375</xdr:colOff>
      <xdr:row>46</xdr:row>
      <xdr:rowOff>293688</xdr:rowOff>
    </xdr:to>
    <xdr:pic>
      <xdr:nvPicPr>
        <xdr:cNvPr id="54834" name="Picture 54833">
          <a:extLst>
            <a:ext uri="{FF2B5EF4-FFF2-40B4-BE49-F238E27FC236}">
              <a16:creationId xmlns:a16="http://schemas.microsoft.com/office/drawing/2014/main" id="{00000000-0008-0000-0A00-000032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45</xdr:row>
      <xdr:rowOff>39688</xdr:rowOff>
    </xdr:from>
    <xdr:to>
      <xdr:col>147</xdr:col>
      <xdr:colOff>460375</xdr:colOff>
      <xdr:row>45</xdr:row>
      <xdr:rowOff>293688</xdr:rowOff>
    </xdr:to>
    <xdr:pic>
      <xdr:nvPicPr>
        <xdr:cNvPr id="54837" name="Picture 54836">
          <a:extLst>
            <a:ext uri="{FF2B5EF4-FFF2-40B4-BE49-F238E27FC236}">
              <a16:creationId xmlns:a16="http://schemas.microsoft.com/office/drawing/2014/main" id="{00000000-0008-0000-0A00-000035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46</xdr:row>
      <xdr:rowOff>39688</xdr:rowOff>
    </xdr:from>
    <xdr:to>
      <xdr:col>3</xdr:col>
      <xdr:colOff>460375</xdr:colOff>
      <xdr:row>46</xdr:row>
      <xdr:rowOff>293688</xdr:rowOff>
    </xdr:to>
    <xdr:pic>
      <xdr:nvPicPr>
        <xdr:cNvPr id="54840" name="Picture 54839">
          <a:extLst>
            <a:ext uri="{FF2B5EF4-FFF2-40B4-BE49-F238E27FC236}">
              <a16:creationId xmlns:a16="http://schemas.microsoft.com/office/drawing/2014/main" id="{00000000-0008-0000-0A00-000038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44</xdr:row>
      <xdr:rowOff>39688</xdr:rowOff>
    </xdr:from>
    <xdr:to>
      <xdr:col>51</xdr:col>
      <xdr:colOff>460375</xdr:colOff>
      <xdr:row>44</xdr:row>
      <xdr:rowOff>293688</xdr:rowOff>
    </xdr:to>
    <xdr:pic>
      <xdr:nvPicPr>
        <xdr:cNvPr id="54843" name="Picture 54842">
          <a:extLst>
            <a:ext uri="{FF2B5EF4-FFF2-40B4-BE49-F238E27FC236}">
              <a16:creationId xmlns:a16="http://schemas.microsoft.com/office/drawing/2014/main" id="{00000000-0008-0000-0A00-00003B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4965363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46</xdr:row>
      <xdr:rowOff>39688</xdr:rowOff>
    </xdr:from>
    <xdr:to>
      <xdr:col>123</xdr:col>
      <xdr:colOff>460375</xdr:colOff>
      <xdr:row>46</xdr:row>
      <xdr:rowOff>293688</xdr:rowOff>
    </xdr:to>
    <xdr:pic>
      <xdr:nvPicPr>
        <xdr:cNvPr id="54846" name="Picture 54845">
          <a:extLst>
            <a:ext uri="{FF2B5EF4-FFF2-40B4-BE49-F238E27FC236}">
              <a16:creationId xmlns:a16="http://schemas.microsoft.com/office/drawing/2014/main" id="{00000000-0008-0000-0A00-00003E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46</xdr:row>
      <xdr:rowOff>39688</xdr:rowOff>
    </xdr:from>
    <xdr:to>
      <xdr:col>135</xdr:col>
      <xdr:colOff>460375</xdr:colOff>
      <xdr:row>46</xdr:row>
      <xdr:rowOff>293688</xdr:rowOff>
    </xdr:to>
    <xdr:pic>
      <xdr:nvPicPr>
        <xdr:cNvPr id="54849" name="Picture 54848">
          <a:extLst>
            <a:ext uri="{FF2B5EF4-FFF2-40B4-BE49-F238E27FC236}">
              <a16:creationId xmlns:a16="http://schemas.microsoft.com/office/drawing/2014/main" id="{00000000-0008-0000-0A00-000041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46</xdr:row>
      <xdr:rowOff>39688</xdr:rowOff>
    </xdr:from>
    <xdr:to>
      <xdr:col>171</xdr:col>
      <xdr:colOff>460375</xdr:colOff>
      <xdr:row>46</xdr:row>
      <xdr:rowOff>293688</xdr:rowOff>
    </xdr:to>
    <xdr:pic>
      <xdr:nvPicPr>
        <xdr:cNvPr id="54852" name="Picture 54851">
          <a:extLst>
            <a:ext uri="{FF2B5EF4-FFF2-40B4-BE49-F238E27FC236}">
              <a16:creationId xmlns:a16="http://schemas.microsoft.com/office/drawing/2014/main" id="{00000000-0008-0000-0A00-000044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45</xdr:row>
      <xdr:rowOff>39688</xdr:rowOff>
    </xdr:from>
    <xdr:to>
      <xdr:col>51</xdr:col>
      <xdr:colOff>460375</xdr:colOff>
      <xdr:row>45</xdr:row>
      <xdr:rowOff>293688</xdr:rowOff>
    </xdr:to>
    <xdr:pic>
      <xdr:nvPicPr>
        <xdr:cNvPr id="54855" name="Picture 54854">
          <a:extLst>
            <a:ext uri="{FF2B5EF4-FFF2-40B4-BE49-F238E27FC236}">
              <a16:creationId xmlns:a16="http://schemas.microsoft.com/office/drawing/2014/main" id="{00000000-0008-0000-0A00-000047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5298738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47</xdr:row>
      <xdr:rowOff>39688</xdr:rowOff>
    </xdr:from>
    <xdr:to>
      <xdr:col>207</xdr:col>
      <xdr:colOff>460375</xdr:colOff>
      <xdr:row>47</xdr:row>
      <xdr:rowOff>293688</xdr:rowOff>
    </xdr:to>
    <xdr:pic>
      <xdr:nvPicPr>
        <xdr:cNvPr id="54858" name="Picture 54857">
          <a:extLst>
            <a:ext uri="{FF2B5EF4-FFF2-40B4-BE49-F238E27FC236}">
              <a16:creationId xmlns:a16="http://schemas.microsoft.com/office/drawing/2014/main" id="{00000000-0008-0000-0A00-00004A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47</xdr:row>
      <xdr:rowOff>39688</xdr:rowOff>
    </xdr:from>
    <xdr:to>
      <xdr:col>39</xdr:col>
      <xdr:colOff>460375</xdr:colOff>
      <xdr:row>47</xdr:row>
      <xdr:rowOff>293688</xdr:rowOff>
    </xdr:to>
    <xdr:pic>
      <xdr:nvPicPr>
        <xdr:cNvPr id="54861" name="Picture 54860">
          <a:extLst>
            <a:ext uri="{FF2B5EF4-FFF2-40B4-BE49-F238E27FC236}">
              <a16:creationId xmlns:a16="http://schemas.microsoft.com/office/drawing/2014/main" id="{00000000-0008-0000-0A00-00004D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47</xdr:row>
      <xdr:rowOff>39688</xdr:rowOff>
    </xdr:from>
    <xdr:to>
      <xdr:col>27</xdr:col>
      <xdr:colOff>460375</xdr:colOff>
      <xdr:row>47</xdr:row>
      <xdr:rowOff>293688</xdr:rowOff>
    </xdr:to>
    <xdr:pic>
      <xdr:nvPicPr>
        <xdr:cNvPr id="54864" name="Picture 54863">
          <a:extLst>
            <a:ext uri="{FF2B5EF4-FFF2-40B4-BE49-F238E27FC236}">
              <a16:creationId xmlns:a16="http://schemas.microsoft.com/office/drawing/2014/main" id="{00000000-0008-0000-0A00-000050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46</xdr:row>
      <xdr:rowOff>39688</xdr:rowOff>
    </xdr:from>
    <xdr:to>
      <xdr:col>159</xdr:col>
      <xdr:colOff>460375</xdr:colOff>
      <xdr:row>46</xdr:row>
      <xdr:rowOff>293688</xdr:rowOff>
    </xdr:to>
    <xdr:pic>
      <xdr:nvPicPr>
        <xdr:cNvPr id="54867" name="Picture 54866">
          <a:extLst>
            <a:ext uri="{FF2B5EF4-FFF2-40B4-BE49-F238E27FC236}">
              <a16:creationId xmlns:a16="http://schemas.microsoft.com/office/drawing/2014/main" id="{00000000-0008-0000-0A00-000053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47</xdr:row>
      <xdr:rowOff>39688</xdr:rowOff>
    </xdr:from>
    <xdr:to>
      <xdr:col>99</xdr:col>
      <xdr:colOff>460375</xdr:colOff>
      <xdr:row>47</xdr:row>
      <xdr:rowOff>293688</xdr:rowOff>
    </xdr:to>
    <xdr:pic>
      <xdr:nvPicPr>
        <xdr:cNvPr id="54870" name="Picture 54869">
          <a:extLst>
            <a:ext uri="{FF2B5EF4-FFF2-40B4-BE49-F238E27FC236}">
              <a16:creationId xmlns:a16="http://schemas.microsoft.com/office/drawing/2014/main" id="{00000000-0008-0000-0A00-000056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47</xdr:row>
      <xdr:rowOff>39688</xdr:rowOff>
    </xdr:from>
    <xdr:to>
      <xdr:col>75</xdr:col>
      <xdr:colOff>460375</xdr:colOff>
      <xdr:row>47</xdr:row>
      <xdr:rowOff>293688</xdr:rowOff>
    </xdr:to>
    <xdr:pic>
      <xdr:nvPicPr>
        <xdr:cNvPr id="54873" name="Picture 54872">
          <a:extLst>
            <a:ext uri="{FF2B5EF4-FFF2-40B4-BE49-F238E27FC236}">
              <a16:creationId xmlns:a16="http://schemas.microsoft.com/office/drawing/2014/main" id="{00000000-0008-0000-0A00-000059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47</xdr:row>
      <xdr:rowOff>39688</xdr:rowOff>
    </xdr:from>
    <xdr:to>
      <xdr:col>135</xdr:col>
      <xdr:colOff>460375</xdr:colOff>
      <xdr:row>47</xdr:row>
      <xdr:rowOff>293688</xdr:rowOff>
    </xdr:to>
    <xdr:pic>
      <xdr:nvPicPr>
        <xdr:cNvPr id="54876" name="Picture 54875">
          <a:extLst>
            <a:ext uri="{FF2B5EF4-FFF2-40B4-BE49-F238E27FC236}">
              <a16:creationId xmlns:a16="http://schemas.microsoft.com/office/drawing/2014/main" id="{00000000-0008-0000-0A00-00005C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47</xdr:row>
      <xdr:rowOff>39688</xdr:rowOff>
    </xdr:from>
    <xdr:to>
      <xdr:col>15</xdr:col>
      <xdr:colOff>460375</xdr:colOff>
      <xdr:row>47</xdr:row>
      <xdr:rowOff>293688</xdr:rowOff>
    </xdr:to>
    <xdr:pic>
      <xdr:nvPicPr>
        <xdr:cNvPr id="54879" name="Picture 54878">
          <a:extLst>
            <a:ext uri="{FF2B5EF4-FFF2-40B4-BE49-F238E27FC236}">
              <a16:creationId xmlns:a16="http://schemas.microsoft.com/office/drawing/2014/main" id="{00000000-0008-0000-0A00-00005F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47</xdr:row>
      <xdr:rowOff>39688</xdr:rowOff>
    </xdr:from>
    <xdr:to>
      <xdr:col>231</xdr:col>
      <xdr:colOff>460375</xdr:colOff>
      <xdr:row>47</xdr:row>
      <xdr:rowOff>293688</xdr:rowOff>
    </xdr:to>
    <xdr:pic>
      <xdr:nvPicPr>
        <xdr:cNvPr id="54882" name="Picture 54881">
          <a:extLst>
            <a:ext uri="{FF2B5EF4-FFF2-40B4-BE49-F238E27FC236}">
              <a16:creationId xmlns:a16="http://schemas.microsoft.com/office/drawing/2014/main" id="{00000000-0008-0000-0A00-000062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47</xdr:row>
      <xdr:rowOff>39688</xdr:rowOff>
    </xdr:from>
    <xdr:to>
      <xdr:col>87</xdr:col>
      <xdr:colOff>460375</xdr:colOff>
      <xdr:row>47</xdr:row>
      <xdr:rowOff>293688</xdr:rowOff>
    </xdr:to>
    <xdr:pic>
      <xdr:nvPicPr>
        <xdr:cNvPr id="54885" name="Picture 54884">
          <a:extLst>
            <a:ext uri="{FF2B5EF4-FFF2-40B4-BE49-F238E27FC236}">
              <a16:creationId xmlns:a16="http://schemas.microsoft.com/office/drawing/2014/main" id="{00000000-0008-0000-0A00-000065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47</xdr:row>
      <xdr:rowOff>39688</xdr:rowOff>
    </xdr:from>
    <xdr:to>
      <xdr:col>183</xdr:col>
      <xdr:colOff>460375</xdr:colOff>
      <xdr:row>47</xdr:row>
      <xdr:rowOff>293688</xdr:rowOff>
    </xdr:to>
    <xdr:pic>
      <xdr:nvPicPr>
        <xdr:cNvPr id="54888" name="Picture 54887">
          <a:extLst>
            <a:ext uri="{FF2B5EF4-FFF2-40B4-BE49-F238E27FC236}">
              <a16:creationId xmlns:a16="http://schemas.microsoft.com/office/drawing/2014/main" id="{00000000-0008-0000-0A00-000068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47</xdr:row>
      <xdr:rowOff>39688</xdr:rowOff>
    </xdr:from>
    <xdr:to>
      <xdr:col>3</xdr:col>
      <xdr:colOff>460375</xdr:colOff>
      <xdr:row>47</xdr:row>
      <xdr:rowOff>293688</xdr:rowOff>
    </xdr:to>
    <xdr:pic>
      <xdr:nvPicPr>
        <xdr:cNvPr id="54891" name="Picture 54890">
          <a:extLst>
            <a:ext uri="{FF2B5EF4-FFF2-40B4-BE49-F238E27FC236}">
              <a16:creationId xmlns:a16="http://schemas.microsoft.com/office/drawing/2014/main" id="{00000000-0008-0000-0A00-00006B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47</xdr:row>
      <xdr:rowOff>39688</xdr:rowOff>
    </xdr:from>
    <xdr:to>
      <xdr:col>219</xdr:col>
      <xdr:colOff>460375</xdr:colOff>
      <xdr:row>47</xdr:row>
      <xdr:rowOff>293688</xdr:rowOff>
    </xdr:to>
    <xdr:pic>
      <xdr:nvPicPr>
        <xdr:cNvPr id="54894" name="Picture 54893">
          <a:extLst>
            <a:ext uri="{FF2B5EF4-FFF2-40B4-BE49-F238E27FC236}">
              <a16:creationId xmlns:a16="http://schemas.microsoft.com/office/drawing/2014/main" id="{00000000-0008-0000-0A00-00006E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47</xdr:row>
      <xdr:rowOff>39688</xdr:rowOff>
    </xdr:from>
    <xdr:to>
      <xdr:col>111</xdr:col>
      <xdr:colOff>460375</xdr:colOff>
      <xdr:row>47</xdr:row>
      <xdr:rowOff>293688</xdr:rowOff>
    </xdr:to>
    <xdr:pic>
      <xdr:nvPicPr>
        <xdr:cNvPr id="54897" name="Picture 54896">
          <a:extLst>
            <a:ext uri="{FF2B5EF4-FFF2-40B4-BE49-F238E27FC236}">
              <a16:creationId xmlns:a16="http://schemas.microsoft.com/office/drawing/2014/main" id="{00000000-0008-0000-0A00-000071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46</xdr:row>
      <xdr:rowOff>39688</xdr:rowOff>
    </xdr:from>
    <xdr:to>
      <xdr:col>51</xdr:col>
      <xdr:colOff>460375</xdr:colOff>
      <xdr:row>46</xdr:row>
      <xdr:rowOff>293688</xdr:rowOff>
    </xdr:to>
    <xdr:pic>
      <xdr:nvPicPr>
        <xdr:cNvPr id="54900" name="Picture 54899">
          <a:extLst>
            <a:ext uri="{FF2B5EF4-FFF2-40B4-BE49-F238E27FC236}">
              <a16:creationId xmlns:a16="http://schemas.microsoft.com/office/drawing/2014/main" id="{00000000-0008-0000-0A00-000074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47</xdr:row>
      <xdr:rowOff>39688</xdr:rowOff>
    </xdr:from>
    <xdr:to>
      <xdr:col>195</xdr:col>
      <xdr:colOff>460375</xdr:colOff>
      <xdr:row>47</xdr:row>
      <xdr:rowOff>293688</xdr:rowOff>
    </xdr:to>
    <xdr:pic>
      <xdr:nvPicPr>
        <xdr:cNvPr id="54903" name="Picture 54902">
          <a:extLst>
            <a:ext uri="{FF2B5EF4-FFF2-40B4-BE49-F238E27FC236}">
              <a16:creationId xmlns:a16="http://schemas.microsoft.com/office/drawing/2014/main" id="{00000000-0008-0000-0A00-000077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46</xdr:row>
      <xdr:rowOff>39688</xdr:rowOff>
    </xdr:from>
    <xdr:to>
      <xdr:col>147</xdr:col>
      <xdr:colOff>460375</xdr:colOff>
      <xdr:row>46</xdr:row>
      <xdr:rowOff>293688</xdr:rowOff>
    </xdr:to>
    <xdr:pic>
      <xdr:nvPicPr>
        <xdr:cNvPr id="54906" name="Picture 54905">
          <a:extLst>
            <a:ext uri="{FF2B5EF4-FFF2-40B4-BE49-F238E27FC236}">
              <a16:creationId xmlns:a16="http://schemas.microsoft.com/office/drawing/2014/main" id="{00000000-0008-0000-0A00-00007A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46</xdr:row>
      <xdr:rowOff>39688</xdr:rowOff>
    </xdr:from>
    <xdr:to>
      <xdr:col>63</xdr:col>
      <xdr:colOff>460375</xdr:colOff>
      <xdr:row>46</xdr:row>
      <xdr:rowOff>293688</xdr:rowOff>
    </xdr:to>
    <xdr:pic>
      <xdr:nvPicPr>
        <xdr:cNvPr id="54909" name="Picture 54908">
          <a:extLst>
            <a:ext uri="{FF2B5EF4-FFF2-40B4-BE49-F238E27FC236}">
              <a16:creationId xmlns:a16="http://schemas.microsoft.com/office/drawing/2014/main" id="{00000000-0008-0000-0A00-00007D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563211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47</xdr:row>
      <xdr:rowOff>39688</xdr:rowOff>
    </xdr:from>
    <xdr:to>
      <xdr:col>171</xdr:col>
      <xdr:colOff>460375</xdr:colOff>
      <xdr:row>47</xdr:row>
      <xdr:rowOff>293688</xdr:rowOff>
    </xdr:to>
    <xdr:pic>
      <xdr:nvPicPr>
        <xdr:cNvPr id="54912" name="Picture 54911">
          <a:extLst>
            <a:ext uri="{FF2B5EF4-FFF2-40B4-BE49-F238E27FC236}">
              <a16:creationId xmlns:a16="http://schemas.microsoft.com/office/drawing/2014/main" id="{00000000-0008-0000-0A00-000080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47</xdr:row>
      <xdr:rowOff>39688</xdr:rowOff>
    </xdr:from>
    <xdr:to>
      <xdr:col>123</xdr:col>
      <xdr:colOff>460375</xdr:colOff>
      <xdr:row>47</xdr:row>
      <xdr:rowOff>293688</xdr:rowOff>
    </xdr:to>
    <xdr:pic>
      <xdr:nvPicPr>
        <xdr:cNvPr id="54915" name="Picture 54914">
          <a:extLst>
            <a:ext uri="{FF2B5EF4-FFF2-40B4-BE49-F238E27FC236}">
              <a16:creationId xmlns:a16="http://schemas.microsoft.com/office/drawing/2014/main" id="{00000000-0008-0000-0A00-000083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47</xdr:row>
      <xdr:rowOff>39688</xdr:rowOff>
    </xdr:from>
    <xdr:to>
      <xdr:col>51</xdr:col>
      <xdr:colOff>460375</xdr:colOff>
      <xdr:row>47</xdr:row>
      <xdr:rowOff>293688</xdr:rowOff>
    </xdr:to>
    <xdr:pic>
      <xdr:nvPicPr>
        <xdr:cNvPr id="54918" name="Picture 54917">
          <a:extLst>
            <a:ext uri="{FF2B5EF4-FFF2-40B4-BE49-F238E27FC236}">
              <a16:creationId xmlns:a16="http://schemas.microsoft.com/office/drawing/2014/main" id="{00000000-0008-0000-0A00-000086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47</xdr:row>
      <xdr:rowOff>39688</xdr:rowOff>
    </xdr:from>
    <xdr:to>
      <xdr:col>147</xdr:col>
      <xdr:colOff>460375</xdr:colOff>
      <xdr:row>47</xdr:row>
      <xdr:rowOff>293688</xdr:rowOff>
    </xdr:to>
    <xdr:pic>
      <xdr:nvPicPr>
        <xdr:cNvPr id="54921" name="Picture 54920">
          <a:extLst>
            <a:ext uri="{FF2B5EF4-FFF2-40B4-BE49-F238E27FC236}">
              <a16:creationId xmlns:a16="http://schemas.microsoft.com/office/drawing/2014/main" id="{00000000-0008-0000-0A00-000089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47</xdr:row>
      <xdr:rowOff>39688</xdr:rowOff>
    </xdr:from>
    <xdr:to>
      <xdr:col>159</xdr:col>
      <xdr:colOff>460375</xdr:colOff>
      <xdr:row>47</xdr:row>
      <xdr:rowOff>293688</xdr:rowOff>
    </xdr:to>
    <xdr:pic>
      <xdr:nvPicPr>
        <xdr:cNvPr id="54924" name="Picture 54923">
          <a:extLst>
            <a:ext uri="{FF2B5EF4-FFF2-40B4-BE49-F238E27FC236}">
              <a16:creationId xmlns:a16="http://schemas.microsoft.com/office/drawing/2014/main" id="{00000000-0008-0000-0A00-00008C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47</xdr:row>
      <xdr:rowOff>39688</xdr:rowOff>
    </xdr:from>
    <xdr:to>
      <xdr:col>63</xdr:col>
      <xdr:colOff>460375</xdr:colOff>
      <xdr:row>47</xdr:row>
      <xdr:rowOff>293688</xdr:rowOff>
    </xdr:to>
    <xdr:pic>
      <xdr:nvPicPr>
        <xdr:cNvPr id="54927" name="Picture 54926">
          <a:extLst>
            <a:ext uri="{FF2B5EF4-FFF2-40B4-BE49-F238E27FC236}">
              <a16:creationId xmlns:a16="http://schemas.microsoft.com/office/drawing/2014/main" id="{00000000-0008-0000-0A00-00008F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5965488"/>
          <a:ext cx="254000" cy="2540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48</xdr:row>
      <xdr:rowOff>39688</xdr:rowOff>
    </xdr:from>
    <xdr:to>
      <xdr:col>3</xdr:col>
      <xdr:colOff>460375</xdr:colOff>
      <xdr:row>48</xdr:row>
      <xdr:rowOff>293688</xdr:rowOff>
    </xdr:to>
    <xdr:pic>
      <xdr:nvPicPr>
        <xdr:cNvPr id="54930" name="Picture 54929">
          <a:extLst>
            <a:ext uri="{FF2B5EF4-FFF2-40B4-BE49-F238E27FC236}">
              <a16:creationId xmlns:a16="http://schemas.microsoft.com/office/drawing/2014/main" id="{00000000-0008-0000-0A00-000092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48</xdr:row>
      <xdr:rowOff>39688</xdr:rowOff>
    </xdr:from>
    <xdr:to>
      <xdr:col>231</xdr:col>
      <xdr:colOff>460375</xdr:colOff>
      <xdr:row>48</xdr:row>
      <xdr:rowOff>293688</xdr:rowOff>
    </xdr:to>
    <xdr:pic>
      <xdr:nvPicPr>
        <xdr:cNvPr id="54933" name="Picture 54932">
          <a:extLst>
            <a:ext uri="{FF2B5EF4-FFF2-40B4-BE49-F238E27FC236}">
              <a16:creationId xmlns:a16="http://schemas.microsoft.com/office/drawing/2014/main" id="{00000000-0008-0000-0A00-000095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5965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48</xdr:row>
      <xdr:rowOff>39688</xdr:rowOff>
    </xdr:from>
    <xdr:to>
      <xdr:col>15</xdr:col>
      <xdr:colOff>460375</xdr:colOff>
      <xdr:row>48</xdr:row>
      <xdr:rowOff>293688</xdr:rowOff>
    </xdr:to>
    <xdr:pic>
      <xdr:nvPicPr>
        <xdr:cNvPr id="54936" name="Picture 54935">
          <a:extLst>
            <a:ext uri="{FF2B5EF4-FFF2-40B4-BE49-F238E27FC236}">
              <a16:creationId xmlns:a16="http://schemas.microsoft.com/office/drawing/2014/main" id="{00000000-0008-0000-0A00-000098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555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48</xdr:row>
      <xdr:rowOff>39688</xdr:rowOff>
    </xdr:from>
    <xdr:to>
      <xdr:col>51</xdr:col>
      <xdr:colOff>460375</xdr:colOff>
      <xdr:row>48</xdr:row>
      <xdr:rowOff>293688</xdr:rowOff>
    </xdr:to>
    <xdr:pic>
      <xdr:nvPicPr>
        <xdr:cNvPr id="54939" name="Picture 54938">
          <a:extLst>
            <a:ext uri="{FF2B5EF4-FFF2-40B4-BE49-F238E27FC236}">
              <a16:creationId xmlns:a16="http://schemas.microsoft.com/office/drawing/2014/main" id="{00000000-0008-0000-0A00-00009B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530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48</xdr:row>
      <xdr:rowOff>39688</xdr:rowOff>
    </xdr:from>
    <xdr:to>
      <xdr:col>39</xdr:col>
      <xdr:colOff>460375</xdr:colOff>
      <xdr:row>48</xdr:row>
      <xdr:rowOff>293688</xdr:rowOff>
    </xdr:to>
    <xdr:pic>
      <xdr:nvPicPr>
        <xdr:cNvPr id="54942" name="Picture 54941">
          <a:extLst>
            <a:ext uri="{FF2B5EF4-FFF2-40B4-BE49-F238E27FC236}">
              <a16:creationId xmlns:a16="http://schemas.microsoft.com/office/drawing/2014/main" id="{00000000-0008-0000-0A00-00009E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0045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48</xdr:row>
      <xdr:rowOff>39688</xdr:rowOff>
    </xdr:from>
    <xdr:to>
      <xdr:col>147</xdr:col>
      <xdr:colOff>460375</xdr:colOff>
      <xdr:row>48</xdr:row>
      <xdr:rowOff>293688</xdr:rowOff>
    </xdr:to>
    <xdr:pic>
      <xdr:nvPicPr>
        <xdr:cNvPr id="54945" name="Picture 54944">
          <a:extLst>
            <a:ext uri="{FF2B5EF4-FFF2-40B4-BE49-F238E27FC236}">
              <a16:creationId xmlns:a16="http://schemas.microsoft.com/office/drawing/2014/main" id="{00000000-0008-0000-0A00-0000A1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90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48</xdr:row>
      <xdr:rowOff>39688</xdr:rowOff>
    </xdr:from>
    <xdr:to>
      <xdr:col>63</xdr:col>
      <xdr:colOff>460375</xdr:colOff>
      <xdr:row>48</xdr:row>
      <xdr:rowOff>293688</xdr:rowOff>
    </xdr:to>
    <xdr:pic>
      <xdr:nvPicPr>
        <xdr:cNvPr id="54948" name="Picture 54947">
          <a:extLst>
            <a:ext uri="{FF2B5EF4-FFF2-40B4-BE49-F238E27FC236}">
              <a16:creationId xmlns:a16="http://schemas.microsoft.com/office/drawing/2014/main" id="{00000000-0008-0000-0A00-0000A4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535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48</xdr:row>
      <xdr:rowOff>39688</xdr:rowOff>
    </xdr:from>
    <xdr:to>
      <xdr:col>171</xdr:col>
      <xdr:colOff>460375</xdr:colOff>
      <xdr:row>48</xdr:row>
      <xdr:rowOff>293688</xdr:rowOff>
    </xdr:to>
    <xdr:pic>
      <xdr:nvPicPr>
        <xdr:cNvPr id="54951" name="Picture 54950">
          <a:extLst>
            <a:ext uri="{FF2B5EF4-FFF2-40B4-BE49-F238E27FC236}">
              <a16:creationId xmlns:a16="http://schemas.microsoft.com/office/drawing/2014/main" id="{00000000-0008-0000-0A00-0000A7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4980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48</xdr:row>
      <xdr:rowOff>39688</xdr:rowOff>
    </xdr:from>
    <xdr:to>
      <xdr:col>75</xdr:col>
      <xdr:colOff>460375</xdr:colOff>
      <xdr:row>48</xdr:row>
      <xdr:rowOff>293688</xdr:rowOff>
    </xdr:to>
    <xdr:pic>
      <xdr:nvPicPr>
        <xdr:cNvPr id="54954" name="Picture 54953">
          <a:extLst>
            <a:ext uri="{FF2B5EF4-FFF2-40B4-BE49-F238E27FC236}">
              <a16:creationId xmlns:a16="http://schemas.microsoft.com/office/drawing/2014/main" id="{00000000-0008-0000-0A00-0000AA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020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48</xdr:row>
      <xdr:rowOff>39688</xdr:rowOff>
    </xdr:from>
    <xdr:to>
      <xdr:col>183</xdr:col>
      <xdr:colOff>460375</xdr:colOff>
      <xdr:row>48</xdr:row>
      <xdr:rowOff>293688</xdr:rowOff>
    </xdr:to>
    <xdr:pic>
      <xdr:nvPicPr>
        <xdr:cNvPr id="54957" name="Picture 54956">
          <a:extLst>
            <a:ext uri="{FF2B5EF4-FFF2-40B4-BE49-F238E27FC236}">
              <a16:creationId xmlns:a16="http://schemas.microsoft.com/office/drawing/2014/main" id="{00000000-0008-0000-0A00-0000AD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985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48</xdr:row>
      <xdr:rowOff>39688</xdr:rowOff>
    </xdr:from>
    <xdr:to>
      <xdr:col>87</xdr:col>
      <xdr:colOff>460375</xdr:colOff>
      <xdr:row>48</xdr:row>
      <xdr:rowOff>293688</xdr:rowOff>
    </xdr:to>
    <xdr:pic>
      <xdr:nvPicPr>
        <xdr:cNvPr id="54960" name="Picture 54959">
          <a:extLst>
            <a:ext uri="{FF2B5EF4-FFF2-40B4-BE49-F238E27FC236}">
              <a16:creationId xmlns:a16="http://schemas.microsoft.com/office/drawing/2014/main" id="{00000000-0008-0000-0A00-0000B0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025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48</xdr:row>
      <xdr:rowOff>39688</xdr:rowOff>
    </xdr:from>
    <xdr:to>
      <xdr:col>27</xdr:col>
      <xdr:colOff>460375</xdr:colOff>
      <xdr:row>48</xdr:row>
      <xdr:rowOff>293688</xdr:rowOff>
    </xdr:to>
    <xdr:pic>
      <xdr:nvPicPr>
        <xdr:cNvPr id="54963" name="Picture 54962">
          <a:extLst>
            <a:ext uri="{FF2B5EF4-FFF2-40B4-BE49-F238E27FC236}">
              <a16:creationId xmlns:a16="http://schemas.microsoft.com/office/drawing/2014/main" id="{00000000-0008-0000-0A00-0000B3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040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48</xdr:row>
      <xdr:rowOff>39688</xdr:rowOff>
    </xdr:from>
    <xdr:to>
      <xdr:col>111</xdr:col>
      <xdr:colOff>460375</xdr:colOff>
      <xdr:row>48</xdr:row>
      <xdr:rowOff>293688</xdr:rowOff>
    </xdr:to>
    <xdr:pic>
      <xdr:nvPicPr>
        <xdr:cNvPr id="54966" name="Picture 54965">
          <a:extLst>
            <a:ext uri="{FF2B5EF4-FFF2-40B4-BE49-F238E27FC236}">
              <a16:creationId xmlns:a16="http://schemas.microsoft.com/office/drawing/2014/main" id="{00000000-0008-0000-0A00-0000B6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48</xdr:row>
      <xdr:rowOff>39688</xdr:rowOff>
    </xdr:from>
    <xdr:to>
      <xdr:col>207</xdr:col>
      <xdr:colOff>460375</xdr:colOff>
      <xdr:row>48</xdr:row>
      <xdr:rowOff>293688</xdr:rowOff>
    </xdr:to>
    <xdr:pic>
      <xdr:nvPicPr>
        <xdr:cNvPr id="54969" name="Picture 54968">
          <a:extLst>
            <a:ext uri="{FF2B5EF4-FFF2-40B4-BE49-F238E27FC236}">
              <a16:creationId xmlns:a16="http://schemas.microsoft.com/office/drawing/2014/main" id="{00000000-0008-0000-0A00-0000B9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48</xdr:row>
      <xdr:rowOff>39688</xdr:rowOff>
    </xdr:from>
    <xdr:to>
      <xdr:col>123</xdr:col>
      <xdr:colOff>460375</xdr:colOff>
      <xdr:row>48</xdr:row>
      <xdr:rowOff>293688</xdr:rowOff>
    </xdr:to>
    <xdr:pic>
      <xdr:nvPicPr>
        <xdr:cNvPr id="54972" name="Picture 54971">
          <a:extLst>
            <a:ext uri="{FF2B5EF4-FFF2-40B4-BE49-F238E27FC236}">
              <a16:creationId xmlns:a16="http://schemas.microsoft.com/office/drawing/2014/main" id="{00000000-0008-0000-0A00-0000BC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48</xdr:row>
      <xdr:rowOff>39688</xdr:rowOff>
    </xdr:from>
    <xdr:to>
      <xdr:col>219</xdr:col>
      <xdr:colOff>460375</xdr:colOff>
      <xdr:row>48</xdr:row>
      <xdr:rowOff>293688</xdr:rowOff>
    </xdr:to>
    <xdr:pic>
      <xdr:nvPicPr>
        <xdr:cNvPr id="54975" name="Picture 54974">
          <a:extLst>
            <a:ext uri="{FF2B5EF4-FFF2-40B4-BE49-F238E27FC236}">
              <a16:creationId xmlns:a16="http://schemas.microsoft.com/office/drawing/2014/main" id="{00000000-0008-0000-0A00-0000BF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3960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48</xdr:row>
      <xdr:rowOff>39688</xdr:rowOff>
    </xdr:from>
    <xdr:to>
      <xdr:col>159</xdr:col>
      <xdr:colOff>460375</xdr:colOff>
      <xdr:row>48</xdr:row>
      <xdr:rowOff>293688</xdr:rowOff>
    </xdr:to>
    <xdr:pic>
      <xdr:nvPicPr>
        <xdr:cNvPr id="54978" name="Picture 54977">
          <a:extLst>
            <a:ext uri="{FF2B5EF4-FFF2-40B4-BE49-F238E27FC236}">
              <a16:creationId xmlns:a16="http://schemas.microsoft.com/office/drawing/2014/main" id="{00000000-0008-0000-0A00-0000C2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495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48</xdr:row>
      <xdr:rowOff>39688</xdr:rowOff>
    </xdr:from>
    <xdr:to>
      <xdr:col>99</xdr:col>
      <xdr:colOff>460375</xdr:colOff>
      <xdr:row>48</xdr:row>
      <xdr:rowOff>293688</xdr:rowOff>
    </xdr:to>
    <xdr:pic>
      <xdr:nvPicPr>
        <xdr:cNvPr id="54981" name="Picture 54980">
          <a:extLst>
            <a:ext uri="{FF2B5EF4-FFF2-40B4-BE49-F238E27FC236}">
              <a16:creationId xmlns:a16="http://schemas.microsoft.com/office/drawing/2014/main" id="{00000000-0008-0000-0A00-0000C5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510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48</xdr:row>
      <xdr:rowOff>39688</xdr:rowOff>
    </xdr:from>
    <xdr:to>
      <xdr:col>195</xdr:col>
      <xdr:colOff>460375</xdr:colOff>
      <xdr:row>48</xdr:row>
      <xdr:rowOff>293688</xdr:rowOff>
    </xdr:to>
    <xdr:pic>
      <xdr:nvPicPr>
        <xdr:cNvPr id="54984" name="Picture 54983">
          <a:extLst>
            <a:ext uri="{FF2B5EF4-FFF2-40B4-BE49-F238E27FC236}">
              <a16:creationId xmlns:a16="http://schemas.microsoft.com/office/drawing/2014/main" id="{00000000-0008-0000-0A00-0000C8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94700" y="16298863"/>
          <a:ext cx="254000" cy="2540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48</xdr:row>
      <xdr:rowOff>39688</xdr:rowOff>
    </xdr:from>
    <xdr:to>
      <xdr:col>135</xdr:col>
      <xdr:colOff>460375</xdr:colOff>
      <xdr:row>48</xdr:row>
      <xdr:rowOff>293688</xdr:rowOff>
    </xdr:to>
    <xdr:pic>
      <xdr:nvPicPr>
        <xdr:cNvPr id="54987" name="Picture 54986">
          <a:extLst>
            <a:ext uri="{FF2B5EF4-FFF2-40B4-BE49-F238E27FC236}">
              <a16:creationId xmlns:a16="http://schemas.microsoft.com/office/drawing/2014/main" id="{00000000-0008-0000-0A00-0000CB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80050" y="16298863"/>
          <a:ext cx="254000" cy="254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58738</xdr:colOff>
      <xdr:row>2</xdr:row>
      <xdr:rowOff>39688</xdr:rowOff>
    </xdr:from>
    <xdr:to>
      <xdr:col>2</xdr:col>
      <xdr:colOff>312738</xdr:colOff>
      <xdr:row>2</xdr:row>
      <xdr:rowOff>293688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731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</xdr:row>
      <xdr:rowOff>39688</xdr:rowOff>
    </xdr:from>
    <xdr:to>
      <xdr:col>6</xdr:col>
      <xdr:colOff>346075</xdr:colOff>
      <xdr:row>2</xdr:row>
      <xdr:rowOff>293688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731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</xdr:row>
      <xdr:rowOff>39688</xdr:rowOff>
    </xdr:from>
    <xdr:to>
      <xdr:col>2</xdr:col>
      <xdr:colOff>312738</xdr:colOff>
      <xdr:row>4</xdr:row>
      <xdr:rowOff>293688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398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</xdr:row>
      <xdr:rowOff>39688</xdr:rowOff>
    </xdr:from>
    <xdr:to>
      <xdr:col>6</xdr:col>
      <xdr:colOff>346075</xdr:colOff>
      <xdr:row>4</xdr:row>
      <xdr:rowOff>293688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398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</xdr:row>
      <xdr:rowOff>39688</xdr:rowOff>
    </xdr:from>
    <xdr:to>
      <xdr:col>2</xdr:col>
      <xdr:colOff>312738</xdr:colOff>
      <xdr:row>5</xdr:row>
      <xdr:rowOff>293688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732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</xdr:row>
      <xdr:rowOff>39688</xdr:rowOff>
    </xdr:from>
    <xdr:to>
      <xdr:col>6</xdr:col>
      <xdr:colOff>346075</xdr:colOff>
      <xdr:row>5</xdr:row>
      <xdr:rowOff>293688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732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6</xdr:row>
      <xdr:rowOff>39688</xdr:rowOff>
    </xdr:from>
    <xdr:to>
      <xdr:col>2</xdr:col>
      <xdr:colOff>312738</xdr:colOff>
      <xdr:row>6</xdr:row>
      <xdr:rowOff>293688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1066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6</xdr:row>
      <xdr:rowOff>39688</xdr:rowOff>
    </xdr:from>
    <xdr:to>
      <xdr:col>6</xdr:col>
      <xdr:colOff>346075</xdr:colOff>
      <xdr:row>6</xdr:row>
      <xdr:rowOff>293688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1066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7</xdr:row>
      <xdr:rowOff>39688</xdr:rowOff>
    </xdr:from>
    <xdr:to>
      <xdr:col>2</xdr:col>
      <xdr:colOff>312738</xdr:colOff>
      <xdr:row>7</xdr:row>
      <xdr:rowOff>293688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4399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7</xdr:row>
      <xdr:rowOff>39688</xdr:rowOff>
    </xdr:from>
    <xdr:to>
      <xdr:col>6</xdr:col>
      <xdr:colOff>346075</xdr:colOff>
      <xdr:row>7</xdr:row>
      <xdr:rowOff>293688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4399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8</xdr:row>
      <xdr:rowOff>39688</xdr:rowOff>
    </xdr:from>
    <xdr:to>
      <xdr:col>2</xdr:col>
      <xdr:colOff>312738</xdr:colOff>
      <xdr:row>8</xdr:row>
      <xdr:rowOff>293688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7733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8</xdr:row>
      <xdr:rowOff>39688</xdr:rowOff>
    </xdr:from>
    <xdr:to>
      <xdr:col>6</xdr:col>
      <xdr:colOff>346075</xdr:colOff>
      <xdr:row>8</xdr:row>
      <xdr:rowOff>293688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7733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9</xdr:row>
      <xdr:rowOff>39688</xdr:rowOff>
    </xdr:from>
    <xdr:to>
      <xdr:col>2</xdr:col>
      <xdr:colOff>312738</xdr:colOff>
      <xdr:row>9</xdr:row>
      <xdr:rowOff>293688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1067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9</xdr:row>
      <xdr:rowOff>39688</xdr:rowOff>
    </xdr:from>
    <xdr:to>
      <xdr:col>6</xdr:col>
      <xdr:colOff>346075</xdr:colOff>
      <xdr:row>9</xdr:row>
      <xdr:rowOff>293688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1067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11</xdr:row>
      <xdr:rowOff>39688</xdr:rowOff>
    </xdr:from>
    <xdr:to>
      <xdr:col>2</xdr:col>
      <xdr:colOff>312738</xdr:colOff>
      <xdr:row>11</xdr:row>
      <xdr:rowOff>293688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7734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11</xdr:row>
      <xdr:rowOff>39688</xdr:rowOff>
    </xdr:from>
    <xdr:to>
      <xdr:col>6</xdr:col>
      <xdr:colOff>346075</xdr:colOff>
      <xdr:row>11</xdr:row>
      <xdr:rowOff>293688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7734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12</xdr:row>
      <xdr:rowOff>39688</xdr:rowOff>
    </xdr:from>
    <xdr:to>
      <xdr:col>2</xdr:col>
      <xdr:colOff>312738</xdr:colOff>
      <xdr:row>12</xdr:row>
      <xdr:rowOff>293688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B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1068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12</xdr:row>
      <xdr:rowOff>39688</xdr:rowOff>
    </xdr:from>
    <xdr:to>
      <xdr:col>6</xdr:col>
      <xdr:colOff>346075</xdr:colOff>
      <xdr:row>12</xdr:row>
      <xdr:rowOff>293688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B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1068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13</xdr:row>
      <xdr:rowOff>39688</xdr:rowOff>
    </xdr:from>
    <xdr:to>
      <xdr:col>2</xdr:col>
      <xdr:colOff>312738</xdr:colOff>
      <xdr:row>13</xdr:row>
      <xdr:rowOff>293688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B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4402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13</xdr:row>
      <xdr:rowOff>39688</xdr:rowOff>
    </xdr:from>
    <xdr:to>
      <xdr:col>6</xdr:col>
      <xdr:colOff>346075</xdr:colOff>
      <xdr:row>13</xdr:row>
      <xdr:rowOff>293688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B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4402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17</xdr:row>
      <xdr:rowOff>39688</xdr:rowOff>
    </xdr:from>
    <xdr:to>
      <xdr:col>2</xdr:col>
      <xdr:colOff>312738</xdr:colOff>
      <xdr:row>17</xdr:row>
      <xdr:rowOff>293688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B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8404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17</xdr:row>
      <xdr:rowOff>39688</xdr:rowOff>
    </xdr:from>
    <xdr:to>
      <xdr:col>6</xdr:col>
      <xdr:colOff>346075</xdr:colOff>
      <xdr:row>17</xdr:row>
      <xdr:rowOff>293688</xdr:rowOff>
    </xdr:to>
    <xdr:pic>
      <xdr:nvPicPr>
        <xdr:cNvPr id="55042" name="Picture 55041">
          <a:extLst>
            <a:ext uri="{FF2B5EF4-FFF2-40B4-BE49-F238E27FC236}">
              <a16:creationId xmlns:a16="http://schemas.microsoft.com/office/drawing/2014/main" id="{00000000-0008-0000-0B00-000002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8404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18</xdr:row>
      <xdr:rowOff>39688</xdr:rowOff>
    </xdr:from>
    <xdr:to>
      <xdr:col>2</xdr:col>
      <xdr:colOff>312738</xdr:colOff>
      <xdr:row>18</xdr:row>
      <xdr:rowOff>293688</xdr:rowOff>
    </xdr:to>
    <xdr:pic>
      <xdr:nvPicPr>
        <xdr:cNvPr id="55045" name="Picture 55044">
          <a:extLst>
            <a:ext uri="{FF2B5EF4-FFF2-40B4-BE49-F238E27FC236}">
              <a16:creationId xmlns:a16="http://schemas.microsoft.com/office/drawing/2014/main" id="{00000000-0008-0000-0B00-000005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1737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18</xdr:row>
      <xdr:rowOff>39688</xdr:rowOff>
    </xdr:from>
    <xdr:to>
      <xdr:col>6</xdr:col>
      <xdr:colOff>346075</xdr:colOff>
      <xdr:row>18</xdr:row>
      <xdr:rowOff>293688</xdr:rowOff>
    </xdr:to>
    <xdr:pic>
      <xdr:nvPicPr>
        <xdr:cNvPr id="55048" name="Picture 55047">
          <a:extLst>
            <a:ext uri="{FF2B5EF4-FFF2-40B4-BE49-F238E27FC236}">
              <a16:creationId xmlns:a16="http://schemas.microsoft.com/office/drawing/2014/main" id="{00000000-0008-0000-0B00-000008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1737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19</xdr:row>
      <xdr:rowOff>39688</xdr:rowOff>
    </xdr:from>
    <xdr:to>
      <xdr:col>2</xdr:col>
      <xdr:colOff>312738</xdr:colOff>
      <xdr:row>19</xdr:row>
      <xdr:rowOff>293688</xdr:rowOff>
    </xdr:to>
    <xdr:pic>
      <xdr:nvPicPr>
        <xdr:cNvPr id="55051" name="Picture 55050">
          <a:extLst>
            <a:ext uri="{FF2B5EF4-FFF2-40B4-BE49-F238E27FC236}">
              <a16:creationId xmlns:a16="http://schemas.microsoft.com/office/drawing/2014/main" id="{00000000-0008-0000-0B00-00000B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5071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19</xdr:row>
      <xdr:rowOff>39688</xdr:rowOff>
    </xdr:from>
    <xdr:to>
      <xdr:col>6</xdr:col>
      <xdr:colOff>346075</xdr:colOff>
      <xdr:row>19</xdr:row>
      <xdr:rowOff>293688</xdr:rowOff>
    </xdr:to>
    <xdr:pic>
      <xdr:nvPicPr>
        <xdr:cNvPr id="55054" name="Picture 55053">
          <a:extLst>
            <a:ext uri="{FF2B5EF4-FFF2-40B4-BE49-F238E27FC236}">
              <a16:creationId xmlns:a16="http://schemas.microsoft.com/office/drawing/2014/main" id="{00000000-0008-0000-0B00-00000E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5071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20</xdr:row>
      <xdr:rowOff>39688</xdr:rowOff>
    </xdr:from>
    <xdr:to>
      <xdr:col>2</xdr:col>
      <xdr:colOff>312738</xdr:colOff>
      <xdr:row>20</xdr:row>
      <xdr:rowOff>293688</xdr:rowOff>
    </xdr:to>
    <xdr:pic>
      <xdr:nvPicPr>
        <xdr:cNvPr id="55057" name="Picture 55056">
          <a:extLst>
            <a:ext uri="{FF2B5EF4-FFF2-40B4-BE49-F238E27FC236}">
              <a16:creationId xmlns:a16="http://schemas.microsoft.com/office/drawing/2014/main" id="{00000000-0008-0000-0B00-000011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8405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20</xdr:row>
      <xdr:rowOff>39688</xdr:rowOff>
    </xdr:from>
    <xdr:to>
      <xdr:col>6</xdr:col>
      <xdr:colOff>346075</xdr:colOff>
      <xdr:row>20</xdr:row>
      <xdr:rowOff>293688</xdr:rowOff>
    </xdr:to>
    <xdr:pic>
      <xdr:nvPicPr>
        <xdr:cNvPr id="55060" name="Picture 55059">
          <a:extLst>
            <a:ext uri="{FF2B5EF4-FFF2-40B4-BE49-F238E27FC236}">
              <a16:creationId xmlns:a16="http://schemas.microsoft.com/office/drawing/2014/main" id="{00000000-0008-0000-0B00-000014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8405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21</xdr:row>
      <xdr:rowOff>39688</xdr:rowOff>
    </xdr:from>
    <xdr:to>
      <xdr:col>2</xdr:col>
      <xdr:colOff>312738</xdr:colOff>
      <xdr:row>21</xdr:row>
      <xdr:rowOff>293688</xdr:rowOff>
    </xdr:to>
    <xdr:pic>
      <xdr:nvPicPr>
        <xdr:cNvPr id="55063" name="Picture 55062">
          <a:extLst>
            <a:ext uri="{FF2B5EF4-FFF2-40B4-BE49-F238E27FC236}">
              <a16:creationId xmlns:a16="http://schemas.microsoft.com/office/drawing/2014/main" id="{00000000-0008-0000-0B00-000017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1739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21</xdr:row>
      <xdr:rowOff>39688</xdr:rowOff>
    </xdr:from>
    <xdr:to>
      <xdr:col>6</xdr:col>
      <xdr:colOff>346075</xdr:colOff>
      <xdr:row>21</xdr:row>
      <xdr:rowOff>293688</xdr:rowOff>
    </xdr:to>
    <xdr:pic>
      <xdr:nvPicPr>
        <xdr:cNvPr id="55066" name="Picture 55065">
          <a:extLst>
            <a:ext uri="{FF2B5EF4-FFF2-40B4-BE49-F238E27FC236}">
              <a16:creationId xmlns:a16="http://schemas.microsoft.com/office/drawing/2014/main" id="{00000000-0008-0000-0B00-00001A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1739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22</xdr:row>
      <xdr:rowOff>39688</xdr:rowOff>
    </xdr:from>
    <xdr:to>
      <xdr:col>2</xdr:col>
      <xdr:colOff>312738</xdr:colOff>
      <xdr:row>22</xdr:row>
      <xdr:rowOff>293688</xdr:rowOff>
    </xdr:to>
    <xdr:pic>
      <xdr:nvPicPr>
        <xdr:cNvPr id="55069" name="Picture 55068">
          <a:extLst>
            <a:ext uri="{FF2B5EF4-FFF2-40B4-BE49-F238E27FC236}">
              <a16:creationId xmlns:a16="http://schemas.microsoft.com/office/drawing/2014/main" id="{00000000-0008-0000-0B00-00001D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5072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22</xdr:row>
      <xdr:rowOff>39688</xdr:rowOff>
    </xdr:from>
    <xdr:to>
      <xdr:col>6</xdr:col>
      <xdr:colOff>346075</xdr:colOff>
      <xdr:row>22</xdr:row>
      <xdr:rowOff>293688</xdr:rowOff>
    </xdr:to>
    <xdr:pic>
      <xdr:nvPicPr>
        <xdr:cNvPr id="55072" name="Picture 55071">
          <a:extLst>
            <a:ext uri="{FF2B5EF4-FFF2-40B4-BE49-F238E27FC236}">
              <a16:creationId xmlns:a16="http://schemas.microsoft.com/office/drawing/2014/main" id="{00000000-0008-0000-0B00-000020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5072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23</xdr:row>
      <xdr:rowOff>39688</xdr:rowOff>
    </xdr:from>
    <xdr:to>
      <xdr:col>2</xdr:col>
      <xdr:colOff>312738</xdr:colOff>
      <xdr:row>23</xdr:row>
      <xdr:rowOff>293688</xdr:rowOff>
    </xdr:to>
    <xdr:pic>
      <xdr:nvPicPr>
        <xdr:cNvPr id="55075" name="Picture 55074">
          <a:extLst>
            <a:ext uri="{FF2B5EF4-FFF2-40B4-BE49-F238E27FC236}">
              <a16:creationId xmlns:a16="http://schemas.microsoft.com/office/drawing/2014/main" id="{00000000-0008-0000-0B00-000023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8406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23</xdr:row>
      <xdr:rowOff>39688</xdr:rowOff>
    </xdr:from>
    <xdr:to>
      <xdr:col>6</xdr:col>
      <xdr:colOff>346075</xdr:colOff>
      <xdr:row>23</xdr:row>
      <xdr:rowOff>293688</xdr:rowOff>
    </xdr:to>
    <xdr:pic>
      <xdr:nvPicPr>
        <xdr:cNvPr id="55078" name="Picture 55077">
          <a:extLst>
            <a:ext uri="{FF2B5EF4-FFF2-40B4-BE49-F238E27FC236}">
              <a16:creationId xmlns:a16="http://schemas.microsoft.com/office/drawing/2014/main" id="{00000000-0008-0000-0B00-000026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8406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25</xdr:row>
      <xdr:rowOff>39688</xdr:rowOff>
    </xdr:from>
    <xdr:to>
      <xdr:col>2</xdr:col>
      <xdr:colOff>312738</xdr:colOff>
      <xdr:row>25</xdr:row>
      <xdr:rowOff>293688</xdr:rowOff>
    </xdr:to>
    <xdr:pic>
      <xdr:nvPicPr>
        <xdr:cNvPr id="55081" name="Picture 55080">
          <a:extLst>
            <a:ext uri="{FF2B5EF4-FFF2-40B4-BE49-F238E27FC236}">
              <a16:creationId xmlns:a16="http://schemas.microsoft.com/office/drawing/2014/main" id="{00000000-0008-0000-0B00-000029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5074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25</xdr:row>
      <xdr:rowOff>39688</xdr:rowOff>
    </xdr:from>
    <xdr:to>
      <xdr:col>6</xdr:col>
      <xdr:colOff>346075</xdr:colOff>
      <xdr:row>25</xdr:row>
      <xdr:rowOff>293688</xdr:rowOff>
    </xdr:to>
    <xdr:pic>
      <xdr:nvPicPr>
        <xdr:cNvPr id="55084" name="Picture 55083">
          <a:extLst>
            <a:ext uri="{FF2B5EF4-FFF2-40B4-BE49-F238E27FC236}">
              <a16:creationId xmlns:a16="http://schemas.microsoft.com/office/drawing/2014/main" id="{00000000-0008-0000-0B00-00002C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5074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26</xdr:row>
      <xdr:rowOff>39688</xdr:rowOff>
    </xdr:from>
    <xdr:to>
      <xdr:col>2</xdr:col>
      <xdr:colOff>312738</xdr:colOff>
      <xdr:row>26</xdr:row>
      <xdr:rowOff>293688</xdr:rowOff>
    </xdr:to>
    <xdr:pic>
      <xdr:nvPicPr>
        <xdr:cNvPr id="55087" name="Picture 55086">
          <a:extLst>
            <a:ext uri="{FF2B5EF4-FFF2-40B4-BE49-F238E27FC236}">
              <a16:creationId xmlns:a16="http://schemas.microsoft.com/office/drawing/2014/main" id="{00000000-0008-0000-0B00-00002F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8407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26</xdr:row>
      <xdr:rowOff>39688</xdr:rowOff>
    </xdr:from>
    <xdr:to>
      <xdr:col>6</xdr:col>
      <xdr:colOff>346075</xdr:colOff>
      <xdr:row>26</xdr:row>
      <xdr:rowOff>293688</xdr:rowOff>
    </xdr:to>
    <xdr:pic>
      <xdr:nvPicPr>
        <xdr:cNvPr id="55090" name="Picture 55089">
          <a:extLst>
            <a:ext uri="{FF2B5EF4-FFF2-40B4-BE49-F238E27FC236}">
              <a16:creationId xmlns:a16="http://schemas.microsoft.com/office/drawing/2014/main" id="{00000000-0008-0000-0B00-000032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8407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28</xdr:row>
      <xdr:rowOff>39688</xdr:rowOff>
    </xdr:from>
    <xdr:to>
      <xdr:col>2</xdr:col>
      <xdr:colOff>312738</xdr:colOff>
      <xdr:row>28</xdr:row>
      <xdr:rowOff>293688</xdr:rowOff>
    </xdr:to>
    <xdr:pic>
      <xdr:nvPicPr>
        <xdr:cNvPr id="55093" name="Picture 55092">
          <a:extLst>
            <a:ext uri="{FF2B5EF4-FFF2-40B4-BE49-F238E27FC236}">
              <a16:creationId xmlns:a16="http://schemas.microsoft.com/office/drawing/2014/main" id="{00000000-0008-0000-0B00-000035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5075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28</xdr:row>
      <xdr:rowOff>39688</xdr:rowOff>
    </xdr:from>
    <xdr:to>
      <xdr:col>6</xdr:col>
      <xdr:colOff>346075</xdr:colOff>
      <xdr:row>28</xdr:row>
      <xdr:rowOff>293688</xdr:rowOff>
    </xdr:to>
    <xdr:pic>
      <xdr:nvPicPr>
        <xdr:cNvPr id="55096" name="Picture 55095">
          <a:extLst>
            <a:ext uri="{FF2B5EF4-FFF2-40B4-BE49-F238E27FC236}">
              <a16:creationId xmlns:a16="http://schemas.microsoft.com/office/drawing/2014/main" id="{00000000-0008-0000-0B00-000038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5075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32</xdr:row>
      <xdr:rowOff>39688</xdr:rowOff>
    </xdr:from>
    <xdr:to>
      <xdr:col>2</xdr:col>
      <xdr:colOff>312738</xdr:colOff>
      <xdr:row>32</xdr:row>
      <xdr:rowOff>293688</xdr:rowOff>
    </xdr:to>
    <xdr:pic>
      <xdr:nvPicPr>
        <xdr:cNvPr id="55099" name="Picture 55098">
          <a:extLst>
            <a:ext uri="{FF2B5EF4-FFF2-40B4-BE49-F238E27FC236}">
              <a16:creationId xmlns:a16="http://schemas.microsoft.com/office/drawing/2014/main" id="{00000000-0008-0000-0B00-00003B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9077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32</xdr:row>
      <xdr:rowOff>39688</xdr:rowOff>
    </xdr:from>
    <xdr:to>
      <xdr:col>6</xdr:col>
      <xdr:colOff>346075</xdr:colOff>
      <xdr:row>32</xdr:row>
      <xdr:rowOff>293688</xdr:rowOff>
    </xdr:to>
    <xdr:pic>
      <xdr:nvPicPr>
        <xdr:cNvPr id="55102" name="Picture 55101">
          <a:extLst>
            <a:ext uri="{FF2B5EF4-FFF2-40B4-BE49-F238E27FC236}">
              <a16:creationId xmlns:a16="http://schemas.microsoft.com/office/drawing/2014/main" id="{00000000-0008-0000-0B00-00003E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9077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33</xdr:row>
      <xdr:rowOff>39688</xdr:rowOff>
    </xdr:from>
    <xdr:to>
      <xdr:col>2</xdr:col>
      <xdr:colOff>312738</xdr:colOff>
      <xdr:row>33</xdr:row>
      <xdr:rowOff>293688</xdr:rowOff>
    </xdr:to>
    <xdr:pic>
      <xdr:nvPicPr>
        <xdr:cNvPr id="55105" name="Picture 55104">
          <a:extLst>
            <a:ext uri="{FF2B5EF4-FFF2-40B4-BE49-F238E27FC236}">
              <a16:creationId xmlns:a16="http://schemas.microsoft.com/office/drawing/2014/main" id="{00000000-0008-0000-0B00-000041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2410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33</xdr:row>
      <xdr:rowOff>39688</xdr:rowOff>
    </xdr:from>
    <xdr:to>
      <xdr:col>6</xdr:col>
      <xdr:colOff>346075</xdr:colOff>
      <xdr:row>33</xdr:row>
      <xdr:rowOff>293688</xdr:rowOff>
    </xdr:to>
    <xdr:pic>
      <xdr:nvPicPr>
        <xdr:cNvPr id="55108" name="Picture 55107">
          <a:extLst>
            <a:ext uri="{FF2B5EF4-FFF2-40B4-BE49-F238E27FC236}">
              <a16:creationId xmlns:a16="http://schemas.microsoft.com/office/drawing/2014/main" id="{00000000-0008-0000-0B00-000044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2410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34</xdr:row>
      <xdr:rowOff>39688</xdr:rowOff>
    </xdr:from>
    <xdr:to>
      <xdr:col>2</xdr:col>
      <xdr:colOff>312738</xdr:colOff>
      <xdr:row>34</xdr:row>
      <xdr:rowOff>293688</xdr:rowOff>
    </xdr:to>
    <xdr:pic>
      <xdr:nvPicPr>
        <xdr:cNvPr id="55111" name="Picture 55110">
          <a:extLst>
            <a:ext uri="{FF2B5EF4-FFF2-40B4-BE49-F238E27FC236}">
              <a16:creationId xmlns:a16="http://schemas.microsoft.com/office/drawing/2014/main" id="{00000000-0008-0000-0B00-000047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5744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34</xdr:row>
      <xdr:rowOff>39688</xdr:rowOff>
    </xdr:from>
    <xdr:to>
      <xdr:col>6</xdr:col>
      <xdr:colOff>346075</xdr:colOff>
      <xdr:row>34</xdr:row>
      <xdr:rowOff>293688</xdr:rowOff>
    </xdr:to>
    <xdr:pic>
      <xdr:nvPicPr>
        <xdr:cNvPr id="55114" name="Picture 55113">
          <a:extLst>
            <a:ext uri="{FF2B5EF4-FFF2-40B4-BE49-F238E27FC236}">
              <a16:creationId xmlns:a16="http://schemas.microsoft.com/office/drawing/2014/main" id="{00000000-0008-0000-0B00-00004A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5744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35</xdr:row>
      <xdr:rowOff>39688</xdr:rowOff>
    </xdr:from>
    <xdr:to>
      <xdr:col>2</xdr:col>
      <xdr:colOff>312738</xdr:colOff>
      <xdr:row>35</xdr:row>
      <xdr:rowOff>293688</xdr:rowOff>
    </xdr:to>
    <xdr:pic>
      <xdr:nvPicPr>
        <xdr:cNvPr id="55117" name="Picture 55116">
          <a:extLst>
            <a:ext uri="{FF2B5EF4-FFF2-40B4-BE49-F238E27FC236}">
              <a16:creationId xmlns:a16="http://schemas.microsoft.com/office/drawing/2014/main" id="{00000000-0008-0000-0B00-00004D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9078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35</xdr:row>
      <xdr:rowOff>39688</xdr:rowOff>
    </xdr:from>
    <xdr:to>
      <xdr:col>6</xdr:col>
      <xdr:colOff>346075</xdr:colOff>
      <xdr:row>35</xdr:row>
      <xdr:rowOff>293688</xdr:rowOff>
    </xdr:to>
    <xdr:pic>
      <xdr:nvPicPr>
        <xdr:cNvPr id="55120" name="Picture 55119">
          <a:extLst>
            <a:ext uri="{FF2B5EF4-FFF2-40B4-BE49-F238E27FC236}">
              <a16:creationId xmlns:a16="http://schemas.microsoft.com/office/drawing/2014/main" id="{00000000-0008-0000-0B00-000050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9078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36</xdr:row>
      <xdr:rowOff>39688</xdr:rowOff>
    </xdr:from>
    <xdr:to>
      <xdr:col>2</xdr:col>
      <xdr:colOff>312738</xdr:colOff>
      <xdr:row>36</xdr:row>
      <xdr:rowOff>293688</xdr:rowOff>
    </xdr:to>
    <xdr:pic>
      <xdr:nvPicPr>
        <xdr:cNvPr id="55123" name="Picture 55122">
          <a:extLst>
            <a:ext uri="{FF2B5EF4-FFF2-40B4-BE49-F238E27FC236}">
              <a16:creationId xmlns:a16="http://schemas.microsoft.com/office/drawing/2014/main" id="{00000000-0008-0000-0B00-000053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2412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36</xdr:row>
      <xdr:rowOff>39688</xdr:rowOff>
    </xdr:from>
    <xdr:to>
      <xdr:col>6</xdr:col>
      <xdr:colOff>346075</xdr:colOff>
      <xdr:row>36</xdr:row>
      <xdr:rowOff>293688</xdr:rowOff>
    </xdr:to>
    <xdr:pic>
      <xdr:nvPicPr>
        <xdr:cNvPr id="55126" name="Picture 55125">
          <a:extLst>
            <a:ext uri="{FF2B5EF4-FFF2-40B4-BE49-F238E27FC236}">
              <a16:creationId xmlns:a16="http://schemas.microsoft.com/office/drawing/2014/main" id="{00000000-0008-0000-0B00-000056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2412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37</xdr:row>
      <xdr:rowOff>39688</xdr:rowOff>
    </xdr:from>
    <xdr:to>
      <xdr:col>2</xdr:col>
      <xdr:colOff>312738</xdr:colOff>
      <xdr:row>37</xdr:row>
      <xdr:rowOff>293688</xdr:rowOff>
    </xdr:to>
    <xdr:pic>
      <xdr:nvPicPr>
        <xdr:cNvPr id="55129" name="Picture 55128">
          <a:extLst>
            <a:ext uri="{FF2B5EF4-FFF2-40B4-BE49-F238E27FC236}">
              <a16:creationId xmlns:a16="http://schemas.microsoft.com/office/drawing/2014/main" id="{00000000-0008-0000-0B00-000059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5745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37</xdr:row>
      <xdr:rowOff>39688</xdr:rowOff>
    </xdr:from>
    <xdr:to>
      <xdr:col>6</xdr:col>
      <xdr:colOff>346075</xdr:colOff>
      <xdr:row>37</xdr:row>
      <xdr:rowOff>293688</xdr:rowOff>
    </xdr:to>
    <xdr:pic>
      <xdr:nvPicPr>
        <xdr:cNvPr id="55132" name="Picture 55131">
          <a:extLst>
            <a:ext uri="{FF2B5EF4-FFF2-40B4-BE49-F238E27FC236}">
              <a16:creationId xmlns:a16="http://schemas.microsoft.com/office/drawing/2014/main" id="{00000000-0008-0000-0B00-00005C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5745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39</xdr:row>
      <xdr:rowOff>39688</xdr:rowOff>
    </xdr:from>
    <xdr:to>
      <xdr:col>2</xdr:col>
      <xdr:colOff>312738</xdr:colOff>
      <xdr:row>39</xdr:row>
      <xdr:rowOff>293688</xdr:rowOff>
    </xdr:to>
    <xdr:pic>
      <xdr:nvPicPr>
        <xdr:cNvPr id="55135" name="Picture 55134">
          <a:extLst>
            <a:ext uri="{FF2B5EF4-FFF2-40B4-BE49-F238E27FC236}">
              <a16:creationId xmlns:a16="http://schemas.microsoft.com/office/drawing/2014/main" id="{00000000-0008-0000-0B00-00005F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2413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39</xdr:row>
      <xdr:rowOff>39688</xdr:rowOff>
    </xdr:from>
    <xdr:to>
      <xdr:col>6</xdr:col>
      <xdr:colOff>346075</xdr:colOff>
      <xdr:row>39</xdr:row>
      <xdr:rowOff>293688</xdr:rowOff>
    </xdr:to>
    <xdr:pic>
      <xdr:nvPicPr>
        <xdr:cNvPr id="55138" name="Picture 55137">
          <a:extLst>
            <a:ext uri="{FF2B5EF4-FFF2-40B4-BE49-F238E27FC236}">
              <a16:creationId xmlns:a16="http://schemas.microsoft.com/office/drawing/2014/main" id="{00000000-0008-0000-0B00-000062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2413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40</xdr:row>
      <xdr:rowOff>39688</xdr:rowOff>
    </xdr:from>
    <xdr:to>
      <xdr:col>2</xdr:col>
      <xdr:colOff>312738</xdr:colOff>
      <xdr:row>40</xdr:row>
      <xdr:rowOff>293688</xdr:rowOff>
    </xdr:to>
    <xdr:pic>
      <xdr:nvPicPr>
        <xdr:cNvPr id="55141" name="Picture 55140">
          <a:extLst>
            <a:ext uri="{FF2B5EF4-FFF2-40B4-BE49-F238E27FC236}">
              <a16:creationId xmlns:a16="http://schemas.microsoft.com/office/drawing/2014/main" id="{00000000-0008-0000-0B00-000065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5747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40</xdr:row>
      <xdr:rowOff>39688</xdr:rowOff>
    </xdr:from>
    <xdr:to>
      <xdr:col>6</xdr:col>
      <xdr:colOff>346075</xdr:colOff>
      <xdr:row>40</xdr:row>
      <xdr:rowOff>293688</xdr:rowOff>
    </xdr:to>
    <xdr:pic>
      <xdr:nvPicPr>
        <xdr:cNvPr id="55144" name="Picture 55143">
          <a:extLst>
            <a:ext uri="{FF2B5EF4-FFF2-40B4-BE49-F238E27FC236}">
              <a16:creationId xmlns:a16="http://schemas.microsoft.com/office/drawing/2014/main" id="{00000000-0008-0000-0B00-000068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5747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41</xdr:row>
      <xdr:rowOff>39688</xdr:rowOff>
    </xdr:from>
    <xdr:to>
      <xdr:col>2</xdr:col>
      <xdr:colOff>312738</xdr:colOff>
      <xdr:row>41</xdr:row>
      <xdr:rowOff>293688</xdr:rowOff>
    </xdr:to>
    <xdr:pic>
      <xdr:nvPicPr>
        <xdr:cNvPr id="55147" name="Picture 55146">
          <a:extLst>
            <a:ext uri="{FF2B5EF4-FFF2-40B4-BE49-F238E27FC236}">
              <a16:creationId xmlns:a16="http://schemas.microsoft.com/office/drawing/2014/main" id="{00000000-0008-0000-0B00-00006B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9080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41</xdr:row>
      <xdr:rowOff>39688</xdr:rowOff>
    </xdr:from>
    <xdr:to>
      <xdr:col>6</xdr:col>
      <xdr:colOff>346075</xdr:colOff>
      <xdr:row>41</xdr:row>
      <xdr:rowOff>293688</xdr:rowOff>
    </xdr:to>
    <xdr:pic>
      <xdr:nvPicPr>
        <xdr:cNvPr id="55150" name="Picture 55149">
          <a:extLst>
            <a:ext uri="{FF2B5EF4-FFF2-40B4-BE49-F238E27FC236}">
              <a16:creationId xmlns:a16="http://schemas.microsoft.com/office/drawing/2014/main" id="{00000000-0008-0000-0B00-00006E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9080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43</xdr:row>
      <xdr:rowOff>39688</xdr:rowOff>
    </xdr:from>
    <xdr:to>
      <xdr:col>2</xdr:col>
      <xdr:colOff>312738</xdr:colOff>
      <xdr:row>43</xdr:row>
      <xdr:rowOff>293688</xdr:rowOff>
    </xdr:to>
    <xdr:pic>
      <xdr:nvPicPr>
        <xdr:cNvPr id="55153" name="Picture 55152">
          <a:extLst>
            <a:ext uri="{FF2B5EF4-FFF2-40B4-BE49-F238E27FC236}">
              <a16:creationId xmlns:a16="http://schemas.microsoft.com/office/drawing/2014/main" id="{00000000-0008-0000-0B00-000071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5748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43</xdr:row>
      <xdr:rowOff>39688</xdr:rowOff>
    </xdr:from>
    <xdr:to>
      <xdr:col>6</xdr:col>
      <xdr:colOff>346075</xdr:colOff>
      <xdr:row>43</xdr:row>
      <xdr:rowOff>293688</xdr:rowOff>
    </xdr:to>
    <xdr:pic>
      <xdr:nvPicPr>
        <xdr:cNvPr id="55156" name="Picture 55155">
          <a:extLst>
            <a:ext uri="{FF2B5EF4-FFF2-40B4-BE49-F238E27FC236}">
              <a16:creationId xmlns:a16="http://schemas.microsoft.com/office/drawing/2014/main" id="{00000000-0008-0000-0B00-000074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5748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47</xdr:row>
      <xdr:rowOff>39688</xdr:rowOff>
    </xdr:from>
    <xdr:to>
      <xdr:col>2</xdr:col>
      <xdr:colOff>312738</xdr:colOff>
      <xdr:row>47</xdr:row>
      <xdr:rowOff>293688</xdr:rowOff>
    </xdr:to>
    <xdr:pic>
      <xdr:nvPicPr>
        <xdr:cNvPr id="55159" name="Picture 55158">
          <a:extLst>
            <a:ext uri="{FF2B5EF4-FFF2-40B4-BE49-F238E27FC236}">
              <a16:creationId xmlns:a16="http://schemas.microsoft.com/office/drawing/2014/main" id="{00000000-0008-0000-0B00-000077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9750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47</xdr:row>
      <xdr:rowOff>39688</xdr:rowOff>
    </xdr:from>
    <xdr:to>
      <xdr:col>6</xdr:col>
      <xdr:colOff>346075</xdr:colOff>
      <xdr:row>47</xdr:row>
      <xdr:rowOff>293688</xdr:rowOff>
    </xdr:to>
    <xdr:pic>
      <xdr:nvPicPr>
        <xdr:cNvPr id="55162" name="Picture 55161">
          <a:extLst>
            <a:ext uri="{FF2B5EF4-FFF2-40B4-BE49-F238E27FC236}">
              <a16:creationId xmlns:a16="http://schemas.microsoft.com/office/drawing/2014/main" id="{00000000-0008-0000-0B00-00007A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9750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48</xdr:row>
      <xdr:rowOff>39688</xdr:rowOff>
    </xdr:from>
    <xdr:to>
      <xdr:col>2</xdr:col>
      <xdr:colOff>312738</xdr:colOff>
      <xdr:row>48</xdr:row>
      <xdr:rowOff>293688</xdr:rowOff>
    </xdr:to>
    <xdr:pic>
      <xdr:nvPicPr>
        <xdr:cNvPr id="55165" name="Picture 55164">
          <a:extLst>
            <a:ext uri="{FF2B5EF4-FFF2-40B4-BE49-F238E27FC236}">
              <a16:creationId xmlns:a16="http://schemas.microsoft.com/office/drawing/2014/main" id="{00000000-0008-0000-0B00-00007D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3083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48</xdr:row>
      <xdr:rowOff>39688</xdr:rowOff>
    </xdr:from>
    <xdr:to>
      <xdr:col>6</xdr:col>
      <xdr:colOff>346075</xdr:colOff>
      <xdr:row>48</xdr:row>
      <xdr:rowOff>293688</xdr:rowOff>
    </xdr:to>
    <xdr:pic>
      <xdr:nvPicPr>
        <xdr:cNvPr id="55168" name="Picture 55167">
          <a:extLst>
            <a:ext uri="{FF2B5EF4-FFF2-40B4-BE49-F238E27FC236}">
              <a16:creationId xmlns:a16="http://schemas.microsoft.com/office/drawing/2014/main" id="{00000000-0008-0000-0B00-000080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3083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49</xdr:row>
      <xdr:rowOff>39688</xdr:rowOff>
    </xdr:from>
    <xdr:to>
      <xdr:col>2</xdr:col>
      <xdr:colOff>312738</xdr:colOff>
      <xdr:row>49</xdr:row>
      <xdr:rowOff>293688</xdr:rowOff>
    </xdr:to>
    <xdr:pic>
      <xdr:nvPicPr>
        <xdr:cNvPr id="55171" name="Picture 55170">
          <a:extLst>
            <a:ext uri="{FF2B5EF4-FFF2-40B4-BE49-F238E27FC236}">
              <a16:creationId xmlns:a16="http://schemas.microsoft.com/office/drawing/2014/main" id="{00000000-0008-0000-0B00-000083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6417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49</xdr:row>
      <xdr:rowOff>39688</xdr:rowOff>
    </xdr:from>
    <xdr:to>
      <xdr:col>6</xdr:col>
      <xdr:colOff>346075</xdr:colOff>
      <xdr:row>49</xdr:row>
      <xdr:rowOff>293688</xdr:rowOff>
    </xdr:to>
    <xdr:pic>
      <xdr:nvPicPr>
        <xdr:cNvPr id="55174" name="Picture 55173">
          <a:extLst>
            <a:ext uri="{FF2B5EF4-FFF2-40B4-BE49-F238E27FC236}">
              <a16:creationId xmlns:a16="http://schemas.microsoft.com/office/drawing/2014/main" id="{00000000-0008-0000-0B00-000086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6417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50</xdr:row>
      <xdr:rowOff>39688</xdr:rowOff>
    </xdr:from>
    <xdr:to>
      <xdr:col>2</xdr:col>
      <xdr:colOff>312738</xdr:colOff>
      <xdr:row>50</xdr:row>
      <xdr:rowOff>293688</xdr:rowOff>
    </xdr:to>
    <xdr:pic>
      <xdr:nvPicPr>
        <xdr:cNvPr id="55177" name="Picture 55176">
          <a:extLst>
            <a:ext uri="{FF2B5EF4-FFF2-40B4-BE49-F238E27FC236}">
              <a16:creationId xmlns:a16="http://schemas.microsoft.com/office/drawing/2014/main" id="{00000000-0008-0000-0B00-000089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9751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50</xdr:row>
      <xdr:rowOff>39688</xdr:rowOff>
    </xdr:from>
    <xdr:to>
      <xdr:col>6</xdr:col>
      <xdr:colOff>346075</xdr:colOff>
      <xdr:row>50</xdr:row>
      <xdr:rowOff>293688</xdr:rowOff>
    </xdr:to>
    <xdr:pic>
      <xdr:nvPicPr>
        <xdr:cNvPr id="55180" name="Picture 55179">
          <a:extLst>
            <a:ext uri="{FF2B5EF4-FFF2-40B4-BE49-F238E27FC236}">
              <a16:creationId xmlns:a16="http://schemas.microsoft.com/office/drawing/2014/main" id="{00000000-0008-0000-0B00-00008C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9751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51</xdr:row>
      <xdr:rowOff>39688</xdr:rowOff>
    </xdr:from>
    <xdr:to>
      <xdr:col>2</xdr:col>
      <xdr:colOff>312738</xdr:colOff>
      <xdr:row>51</xdr:row>
      <xdr:rowOff>293688</xdr:rowOff>
    </xdr:to>
    <xdr:pic>
      <xdr:nvPicPr>
        <xdr:cNvPr id="55183" name="Picture 55182">
          <a:extLst>
            <a:ext uri="{FF2B5EF4-FFF2-40B4-BE49-F238E27FC236}">
              <a16:creationId xmlns:a16="http://schemas.microsoft.com/office/drawing/2014/main" id="{00000000-0008-0000-0B00-00008F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3085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51</xdr:row>
      <xdr:rowOff>39688</xdr:rowOff>
    </xdr:from>
    <xdr:to>
      <xdr:col>6</xdr:col>
      <xdr:colOff>346075</xdr:colOff>
      <xdr:row>51</xdr:row>
      <xdr:rowOff>293688</xdr:rowOff>
    </xdr:to>
    <xdr:pic>
      <xdr:nvPicPr>
        <xdr:cNvPr id="55186" name="Picture 55185">
          <a:extLst>
            <a:ext uri="{FF2B5EF4-FFF2-40B4-BE49-F238E27FC236}">
              <a16:creationId xmlns:a16="http://schemas.microsoft.com/office/drawing/2014/main" id="{00000000-0008-0000-0B00-000092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3085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52</xdr:row>
      <xdr:rowOff>39688</xdr:rowOff>
    </xdr:from>
    <xdr:to>
      <xdr:col>2</xdr:col>
      <xdr:colOff>312738</xdr:colOff>
      <xdr:row>52</xdr:row>
      <xdr:rowOff>293688</xdr:rowOff>
    </xdr:to>
    <xdr:pic>
      <xdr:nvPicPr>
        <xdr:cNvPr id="55189" name="Picture 55188">
          <a:extLst>
            <a:ext uri="{FF2B5EF4-FFF2-40B4-BE49-F238E27FC236}">
              <a16:creationId xmlns:a16="http://schemas.microsoft.com/office/drawing/2014/main" id="{00000000-0008-0000-0B00-000095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6418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52</xdr:row>
      <xdr:rowOff>39688</xdr:rowOff>
    </xdr:from>
    <xdr:to>
      <xdr:col>6</xdr:col>
      <xdr:colOff>346075</xdr:colOff>
      <xdr:row>52</xdr:row>
      <xdr:rowOff>293688</xdr:rowOff>
    </xdr:to>
    <xdr:pic>
      <xdr:nvPicPr>
        <xdr:cNvPr id="55192" name="Picture 55191">
          <a:extLst>
            <a:ext uri="{FF2B5EF4-FFF2-40B4-BE49-F238E27FC236}">
              <a16:creationId xmlns:a16="http://schemas.microsoft.com/office/drawing/2014/main" id="{00000000-0008-0000-0B00-000098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6418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53</xdr:row>
      <xdr:rowOff>39688</xdr:rowOff>
    </xdr:from>
    <xdr:to>
      <xdr:col>2</xdr:col>
      <xdr:colOff>312738</xdr:colOff>
      <xdr:row>53</xdr:row>
      <xdr:rowOff>293688</xdr:rowOff>
    </xdr:to>
    <xdr:pic>
      <xdr:nvPicPr>
        <xdr:cNvPr id="55195" name="Picture 55194">
          <a:extLst>
            <a:ext uri="{FF2B5EF4-FFF2-40B4-BE49-F238E27FC236}">
              <a16:creationId xmlns:a16="http://schemas.microsoft.com/office/drawing/2014/main" id="{00000000-0008-0000-0B00-00009B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9752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53</xdr:row>
      <xdr:rowOff>39688</xdr:rowOff>
    </xdr:from>
    <xdr:to>
      <xdr:col>6</xdr:col>
      <xdr:colOff>346075</xdr:colOff>
      <xdr:row>53</xdr:row>
      <xdr:rowOff>293688</xdr:rowOff>
    </xdr:to>
    <xdr:pic>
      <xdr:nvPicPr>
        <xdr:cNvPr id="55198" name="Picture 55197">
          <a:extLst>
            <a:ext uri="{FF2B5EF4-FFF2-40B4-BE49-F238E27FC236}">
              <a16:creationId xmlns:a16="http://schemas.microsoft.com/office/drawing/2014/main" id="{00000000-0008-0000-0B00-00009E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9752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55</xdr:row>
      <xdr:rowOff>39688</xdr:rowOff>
    </xdr:from>
    <xdr:to>
      <xdr:col>2</xdr:col>
      <xdr:colOff>312738</xdr:colOff>
      <xdr:row>55</xdr:row>
      <xdr:rowOff>293688</xdr:rowOff>
    </xdr:to>
    <xdr:pic>
      <xdr:nvPicPr>
        <xdr:cNvPr id="55201" name="Picture 55200">
          <a:extLst>
            <a:ext uri="{FF2B5EF4-FFF2-40B4-BE49-F238E27FC236}">
              <a16:creationId xmlns:a16="http://schemas.microsoft.com/office/drawing/2014/main" id="{00000000-0008-0000-0B00-0000A1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6420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55</xdr:row>
      <xdr:rowOff>39688</xdr:rowOff>
    </xdr:from>
    <xdr:to>
      <xdr:col>6</xdr:col>
      <xdr:colOff>346075</xdr:colOff>
      <xdr:row>55</xdr:row>
      <xdr:rowOff>293688</xdr:rowOff>
    </xdr:to>
    <xdr:pic>
      <xdr:nvPicPr>
        <xdr:cNvPr id="55204" name="Picture 55203">
          <a:extLst>
            <a:ext uri="{FF2B5EF4-FFF2-40B4-BE49-F238E27FC236}">
              <a16:creationId xmlns:a16="http://schemas.microsoft.com/office/drawing/2014/main" id="{00000000-0008-0000-0B00-0000A4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6420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56</xdr:row>
      <xdr:rowOff>39688</xdr:rowOff>
    </xdr:from>
    <xdr:to>
      <xdr:col>2</xdr:col>
      <xdr:colOff>312738</xdr:colOff>
      <xdr:row>56</xdr:row>
      <xdr:rowOff>293688</xdr:rowOff>
    </xdr:to>
    <xdr:pic>
      <xdr:nvPicPr>
        <xdr:cNvPr id="55207" name="Picture 55206">
          <a:extLst>
            <a:ext uri="{FF2B5EF4-FFF2-40B4-BE49-F238E27FC236}">
              <a16:creationId xmlns:a16="http://schemas.microsoft.com/office/drawing/2014/main" id="{00000000-0008-0000-0B00-0000A7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9753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56</xdr:row>
      <xdr:rowOff>39688</xdr:rowOff>
    </xdr:from>
    <xdr:to>
      <xdr:col>6</xdr:col>
      <xdr:colOff>346075</xdr:colOff>
      <xdr:row>56</xdr:row>
      <xdr:rowOff>293688</xdr:rowOff>
    </xdr:to>
    <xdr:pic>
      <xdr:nvPicPr>
        <xdr:cNvPr id="55210" name="Picture 55209">
          <a:extLst>
            <a:ext uri="{FF2B5EF4-FFF2-40B4-BE49-F238E27FC236}">
              <a16:creationId xmlns:a16="http://schemas.microsoft.com/office/drawing/2014/main" id="{00000000-0008-0000-0B00-0000AA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9753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57</xdr:row>
      <xdr:rowOff>39688</xdr:rowOff>
    </xdr:from>
    <xdr:to>
      <xdr:col>2</xdr:col>
      <xdr:colOff>312738</xdr:colOff>
      <xdr:row>57</xdr:row>
      <xdr:rowOff>293688</xdr:rowOff>
    </xdr:to>
    <xdr:pic>
      <xdr:nvPicPr>
        <xdr:cNvPr id="55213" name="Picture 55212">
          <a:extLst>
            <a:ext uri="{FF2B5EF4-FFF2-40B4-BE49-F238E27FC236}">
              <a16:creationId xmlns:a16="http://schemas.microsoft.com/office/drawing/2014/main" id="{00000000-0008-0000-0B00-0000AD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93087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57</xdr:row>
      <xdr:rowOff>39688</xdr:rowOff>
    </xdr:from>
    <xdr:to>
      <xdr:col>6</xdr:col>
      <xdr:colOff>346075</xdr:colOff>
      <xdr:row>57</xdr:row>
      <xdr:rowOff>293688</xdr:rowOff>
    </xdr:to>
    <xdr:pic>
      <xdr:nvPicPr>
        <xdr:cNvPr id="55216" name="Picture 55215">
          <a:extLst>
            <a:ext uri="{FF2B5EF4-FFF2-40B4-BE49-F238E27FC236}">
              <a16:creationId xmlns:a16="http://schemas.microsoft.com/office/drawing/2014/main" id="{00000000-0008-0000-0B00-0000B0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93087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61</xdr:row>
      <xdr:rowOff>39688</xdr:rowOff>
    </xdr:from>
    <xdr:to>
      <xdr:col>2</xdr:col>
      <xdr:colOff>312738</xdr:colOff>
      <xdr:row>61</xdr:row>
      <xdr:rowOff>293688</xdr:rowOff>
    </xdr:to>
    <xdr:pic>
      <xdr:nvPicPr>
        <xdr:cNvPr id="55219" name="Picture 55218">
          <a:extLst>
            <a:ext uri="{FF2B5EF4-FFF2-40B4-BE49-F238E27FC236}">
              <a16:creationId xmlns:a16="http://schemas.microsoft.com/office/drawing/2014/main" id="{00000000-0008-0000-0B00-0000B3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07089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61</xdr:row>
      <xdr:rowOff>39688</xdr:rowOff>
    </xdr:from>
    <xdr:to>
      <xdr:col>6</xdr:col>
      <xdr:colOff>346075</xdr:colOff>
      <xdr:row>61</xdr:row>
      <xdr:rowOff>293688</xdr:rowOff>
    </xdr:to>
    <xdr:pic>
      <xdr:nvPicPr>
        <xdr:cNvPr id="55222" name="Picture 55221">
          <a:extLst>
            <a:ext uri="{FF2B5EF4-FFF2-40B4-BE49-F238E27FC236}">
              <a16:creationId xmlns:a16="http://schemas.microsoft.com/office/drawing/2014/main" id="{00000000-0008-0000-0B00-0000B6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07089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62</xdr:row>
      <xdr:rowOff>39688</xdr:rowOff>
    </xdr:from>
    <xdr:to>
      <xdr:col>2</xdr:col>
      <xdr:colOff>312738</xdr:colOff>
      <xdr:row>62</xdr:row>
      <xdr:rowOff>293688</xdr:rowOff>
    </xdr:to>
    <xdr:pic>
      <xdr:nvPicPr>
        <xdr:cNvPr id="55225" name="Picture 55224">
          <a:extLst>
            <a:ext uri="{FF2B5EF4-FFF2-40B4-BE49-F238E27FC236}">
              <a16:creationId xmlns:a16="http://schemas.microsoft.com/office/drawing/2014/main" id="{00000000-0008-0000-0B00-0000B9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10423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62</xdr:row>
      <xdr:rowOff>39688</xdr:rowOff>
    </xdr:from>
    <xdr:to>
      <xdr:col>6</xdr:col>
      <xdr:colOff>346075</xdr:colOff>
      <xdr:row>62</xdr:row>
      <xdr:rowOff>293688</xdr:rowOff>
    </xdr:to>
    <xdr:pic>
      <xdr:nvPicPr>
        <xdr:cNvPr id="55228" name="Picture 55227">
          <a:extLst>
            <a:ext uri="{FF2B5EF4-FFF2-40B4-BE49-F238E27FC236}">
              <a16:creationId xmlns:a16="http://schemas.microsoft.com/office/drawing/2014/main" id="{00000000-0008-0000-0B00-0000BC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10423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63</xdr:row>
      <xdr:rowOff>39688</xdr:rowOff>
    </xdr:from>
    <xdr:to>
      <xdr:col>2</xdr:col>
      <xdr:colOff>312738</xdr:colOff>
      <xdr:row>63</xdr:row>
      <xdr:rowOff>293688</xdr:rowOff>
    </xdr:to>
    <xdr:pic>
      <xdr:nvPicPr>
        <xdr:cNvPr id="55231" name="Picture 55230">
          <a:extLst>
            <a:ext uri="{FF2B5EF4-FFF2-40B4-BE49-F238E27FC236}">
              <a16:creationId xmlns:a16="http://schemas.microsoft.com/office/drawing/2014/main" id="{00000000-0008-0000-0B00-0000BF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13756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63</xdr:row>
      <xdr:rowOff>39688</xdr:rowOff>
    </xdr:from>
    <xdr:to>
      <xdr:col>6</xdr:col>
      <xdr:colOff>346075</xdr:colOff>
      <xdr:row>63</xdr:row>
      <xdr:rowOff>293688</xdr:rowOff>
    </xdr:to>
    <xdr:pic>
      <xdr:nvPicPr>
        <xdr:cNvPr id="55234" name="Picture 55233">
          <a:extLst>
            <a:ext uri="{FF2B5EF4-FFF2-40B4-BE49-F238E27FC236}">
              <a16:creationId xmlns:a16="http://schemas.microsoft.com/office/drawing/2014/main" id="{00000000-0008-0000-0B00-0000C2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13756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64</xdr:row>
      <xdr:rowOff>39688</xdr:rowOff>
    </xdr:from>
    <xdr:to>
      <xdr:col>2</xdr:col>
      <xdr:colOff>312738</xdr:colOff>
      <xdr:row>64</xdr:row>
      <xdr:rowOff>293688</xdr:rowOff>
    </xdr:to>
    <xdr:pic>
      <xdr:nvPicPr>
        <xdr:cNvPr id="55237" name="Picture 55236">
          <a:extLst>
            <a:ext uri="{FF2B5EF4-FFF2-40B4-BE49-F238E27FC236}">
              <a16:creationId xmlns:a16="http://schemas.microsoft.com/office/drawing/2014/main" id="{00000000-0008-0000-0B00-0000C5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17090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64</xdr:row>
      <xdr:rowOff>39688</xdr:rowOff>
    </xdr:from>
    <xdr:to>
      <xdr:col>6</xdr:col>
      <xdr:colOff>346075</xdr:colOff>
      <xdr:row>64</xdr:row>
      <xdr:rowOff>293688</xdr:rowOff>
    </xdr:to>
    <xdr:pic>
      <xdr:nvPicPr>
        <xdr:cNvPr id="55240" name="Picture 55239">
          <a:extLst>
            <a:ext uri="{FF2B5EF4-FFF2-40B4-BE49-F238E27FC236}">
              <a16:creationId xmlns:a16="http://schemas.microsoft.com/office/drawing/2014/main" id="{00000000-0008-0000-0B00-0000C8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17090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66</xdr:row>
      <xdr:rowOff>39688</xdr:rowOff>
    </xdr:from>
    <xdr:to>
      <xdr:col>2</xdr:col>
      <xdr:colOff>312738</xdr:colOff>
      <xdr:row>66</xdr:row>
      <xdr:rowOff>293688</xdr:rowOff>
    </xdr:to>
    <xdr:pic>
      <xdr:nvPicPr>
        <xdr:cNvPr id="55243" name="Picture 55242">
          <a:extLst>
            <a:ext uri="{FF2B5EF4-FFF2-40B4-BE49-F238E27FC236}">
              <a16:creationId xmlns:a16="http://schemas.microsoft.com/office/drawing/2014/main" id="{00000000-0008-0000-0B00-0000CB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23758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66</xdr:row>
      <xdr:rowOff>39688</xdr:rowOff>
    </xdr:from>
    <xdr:to>
      <xdr:col>6</xdr:col>
      <xdr:colOff>346075</xdr:colOff>
      <xdr:row>66</xdr:row>
      <xdr:rowOff>293688</xdr:rowOff>
    </xdr:to>
    <xdr:pic>
      <xdr:nvPicPr>
        <xdr:cNvPr id="55246" name="Picture 55245">
          <a:extLst>
            <a:ext uri="{FF2B5EF4-FFF2-40B4-BE49-F238E27FC236}">
              <a16:creationId xmlns:a16="http://schemas.microsoft.com/office/drawing/2014/main" id="{00000000-0008-0000-0B00-0000CE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23758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67</xdr:row>
      <xdr:rowOff>39688</xdr:rowOff>
    </xdr:from>
    <xdr:to>
      <xdr:col>2</xdr:col>
      <xdr:colOff>312738</xdr:colOff>
      <xdr:row>67</xdr:row>
      <xdr:rowOff>293688</xdr:rowOff>
    </xdr:to>
    <xdr:pic>
      <xdr:nvPicPr>
        <xdr:cNvPr id="55249" name="Picture 55248">
          <a:extLst>
            <a:ext uri="{FF2B5EF4-FFF2-40B4-BE49-F238E27FC236}">
              <a16:creationId xmlns:a16="http://schemas.microsoft.com/office/drawing/2014/main" id="{00000000-0008-0000-0B00-0000D1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27091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67</xdr:row>
      <xdr:rowOff>39688</xdr:rowOff>
    </xdr:from>
    <xdr:to>
      <xdr:col>6</xdr:col>
      <xdr:colOff>346075</xdr:colOff>
      <xdr:row>67</xdr:row>
      <xdr:rowOff>293688</xdr:rowOff>
    </xdr:to>
    <xdr:pic>
      <xdr:nvPicPr>
        <xdr:cNvPr id="55252" name="Picture 55251">
          <a:extLst>
            <a:ext uri="{FF2B5EF4-FFF2-40B4-BE49-F238E27FC236}">
              <a16:creationId xmlns:a16="http://schemas.microsoft.com/office/drawing/2014/main" id="{00000000-0008-0000-0B00-0000D4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27091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68</xdr:row>
      <xdr:rowOff>39688</xdr:rowOff>
    </xdr:from>
    <xdr:to>
      <xdr:col>2</xdr:col>
      <xdr:colOff>312738</xdr:colOff>
      <xdr:row>68</xdr:row>
      <xdr:rowOff>293688</xdr:rowOff>
    </xdr:to>
    <xdr:pic>
      <xdr:nvPicPr>
        <xdr:cNvPr id="55255" name="Picture 55254">
          <a:extLst>
            <a:ext uri="{FF2B5EF4-FFF2-40B4-BE49-F238E27FC236}">
              <a16:creationId xmlns:a16="http://schemas.microsoft.com/office/drawing/2014/main" id="{00000000-0008-0000-0B00-0000D7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30425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68</xdr:row>
      <xdr:rowOff>39688</xdr:rowOff>
    </xdr:from>
    <xdr:to>
      <xdr:col>6</xdr:col>
      <xdr:colOff>346075</xdr:colOff>
      <xdr:row>68</xdr:row>
      <xdr:rowOff>293688</xdr:rowOff>
    </xdr:to>
    <xdr:pic>
      <xdr:nvPicPr>
        <xdr:cNvPr id="55258" name="Picture 55257">
          <a:extLst>
            <a:ext uri="{FF2B5EF4-FFF2-40B4-BE49-F238E27FC236}">
              <a16:creationId xmlns:a16="http://schemas.microsoft.com/office/drawing/2014/main" id="{00000000-0008-0000-0B00-0000DA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30425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69</xdr:row>
      <xdr:rowOff>39688</xdr:rowOff>
    </xdr:from>
    <xdr:to>
      <xdr:col>2</xdr:col>
      <xdr:colOff>312738</xdr:colOff>
      <xdr:row>69</xdr:row>
      <xdr:rowOff>293688</xdr:rowOff>
    </xdr:to>
    <xdr:pic>
      <xdr:nvPicPr>
        <xdr:cNvPr id="55261" name="Picture 55260">
          <a:extLst>
            <a:ext uri="{FF2B5EF4-FFF2-40B4-BE49-F238E27FC236}">
              <a16:creationId xmlns:a16="http://schemas.microsoft.com/office/drawing/2014/main" id="{00000000-0008-0000-0B00-0000DD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33759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69</xdr:row>
      <xdr:rowOff>39688</xdr:rowOff>
    </xdr:from>
    <xdr:to>
      <xdr:col>6</xdr:col>
      <xdr:colOff>346075</xdr:colOff>
      <xdr:row>69</xdr:row>
      <xdr:rowOff>293688</xdr:rowOff>
    </xdr:to>
    <xdr:pic>
      <xdr:nvPicPr>
        <xdr:cNvPr id="55264" name="Picture 55263">
          <a:extLst>
            <a:ext uri="{FF2B5EF4-FFF2-40B4-BE49-F238E27FC236}">
              <a16:creationId xmlns:a16="http://schemas.microsoft.com/office/drawing/2014/main" id="{00000000-0008-0000-0B00-0000E0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33759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70</xdr:row>
      <xdr:rowOff>39688</xdr:rowOff>
    </xdr:from>
    <xdr:to>
      <xdr:col>2</xdr:col>
      <xdr:colOff>312738</xdr:colOff>
      <xdr:row>70</xdr:row>
      <xdr:rowOff>293688</xdr:rowOff>
    </xdr:to>
    <xdr:pic>
      <xdr:nvPicPr>
        <xdr:cNvPr id="55267" name="Picture 55266">
          <a:extLst>
            <a:ext uri="{FF2B5EF4-FFF2-40B4-BE49-F238E27FC236}">
              <a16:creationId xmlns:a16="http://schemas.microsoft.com/office/drawing/2014/main" id="{00000000-0008-0000-0B00-0000E3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37093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70</xdr:row>
      <xdr:rowOff>39688</xdr:rowOff>
    </xdr:from>
    <xdr:to>
      <xdr:col>6</xdr:col>
      <xdr:colOff>346075</xdr:colOff>
      <xdr:row>70</xdr:row>
      <xdr:rowOff>293688</xdr:rowOff>
    </xdr:to>
    <xdr:pic>
      <xdr:nvPicPr>
        <xdr:cNvPr id="55270" name="Picture 55269">
          <a:extLst>
            <a:ext uri="{FF2B5EF4-FFF2-40B4-BE49-F238E27FC236}">
              <a16:creationId xmlns:a16="http://schemas.microsoft.com/office/drawing/2014/main" id="{00000000-0008-0000-0B00-0000E6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37093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72</xdr:row>
      <xdr:rowOff>39688</xdr:rowOff>
    </xdr:from>
    <xdr:to>
      <xdr:col>2</xdr:col>
      <xdr:colOff>312738</xdr:colOff>
      <xdr:row>72</xdr:row>
      <xdr:rowOff>293688</xdr:rowOff>
    </xdr:to>
    <xdr:pic>
      <xdr:nvPicPr>
        <xdr:cNvPr id="55273" name="Picture 55272">
          <a:extLst>
            <a:ext uri="{FF2B5EF4-FFF2-40B4-BE49-F238E27FC236}">
              <a16:creationId xmlns:a16="http://schemas.microsoft.com/office/drawing/2014/main" id="{00000000-0008-0000-0B00-0000E9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43760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72</xdr:row>
      <xdr:rowOff>39688</xdr:rowOff>
    </xdr:from>
    <xdr:to>
      <xdr:col>6</xdr:col>
      <xdr:colOff>346075</xdr:colOff>
      <xdr:row>72</xdr:row>
      <xdr:rowOff>293688</xdr:rowOff>
    </xdr:to>
    <xdr:pic>
      <xdr:nvPicPr>
        <xdr:cNvPr id="55276" name="Picture 55275">
          <a:extLst>
            <a:ext uri="{FF2B5EF4-FFF2-40B4-BE49-F238E27FC236}">
              <a16:creationId xmlns:a16="http://schemas.microsoft.com/office/drawing/2014/main" id="{00000000-0008-0000-0B00-0000EC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43760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76</xdr:row>
      <xdr:rowOff>39688</xdr:rowOff>
    </xdr:from>
    <xdr:to>
      <xdr:col>2</xdr:col>
      <xdr:colOff>312738</xdr:colOff>
      <xdr:row>76</xdr:row>
      <xdr:rowOff>293688</xdr:rowOff>
    </xdr:to>
    <xdr:pic>
      <xdr:nvPicPr>
        <xdr:cNvPr id="55279" name="Picture 55278">
          <a:extLst>
            <a:ext uri="{FF2B5EF4-FFF2-40B4-BE49-F238E27FC236}">
              <a16:creationId xmlns:a16="http://schemas.microsoft.com/office/drawing/2014/main" id="{00000000-0008-0000-0B00-0000EF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57762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76</xdr:row>
      <xdr:rowOff>39688</xdr:rowOff>
    </xdr:from>
    <xdr:to>
      <xdr:col>6</xdr:col>
      <xdr:colOff>346075</xdr:colOff>
      <xdr:row>76</xdr:row>
      <xdr:rowOff>293688</xdr:rowOff>
    </xdr:to>
    <xdr:pic>
      <xdr:nvPicPr>
        <xdr:cNvPr id="55282" name="Picture 55281">
          <a:extLst>
            <a:ext uri="{FF2B5EF4-FFF2-40B4-BE49-F238E27FC236}">
              <a16:creationId xmlns:a16="http://schemas.microsoft.com/office/drawing/2014/main" id="{00000000-0008-0000-0B00-0000F2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57762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77</xdr:row>
      <xdr:rowOff>39688</xdr:rowOff>
    </xdr:from>
    <xdr:to>
      <xdr:col>2</xdr:col>
      <xdr:colOff>312738</xdr:colOff>
      <xdr:row>77</xdr:row>
      <xdr:rowOff>293688</xdr:rowOff>
    </xdr:to>
    <xdr:pic>
      <xdr:nvPicPr>
        <xdr:cNvPr id="55285" name="Picture 55284">
          <a:extLst>
            <a:ext uri="{FF2B5EF4-FFF2-40B4-BE49-F238E27FC236}">
              <a16:creationId xmlns:a16="http://schemas.microsoft.com/office/drawing/2014/main" id="{00000000-0008-0000-0B00-0000F5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61096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77</xdr:row>
      <xdr:rowOff>39688</xdr:rowOff>
    </xdr:from>
    <xdr:to>
      <xdr:col>6</xdr:col>
      <xdr:colOff>346075</xdr:colOff>
      <xdr:row>77</xdr:row>
      <xdr:rowOff>293688</xdr:rowOff>
    </xdr:to>
    <xdr:pic>
      <xdr:nvPicPr>
        <xdr:cNvPr id="55288" name="Picture 55287">
          <a:extLst>
            <a:ext uri="{FF2B5EF4-FFF2-40B4-BE49-F238E27FC236}">
              <a16:creationId xmlns:a16="http://schemas.microsoft.com/office/drawing/2014/main" id="{00000000-0008-0000-0B00-0000F8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61096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78</xdr:row>
      <xdr:rowOff>39688</xdr:rowOff>
    </xdr:from>
    <xdr:to>
      <xdr:col>2</xdr:col>
      <xdr:colOff>312738</xdr:colOff>
      <xdr:row>78</xdr:row>
      <xdr:rowOff>293688</xdr:rowOff>
    </xdr:to>
    <xdr:pic>
      <xdr:nvPicPr>
        <xdr:cNvPr id="55291" name="Picture 55290">
          <a:extLst>
            <a:ext uri="{FF2B5EF4-FFF2-40B4-BE49-F238E27FC236}">
              <a16:creationId xmlns:a16="http://schemas.microsoft.com/office/drawing/2014/main" id="{00000000-0008-0000-0B00-0000FB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64429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78</xdr:row>
      <xdr:rowOff>39688</xdr:rowOff>
    </xdr:from>
    <xdr:to>
      <xdr:col>6</xdr:col>
      <xdr:colOff>346075</xdr:colOff>
      <xdr:row>78</xdr:row>
      <xdr:rowOff>293688</xdr:rowOff>
    </xdr:to>
    <xdr:pic>
      <xdr:nvPicPr>
        <xdr:cNvPr id="55294" name="Picture 55293">
          <a:extLst>
            <a:ext uri="{FF2B5EF4-FFF2-40B4-BE49-F238E27FC236}">
              <a16:creationId xmlns:a16="http://schemas.microsoft.com/office/drawing/2014/main" id="{00000000-0008-0000-0B00-0000FED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64429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79</xdr:row>
      <xdr:rowOff>39688</xdr:rowOff>
    </xdr:from>
    <xdr:to>
      <xdr:col>2</xdr:col>
      <xdr:colOff>312738</xdr:colOff>
      <xdr:row>79</xdr:row>
      <xdr:rowOff>293688</xdr:rowOff>
    </xdr:to>
    <xdr:pic>
      <xdr:nvPicPr>
        <xdr:cNvPr id="55297" name="Picture 55296">
          <a:extLst>
            <a:ext uri="{FF2B5EF4-FFF2-40B4-BE49-F238E27FC236}">
              <a16:creationId xmlns:a16="http://schemas.microsoft.com/office/drawing/2014/main" id="{00000000-0008-0000-0B00-000001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67763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79</xdr:row>
      <xdr:rowOff>39688</xdr:rowOff>
    </xdr:from>
    <xdr:to>
      <xdr:col>6</xdr:col>
      <xdr:colOff>346075</xdr:colOff>
      <xdr:row>79</xdr:row>
      <xdr:rowOff>293688</xdr:rowOff>
    </xdr:to>
    <xdr:pic>
      <xdr:nvPicPr>
        <xdr:cNvPr id="55300" name="Picture 55299">
          <a:extLst>
            <a:ext uri="{FF2B5EF4-FFF2-40B4-BE49-F238E27FC236}">
              <a16:creationId xmlns:a16="http://schemas.microsoft.com/office/drawing/2014/main" id="{00000000-0008-0000-0B00-000004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67763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80</xdr:row>
      <xdr:rowOff>39688</xdr:rowOff>
    </xdr:from>
    <xdr:to>
      <xdr:col>2</xdr:col>
      <xdr:colOff>312738</xdr:colOff>
      <xdr:row>80</xdr:row>
      <xdr:rowOff>293688</xdr:rowOff>
    </xdr:to>
    <xdr:pic>
      <xdr:nvPicPr>
        <xdr:cNvPr id="55303" name="Picture 55302">
          <a:extLst>
            <a:ext uri="{FF2B5EF4-FFF2-40B4-BE49-F238E27FC236}">
              <a16:creationId xmlns:a16="http://schemas.microsoft.com/office/drawing/2014/main" id="{00000000-0008-0000-0B00-000007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71097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80</xdr:row>
      <xdr:rowOff>39688</xdr:rowOff>
    </xdr:from>
    <xdr:to>
      <xdr:col>6</xdr:col>
      <xdr:colOff>346075</xdr:colOff>
      <xdr:row>80</xdr:row>
      <xdr:rowOff>293688</xdr:rowOff>
    </xdr:to>
    <xdr:pic>
      <xdr:nvPicPr>
        <xdr:cNvPr id="55306" name="Picture 55305">
          <a:extLst>
            <a:ext uri="{FF2B5EF4-FFF2-40B4-BE49-F238E27FC236}">
              <a16:creationId xmlns:a16="http://schemas.microsoft.com/office/drawing/2014/main" id="{00000000-0008-0000-0B00-00000A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71097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81</xdr:row>
      <xdr:rowOff>39688</xdr:rowOff>
    </xdr:from>
    <xdr:to>
      <xdr:col>2</xdr:col>
      <xdr:colOff>312738</xdr:colOff>
      <xdr:row>81</xdr:row>
      <xdr:rowOff>293688</xdr:rowOff>
    </xdr:to>
    <xdr:pic>
      <xdr:nvPicPr>
        <xdr:cNvPr id="55309" name="Picture 55308">
          <a:extLst>
            <a:ext uri="{FF2B5EF4-FFF2-40B4-BE49-F238E27FC236}">
              <a16:creationId xmlns:a16="http://schemas.microsoft.com/office/drawing/2014/main" id="{00000000-0008-0000-0B00-00000D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74431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81</xdr:row>
      <xdr:rowOff>39688</xdr:rowOff>
    </xdr:from>
    <xdr:to>
      <xdr:col>6</xdr:col>
      <xdr:colOff>346075</xdr:colOff>
      <xdr:row>81</xdr:row>
      <xdr:rowOff>293688</xdr:rowOff>
    </xdr:to>
    <xdr:pic>
      <xdr:nvPicPr>
        <xdr:cNvPr id="55312" name="Picture 55311">
          <a:extLst>
            <a:ext uri="{FF2B5EF4-FFF2-40B4-BE49-F238E27FC236}">
              <a16:creationId xmlns:a16="http://schemas.microsoft.com/office/drawing/2014/main" id="{00000000-0008-0000-0B00-000010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74431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82</xdr:row>
      <xdr:rowOff>39688</xdr:rowOff>
    </xdr:from>
    <xdr:to>
      <xdr:col>2</xdr:col>
      <xdr:colOff>312738</xdr:colOff>
      <xdr:row>82</xdr:row>
      <xdr:rowOff>293688</xdr:rowOff>
    </xdr:to>
    <xdr:pic>
      <xdr:nvPicPr>
        <xdr:cNvPr id="55315" name="Picture 55314">
          <a:extLst>
            <a:ext uri="{FF2B5EF4-FFF2-40B4-BE49-F238E27FC236}">
              <a16:creationId xmlns:a16="http://schemas.microsoft.com/office/drawing/2014/main" id="{00000000-0008-0000-0B00-000013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77764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82</xdr:row>
      <xdr:rowOff>39688</xdr:rowOff>
    </xdr:from>
    <xdr:to>
      <xdr:col>6</xdr:col>
      <xdr:colOff>346075</xdr:colOff>
      <xdr:row>82</xdr:row>
      <xdr:rowOff>293688</xdr:rowOff>
    </xdr:to>
    <xdr:pic>
      <xdr:nvPicPr>
        <xdr:cNvPr id="55318" name="Picture 55317">
          <a:extLst>
            <a:ext uri="{FF2B5EF4-FFF2-40B4-BE49-F238E27FC236}">
              <a16:creationId xmlns:a16="http://schemas.microsoft.com/office/drawing/2014/main" id="{00000000-0008-0000-0B00-000016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77764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83</xdr:row>
      <xdr:rowOff>39688</xdr:rowOff>
    </xdr:from>
    <xdr:to>
      <xdr:col>2</xdr:col>
      <xdr:colOff>312738</xdr:colOff>
      <xdr:row>83</xdr:row>
      <xdr:rowOff>293688</xdr:rowOff>
    </xdr:to>
    <xdr:pic>
      <xdr:nvPicPr>
        <xdr:cNvPr id="55321" name="Picture 55320">
          <a:extLst>
            <a:ext uri="{FF2B5EF4-FFF2-40B4-BE49-F238E27FC236}">
              <a16:creationId xmlns:a16="http://schemas.microsoft.com/office/drawing/2014/main" id="{00000000-0008-0000-0B00-000019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81098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83</xdr:row>
      <xdr:rowOff>39688</xdr:rowOff>
    </xdr:from>
    <xdr:to>
      <xdr:col>6</xdr:col>
      <xdr:colOff>346075</xdr:colOff>
      <xdr:row>83</xdr:row>
      <xdr:rowOff>293688</xdr:rowOff>
    </xdr:to>
    <xdr:pic>
      <xdr:nvPicPr>
        <xdr:cNvPr id="55324" name="Picture 55323">
          <a:extLst>
            <a:ext uri="{FF2B5EF4-FFF2-40B4-BE49-F238E27FC236}">
              <a16:creationId xmlns:a16="http://schemas.microsoft.com/office/drawing/2014/main" id="{00000000-0008-0000-0B00-00001C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81098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85</xdr:row>
      <xdr:rowOff>39688</xdr:rowOff>
    </xdr:from>
    <xdr:to>
      <xdr:col>2</xdr:col>
      <xdr:colOff>312738</xdr:colOff>
      <xdr:row>85</xdr:row>
      <xdr:rowOff>293688</xdr:rowOff>
    </xdr:to>
    <xdr:pic>
      <xdr:nvPicPr>
        <xdr:cNvPr id="55327" name="Picture 55326">
          <a:extLst>
            <a:ext uri="{FF2B5EF4-FFF2-40B4-BE49-F238E27FC236}">
              <a16:creationId xmlns:a16="http://schemas.microsoft.com/office/drawing/2014/main" id="{00000000-0008-0000-0B00-00001F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87766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85</xdr:row>
      <xdr:rowOff>39688</xdr:rowOff>
    </xdr:from>
    <xdr:to>
      <xdr:col>6</xdr:col>
      <xdr:colOff>346075</xdr:colOff>
      <xdr:row>85</xdr:row>
      <xdr:rowOff>293688</xdr:rowOff>
    </xdr:to>
    <xdr:pic>
      <xdr:nvPicPr>
        <xdr:cNvPr id="55330" name="Picture 55329">
          <a:extLst>
            <a:ext uri="{FF2B5EF4-FFF2-40B4-BE49-F238E27FC236}">
              <a16:creationId xmlns:a16="http://schemas.microsoft.com/office/drawing/2014/main" id="{00000000-0008-0000-0B00-000022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87766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86</xdr:row>
      <xdr:rowOff>39688</xdr:rowOff>
    </xdr:from>
    <xdr:to>
      <xdr:col>2</xdr:col>
      <xdr:colOff>312738</xdr:colOff>
      <xdr:row>86</xdr:row>
      <xdr:rowOff>293688</xdr:rowOff>
    </xdr:to>
    <xdr:pic>
      <xdr:nvPicPr>
        <xdr:cNvPr id="55333" name="Picture 55332">
          <a:extLst>
            <a:ext uri="{FF2B5EF4-FFF2-40B4-BE49-F238E27FC236}">
              <a16:creationId xmlns:a16="http://schemas.microsoft.com/office/drawing/2014/main" id="{00000000-0008-0000-0B00-000025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91099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86</xdr:row>
      <xdr:rowOff>39688</xdr:rowOff>
    </xdr:from>
    <xdr:to>
      <xdr:col>6</xdr:col>
      <xdr:colOff>346075</xdr:colOff>
      <xdr:row>86</xdr:row>
      <xdr:rowOff>293688</xdr:rowOff>
    </xdr:to>
    <xdr:pic>
      <xdr:nvPicPr>
        <xdr:cNvPr id="55336" name="Picture 55335">
          <a:extLst>
            <a:ext uri="{FF2B5EF4-FFF2-40B4-BE49-F238E27FC236}">
              <a16:creationId xmlns:a16="http://schemas.microsoft.com/office/drawing/2014/main" id="{00000000-0008-0000-0B00-000028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91099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90</xdr:row>
      <xdr:rowOff>39688</xdr:rowOff>
    </xdr:from>
    <xdr:to>
      <xdr:col>2</xdr:col>
      <xdr:colOff>312738</xdr:colOff>
      <xdr:row>90</xdr:row>
      <xdr:rowOff>293688</xdr:rowOff>
    </xdr:to>
    <xdr:pic>
      <xdr:nvPicPr>
        <xdr:cNvPr id="55339" name="Picture 55338">
          <a:extLst>
            <a:ext uri="{FF2B5EF4-FFF2-40B4-BE49-F238E27FC236}">
              <a16:creationId xmlns:a16="http://schemas.microsoft.com/office/drawing/2014/main" id="{00000000-0008-0000-0B00-00002B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05101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90</xdr:row>
      <xdr:rowOff>39688</xdr:rowOff>
    </xdr:from>
    <xdr:to>
      <xdr:col>6</xdr:col>
      <xdr:colOff>346075</xdr:colOff>
      <xdr:row>90</xdr:row>
      <xdr:rowOff>293688</xdr:rowOff>
    </xdr:to>
    <xdr:pic>
      <xdr:nvPicPr>
        <xdr:cNvPr id="55342" name="Picture 55341">
          <a:extLst>
            <a:ext uri="{FF2B5EF4-FFF2-40B4-BE49-F238E27FC236}">
              <a16:creationId xmlns:a16="http://schemas.microsoft.com/office/drawing/2014/main" id="{00000000-0008-0000-0B00-00002E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05101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91</xdr:row>
      <xdr:rowOff>39688</xdr:rowOff>
    </xdr:from>
    <xdr:to>
      <xdr:col>2</xdr:col>
      <xdr:colOff>312738</xdr:colOff>
      <xdr:row>91</xdr:row>
      <xdr:rowOff>293688</xdr:rowOff>
    </xdr:to>
    <xdr:pic>
      <xdr:nvPicPr>
        <xdr:cNvPr id="55345" name="Picture 55344">
          <a:extLst>
            <a:ext uri="{FF2B5EF4-FFF2-40B4-BE49-F238E27FC236}">
              <a16:creationId xmlns:a16="http://schemas.microsoft.com/office/drawing/2014/main" id="{00000000-0008-0000-0B00-000031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08435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91</xdr:row>
      <xdr:rowOff>39688</xdr:rowOff>
    </xdr:from>
    <xdr:to>
      <xdr:col>6</xdr:col>
      <xdr:colOff>346075</xdr:colOff>
      <xdr:row>91</xdr:row>
      <xdr:rowOff>293688</xdr:rowOff>
    </xdr:to>
    <xdr:pic>
      <xdr:nvPicPr>
        <xdr:cNvPr id="55348" name="Picture 55347">
          <a:extLst>
            <a:ext uri="{FF2B5EF4-FFF2-40B4-BE49-F238E27FC236}">
              <a16:creationId xmlns:a16="http://schemas.microsoft.com/office/drawing/2014/main" id="{00000000-0008-0000-0B00-000034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08435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93</xdr:row>
      <xdr:rowOff>39688</xdr:rowOff>
    </xdr:from>
    <xdr:to>
      <xdr:col>2</xdr:col>
      <xdr:colOff>312738</xdr:colOff>
      <xdr:row>93</xdr:row>
      <xdr:rowOff>293688</xdr:rowOff>
    </xdr:to>
    <xdr:pic>
      <xdr:nvPicPr>
        <xdr:cNvPr id="55351" name="Picture 55350">
          <a:extLst>
            <a:ext uri="{FF2B5EF4-FFF2-40B4-BE49-F238E27FC236}">
              <a16:creationId xmlns:a16="http://schemas.microsoft.com/office/drawing/2014/main" id="{00000000-0008-0000-0B00-000037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15102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93</xdr:row>
      <xdr:rowOff>39688</xdr:rowOff>
    </xdr:from>
    <xdr:to>
      <xdr:col>6</xdr:col>
      <xdr:colOff>346075</xdr:colOff>
      <xdr:row>93</xdr:row>
      <xdr:rowOff>293688</xdr:rowOff>
    </xdr:to>
    <xdr:pic>
      <xdr:nvPicPr>
        <xdr:cNvPr id="55354" name="Picture 55353">
          <a:extLst>
            <a:ext uri="{FF2B5EF4-FFF2-40B4-BE49-F238E27FC236}">
              <a16:creationId xmlns:a16="http://schemas.microsoft.com/office/drawing/2014/main" id="{00000000-0008-0000-0B00-00003A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15102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94</xdr:row>
      <xdr:rowOff>39688</xdr:rowOff>
    </xdr:from>
    <xdr:to>
      <xdr:col>2</xdr:col>
      <xdr:colOff>312738</xdr:colOff>
      <xdr:row>94</xdr:row>
      <xdr:rowOff>293688</xdr:rowOff>
    </xdr:to>
    <xdr:pic>
      <xdr:nvPicPr>
        <xdr:cNvPr id="55357" name="Picture 55356">
          <a:extLst>
            <a:ext uri="{FF2B5EF4-FFF2-40B4-BE49-F238E27FC236}">
              <a16:creationId xmlns:a16="http://schemas.microsoft.com/office/drawing/2014/main" id="{00000000-0008-0000-0B00-00003D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18436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94</xdr:row>
      <xdr:rowOff>39688</xdr:rowOff>
    </xdr:from>
    <xdr:to>
      <xdr:col>6</xdr:col>
      <xdr:colOff>346075</xdr:colOff>
      <xdr:row>94</xdr:row>
      <xdr:rowOff>293688</xdr:rowOff>
    </xdr:to>
    <xdr:pic>
      <xdr:nvPicPr>
        <xdr:cNvPr id="55360" name="Picture 55359">
          <a:extLst>
            <a:ext uri="{FF2B5EF4-FFF2-40B4-BE49-F238E27FC236}">
              <a16:creationId xmlns:a16="http://schemas.microsoft.com/office/drawing/2014/main" id="{00000000-0008-0000-0B00-000040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18436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95</xdr:row>
      <xdr:rowOff>39688</xdr:rowOff>
    </xdr:from>
    <xdr:to>
      <xdr:col>2</xdr:col>
      <xdr:colOff>312738</xdr:colOff>
      <xdr:row>95</xdr:row>
      <xdr:rowOff>293688</xdr:rowOff>
    </xdr:to>
    <xdr:pic>
      <xdr:nvPicPr>
        <xdr:cNvPr id="55363" name="Picture 55362">
          <a:extLst>
            <a:ext uri="{FF2B5EF4-FFF2-40B4-BE49-F238E27FC236}">
              <a16:creationId xmlns:a16="http://schemas.microsoft.com/office/drawing/2014/main" id="{00000000-0008-0000-0B00-000043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21770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95</xdr:row>
      <xdr:rowOff>39688</xdr:rowOff>
    </xdr:from>
    <xdr:to>
      <xdr:col>6</xdr:col>
      <xdr:colOff>346075</xdr:colOff>
      <xdr:row>95</xdr:row>
      <xdr:rowOff>293688</xdr:rowOff>
    </xdr:to>
    <xdr:pic>
      <xdr:nvPicPr>
        <xdr:cNvPr id="55366" name="Picture 55365">
          <a:extLst>
            <a:ext uri="{FF2B5EF4-FFF2-40B4-BE49-F238E27FC236}">
              <a16:creationId xmlns:a16="http://schemas.microsoft.com/office/drawing/2014/main" id="{00000000-0008-0000-0B00-000046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21770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97</xdr:row>
      <xdr:rowOff>39688</xdr:rowOff>
    </xdr:from>
    <xdr:to>
      <xdr:col>2</xdr:col>
      <xdr:colOff>312738</xdr:colOff>
      <xdr:row>97</xdr:row>
      <xdr:rowOff>293688</xdr:rowOff>
    </xdr:to>
    <xdr:pic>
      <xdr:nvPicPr>
        <xdr:cNvPr id="55369" name="Picture 55368">
          <a:extLst>
            <a:ext uri="{FF2B5EF4-FFF2-40B4-BE49-F238E27FC236}">
              <a16:creationId xmlns:a16="http://schemas.microsoft.com/office/drawing/2014/main" id="{00000000-0008-0000-0B00-000049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28437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97</xdr:row>
      <xdr:rowOff>39688</xdr:rowOff>
    </xdr:from>
    <xdr:to>
      <xdr:col>6</xdr:col>
      <xdr:colOff>346075</xdr:colOff>
      <xdr:row>97</xdr:row>
      <xdr:rowOff>293688</xdr:rowOff>
    </xdr:to>
    <xdr:pic>
      <xdr:nvPicPr>
        <xdr:cNvPr id="55372" name="Picture 55371">
          <a:extLst>
            <a:ext uri="{FF2B5EF4-FFF2-40B4-BE49-F238E27FC236}">
              <a16:creationId xmlns:a16="http://schemas.microsoft.com/office/drawing/2014/main" id="{00000000-0008-0000-0B00-00004C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28437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98</xdr:row>
      <xdr:rowOff>39688</xdr:rowOff>
    </xdr:from>
    <xdr:to>
      <xdr:col>2</xdr:col>
      <xdr:colOff>312738</xdr:colOff>
      <xdr:row>98</xdr:row>
      <xdr:rowOff>293688</xdr:rowOff>
    </xdr:to>
    <xdr:pic>
      <xdr:nvPicPr>
        <xdr:cNvPr id="55375" name="Picture 55374">
          <a:extLst>
            <a:ext uri="{FF2B5EF4-FFF2-40B4-BE49-F238E27FC236}">
              <a16:creationId xmlns:a16="http://schemas.microsoft.com/office/drawing/2014/main" id="{00000000-0008-0000-0B00-00004F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31771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98</xdr:row>
      <xdr:rowOff>39688</xdr:rowOff>
    </xdr:from>
    <xdr:to>
      <xdr:col>6</xdr:col>
      <xdr:colOff>346075</xdr:colOff>
      <xdr:row>98</xdr:row>
      <xdr:rowOff>293688</xdr:rowOff>
    </xdr:to>
    <xdr:pic>
      <xdr:nvPicPr>
        <xdr:cNvPr id="55378" name="Picture 55377">
          <a:extLst>
            <a:ext uri="{FF2B5EF4-FFF2-40B4-BE49-F238E27FC236}">
              <a16:creationId xmlns:a16="http://schemas.microsoft.com/office/drawing/2014/main" id="{00000000-0008-0000-0B00-000052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31771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102</xdr:row>
      <xdr:rowOff>39688</xdr:rowOff>
    </xdr:from>
    <xdr:to>
      <xdr:col>2</xdr:col>
      <xdr:colOff>312738</xdr:colOff>
      <xdr:row>102</xdr:row>
      <xdr:rowOff>293688</xdr:rowOff>
    </xdr:to>
    <xdr:pic>
      <xdr:nvPicPr>
        <xdr:cNvPr id="55381" name="Picture 55380">
          <a:extLst>
            <a:ext uri="{FF2B5EF4-FFF2-40B4-BE49-F238E27FC236}">
              <a16:creationId xmlns:a16="http://schemas.microsoft.com/office/drawing/2014/main" id="{00000000-0008-0000-0B00-000055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45773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102</xdr:row>
      <xdr:rowOff>39688</xdr:rowOff>
    </xdr:from>
    <xdr:to>
      <xdr:col>6</xdr:col>
      <xdr:colOff>346075</xdr:colOff>
      <xdr:row>102</xdr:row>
      <xdr:rowOff>293688</xdr:rowOff>
    </xdr:to>
    <xdr:pic>
      <xdr:nvPicPr>
        <xdr:cNvPr id="55384" name="Picture 55383">
          <a:extLst>
            <a:ext uri="{FF2B5EF4-FFF2-40B4-BE49-F238E27FC236}">
              <a16:creationId xmlns:a16="http://schemas.microsoft.com/office/drawing/2014/main" id="{00000000-0008-0000-0B00-000058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45773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103</xdr:row>
      <xdr:rowOff>39688</xdr:rowOff>
    </xdr:from>
    <xdr:to>
      <xdr:col>2</xdr:col>
      <xdr:colOff>312738</xdr:colOff>
      <xdr:row>103</xdr:row>
      <xdr:rowOff>293688</xdr:rowOff>
    </xdr:to>
    <xdr:pic>
      <xdr:nvPicPr>
        <xdr:cNvPr id="55387" name="Picture 55386">
          <a:extLst>
            <a:ext uri="{FF2B5EF4-FFF2-40B4-BE49-F238E27FC236}">
              <a16:creationId xmlns:a16="http://schemas.microsoft.com/office/drawing/2014/main" id="{00000000-0008-0000-0B00-00005B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49107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103</xdr:row>
      <xdr:rowOff>39688</xdr:rowOff>
    </xdr:from>
    <xdr:to>
      <xdr:col>6</xdr:col>
      <xdr:colOff>346075</xdr:colOff>
      <xdr:row>103</xdr:row>
      <xdr:rowOff>293688</xdr:rowOff>
    </xdr:to>
    <xdr:pic>
      <xdr:nvPicPr>
        <xdr:cNvPr id="55390" name="Picture 55389">
          <a:extLst>
            <a:ext uri="{FF2B5EF4-FFF2-40B4-BE49-F238E27FC236}">
              <a16:creationId xmlns:a16="http://schemas.microsoft.com/office/drawing/2014/main" id="{00000000-0008-0000-0B00-00005E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49107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104</xdr:row>
      <xdr:rowOff>39688</xdr:rowOff>
    </xdr:from>
    <xdr:to>
      <xdr:col>2</xdr:col>
      <xdr:colOff>312738</xdr:colOff>
      <xdr:row>104</xdr:row>
      <xdr:rowOff>293688</xdr:rowOff>
    </xdr:to>
    <xdr:pic>
      <xdr:nvPicPr>
        <xdr:cNvPr id="55393" name="Picture 55392">
          <a:extLst>
            <a:ext uri="{FF2B5EF4-FFF2-40B4-BE49-F238E27FC236}">
              <a16:creationId xmlns:a16="http://schemas.microsoft.com/office/drawing/2014/main" id="{00000000-0008-0000-0B00-000061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52440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104</xdr:row>
      <xdr:rowOff>39688</xdr:rowOff>
    </xdr:from>
    <xdr:to>
      <xdr:col>6</xdr:col>
      <xdr:colOff>346075</xdr:colOff>
      <xdr:row>104</xdr:row>
      <xdr:rowOff>293688</xdr:rowOff>
    </xdr:to>
    <xdr:pic>
      <xdr:nvPicPr>
        <xdr:cNvPr id="55396" name="Picture 55395">
          <a:extLst>
            <a:ext uri="{FF2B5EF4-FFF2-40B4-BE49-F238E27FC236}">
              <a16:creationId xmlns:a16="http://schemas.microsoft.com/office/drawing/2014/main" id="{00000000-0008-0000-0B00-000064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52440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105</xdr:row>
      <xdr:rowOff>39688</xdr:rowOff>
    </xdr:from>
    <xdr:to>
      <xdr:col>2</xdr:col>
      <xdr:colOff>312738</xdr:colOff>
      <xdr:row>105</xdr:row>
      <xdr:rowOff>293688</xdr:rowOff>
    </xdr:to>
    <xdr:pic>
      <xdr:nvPicPr>
        <xdr:cNvPr id="55399" name="Picture 55398">
          <a:extLst>
            <a:ext uri="{FF2B5EF4-FFF2-40B4-BE49-F238E27FC236}">
              <a16:creationId xmlns:a16="http://schemas.microsoft.com/office/drawing/2014/main" id="{00000000-0008-0000-0B00-000067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55774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105</xdr:row>
      <xdr:rowOff>39688</xdr:rowOff>
    </xdr:from>
    <xdr:to>
      <xdr:col>6</xdr:col>
      <xdr:colOff>346075</xdr:colOff>
      <xdr:row>105</xdr:row>
      <xdr:rowOff>293688</xdr:rowOff>
    </xdr:to>
    <xdr:pic>
      <xdr:nvPicPr>
        <xdr:cNvPr id="55402" name="Picture 55401">
          <a:extLst>
            <a:ext uri="{FF2B5EF4-FFF2-40B4-BE49-F238E27FC236}">
              <a16:creationId xmlns:a16="http://schemas.microsoft.com/office/drawing/2014/main" id="{00000000-0008-0000-0B00-00006A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55774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106</xdr:row>
      <xdr:rowOff>39688</xdr:rowOff>
    </xdr:from>
    <xdr:to>
      <xdr:col>2</xdr:col>
      <xdr:colOff>312738</xdr:colOff>
      <xdr:row>106</xdr:row>
      <xdr:rowOff>293688</xdr:rowOff>
    </xdr:to>
    <xdr:pic>
      <xdr:nvPicPr>
        <xdr:cNvPr id="55405" name="Picture 55404">
          <a:extLst>
            <a:ext uri="{FF2B5EF4-FFF2-40B4-BE49-F238E27FC236}">
              <a16:creationId xmlns:a16="http://schemas.microsoft.com/office/drawing/2014/main" id="{00000000-0008-0000-0B00-00006D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59108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106</xdr:row>
      <xdr:rowOff>39688</xdr:rowOff>
    </xdr:from>
    <xdr:to>
      <xdr:col>6</xdr:col>
      <xdr:colOff>346075</xdr:colOff>
      <xdr:row>106</xdr:row>
      <xdr:rowOff>293688</xdr:rowOff>
    </xdr:to>
    <xdr:pic>
      <xdr:nvPicPr>
        <xdr:cNvPr id="55408" name="Picture 55407">
          <a:extLst>
            <a:ext uri="{FF2B5EF4-FFF2-40B4-BE49-F238E27FC236}">
              <a16:creationId xmlns:a16="http://schemas.microsoft.com/office/drawing/2014/main" id="{00000000-0008-0000-0B00-000070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59108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107</xdr:row>
      <xdr:rowOff>39688</xdr:rowOff>
    </xdr:from>
    <xdr:to>
      <xdr:col>2</xdr:col>
      <xdr:colOff>312738</xdr:colOff>
      <xdr:row>107</xdr:row>
      <xdr:rowOff>293688</xdr:rowOff>
    </xdr:to>
    <xdr:pic>
      <xdr:nvPicPr>
        <xdr:cNvPr id="55411" name="Picture 55410">
          <a:extLst>
            <a:ext uri="{FF2B5EF4-FFF2-40B4-BE49-F238E27FC236}">
              <a16:creationId xmlns:a16="http://schemas.microsoft.com/office/drawing/2014/main" id="{00000000-0008-0000-0B00-000073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62442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107</xdr:row>
      <xdr:rowOff>39688</xdr:rowOff>
    </xdr:from>
    <xdr:to>
      <xdr:col>6</xdr:col>
      <xdr:colOff>346075</xdr:colOff>
      <xdr:row>107</xdr:row>
      <xdr:rowOff>293688</xdr:rowOff>
    </xdr:to>
    <xdr:pic>
      <xdr:nvPicPr>
        <xdr:cNvPr id="55414" name="Picture 55413">
          <a:extLst>
            <a:ext uri="{FF2B5EF4-FFF2-40B4-BE49-F238E27FC236}">
              <a16:creationId xmlns:a16="http://schemas.microsoft.com/office/drawing/2014/main" id="{00000000-0008-0000-0B00-000076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62442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108</xdr:row>
      <xdr:rowOff>39688</xdr:rowOff>
    </xdr:from>
    <xdr:to>
      <xdr:col>2</xdr:col>
      <xdr:colOff>312738</xdr:colOff>
      <xdr:row>108</xdr:row>
      <xdr:rowOff>293688</xdr:rowOff>
    </xdr:to>
    <xdr:pic>
      <xdr:nvPicPr>
        <xdr:cNvPr id="55417" name="Picture 55416">
          <a:extLst>
            <a:ext uri="{FF2B5EF4-FFF2-40B4-BE49-F238E27FC236}">
              <a16:creationId xmlns:a16="http://schemas.microsoft.com/office/drawing/2014/main" id="{00000000-0008-0000-0B00-000079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65775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108</xdr:row>
      <xdr:rowOff>39688</xdr:rowOff>
    </xdr:from>
    <xdr:to>
      <xdr:col>6</xdr:col>
      <xdr:colOff>346075</xdr:colOff>
      <xdr:row>108</xdr:row>
      <xdr:rowOff>293688</xdr:rowOff>
    </xdr:to>
    <xdr:pic>
      <xdr:nvPicPr>
        <xdr:cNvPr id="55420" name="Picture 55419">
          <a:extLst>
            <a:ext uri="{FF2B5EF4-FFF2-40B4-BE49-F238E27FC236}">
              <a16:creationId xmlns:a16="http://schemas.microsoft.com/office/drawing/2014/main" id="{00000000-0008-0000-0B00-00007C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65775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110</xdr:row>
      <xdr:rowOff>39688</xdr:rowOff>
    </xdr:from>
    <xdr:to>
      <xdr:col>2</xdr:col>
      <xdr:colOff>312738</xdr:colOff>
      <xdr:row>110</xdr:row>
      <xdr:rowOff>293688</xdr:rowOff>
    </xdr:to>
    <xdr:pic>
      <xdr:nvPicPr>
        <xdr:cNvPr id="55423" name="Picture 55422">
          <a:extLst>
            <a:ext uri="{FF2B5EF4-FFF2-40B4-BE49-F238E27FC236}">
              <a16:creationId xmlns:a16="http://schemas.microsoft.com/office/drawing/2014/main" id="{00000000-0008-0000-0B00-00007F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72443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110</xdr:row>
      <xdr:rowOff>39688</xdr:rowOff>
    </xdr:from>
    <xdr:to>
      <xdr:col>6</xdr:col>
      <xdr:colOff>346075</xdr:colOff>
      <xdr:row>110</xdr:row>
      <xdr:rowOff>293688</xdr:rowOff>
    </xdr:to>
    <xdr:pic>
      <xdr:nvPicPr>
        <xdr:cNvPr id="55426" name="Picture 55425">
          <a:extLst>
            <a:ext uri="{FF2B5EF4-FFF2-40B4-BE49-F238E27FC236}">
              <a16:creationId xmlns:a16="http://schemas.microsoft.com/office/drawing/2014/main" id="{00000000-0008-0000-0B00-000082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72443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111</xdr:row>
      <xdr:rowOff>39688</xdr:rowOff>
    </xdr:from>
    <xdr:to>
      <xdr:col>2</xdr:col>
      <xdr:colOff>312738</xdr:colOff>
      <xdr:row>111</xdr:row>
      <xdr:rowOff>293688</xdr:rowOff>
    </xdr:to>
    <xdr:pic>
      <xdr:nvPicPr>
        <xdr:cNvPr id="55429" name="Picture 55428">
          <a:extLst>
            <a:ext uri="{FF2B5EF4-FFF2-40B4-BE49-F238E27FC236}">
              <a16:creationId xmlns:a16="http://schemas.microsoft.com/office/drawing/2014/main" id="{00000000-0008-0000-0B00-000085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75777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111</xdr:row>
      <xdr:rowOff>39688</xdr:rowOff>
    </xdr:from>
    <xdr:to>
      <xdr:col>6</xdr:col>
      <xdr:colOff>346075</xdr:colOff>
      <xdr:row>111</xdr:row>
      <xdr:rowOff>293688</xdr:rowOff>
    </xdr:to>
    <xdr:pic>
      <xdr:nvPicPr>
        <xdr:cNvPr id="55432" name="Picture 55431">
          <a:extLst>
            <a:ext uri="{FF2B5EF4-FFF2-40B4-BE49-F238E27FC236}">
              <a16:creationId xmlns:a16="http://schemas.microsoft.com/office/drawing/2014/main" id="{00000000-0008-0000-0B00-000088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75777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113</xdr:row>
      <xdr:rowOff>39688</xdr:rowOff>
    </xdr:from>
    <xdr:to>
      <xdr:col>2</xdr:col>
      <xdr:colOff>312738</xdr:colOff>
      <xdr:row>113</xdr:row>
      <xdr:rowOff>293688</xdr:rowOff>
    </xdr:to>
    <xdr:pic>
      <xdr:nvPicPr>
        <xdr:cNvPr id="55435" name="Picture 55434">
          <a:extLst>
            <a:ext uri="{FF2B5EF4-FFF2-40B4-BE49-F238E27FC236}">
              <a16:creationId xmlns:a16="http://schemas.microsoft.com/office/drawing/2014/main" id="{00000000-0008-0000-0B00-00008B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82444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113</xdr:row>
      <xdr:rowOff>39688</xdr:rowOff>
    </xdr:from>
    <xdr:to>
      <xdr:col>6</xdr:col>
      <xdr:colOff>346075</xdr:colOff>
      <xdr:row>113</xdr:row>
      <xdr:rowOff>293688</xdr:rowOff>
    </xdr:to>
    <xdr:pic>
      <xdr:nvPicPr>
        <xdr:cNvPr id="55438" name="Picture 55437">
          <a:extLst>
            <a:ext uri="{FF2B5EF4-FFF2-40B4-BE49-F238E27FC236}">
              <a16:creationId xmlns:a16="http://schemas.microsoft.com/office/drawing/2014/main" id="{00000000-0008-0000-0B00-00008E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82444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117</xdr:row>
      <xdr:rowOff>39688</xdr:rowOff>
    </xdr:from>
    <xdr:to>
      <xdr:col>2</xdr:col>
      <xdr:colOff>312738</xdr:colOff>
      <xdr:row>117</xdr:row>
      <xdr:rowOff>293688</xdr:rowOff>
    </xdr:to>
    <xdr:pic>
      <xdr:nvPicPr>
        <xdr:cNvPr id="55441" name="Picture 55440">
          <a:extLst>
            <a:ext uri="{FF2B5EF4-FFF2-40B4-BE49-F238E27FC236}">
              <a16:creationId xmlns:a16="http://schemas.microsoft.com/office/drawing/2014/main" id="{00000000-0008-0000-0B00-000091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96446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117</xdr:row>
      <xdr:rowOff>39688</xdr:rowOff>
    </xdr:from>
    <xdr:to>
      <xdr:col>6</xdr:col>
      <xdr:colOff>346075</xdr:colOff>
      <xdr:row>117</xdr:row>
      <xdr:rowOff>293688</xdr:rowOff>
    </xdr:to>
    <xdr:pic>
      <xdr:nvPicPr>
        <xdr:cNvPr id="55444" name="Picture 55443">
          <a:extLst>
            <a:ext uri="{FF2B5EF4-FFF2-40B4-BE49-F238E27FC236}">
              <a16:creationId xmlns:a16="http://schemas.microsoft.com/office/drawing/2014/main" id="{00000000-0008-0000-0B00-000094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96446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118</xdr:row>
      <xdr:rowOff>39688</xdr:rowOff>
    </xdr:from>
    <xdr:to>
      <xdr:col>2</xdr:col>
      <xdr:colOff>312738</xdr:colOff>
      <xdr:row>118</xdr:row>
      <xdr:rowOff>293688</xdr:rowOff>
    </xdr:to>
    <xdr:pic>
      <xdr:nvPicPr>
        <xdr:cNvPr id="55447" name="Picture 55446">
          <a:extLst>
            <a:ext uri="{FF2B5EF4-FFF2-40B4-BE49-F238E27FC236}">
              <a16:creationId xmlns:a16="http://schemas.microsoft.com/office/drawing/2014/main" id="{00000000-0008-0000-0B00-000097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399780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118</xdr:row>
      <xdr:rowOff>39688</xdr:rowOff>
    </xdr:from>
    <xdr:to>
      <xdr:col>6</xdr:col>
      <xdr:colOff>346075</xdr:colOff>
      <xdr:row>118</xdr:row>
      <xdr:rowOff>293688</xdr:rowOff>
    </xdr:to>
    <xdr:pic>
      <xdr:nvPicPr>
        <xdr:cNvPr id="55450" name="Picture 55449">
          <a:extLst>
            <a:ext uri="{FF2B5EF4-FFF2-40B4-BE49-F238E27FC236}">
              <a16:creationId xmlns:a16="http://schemas.microsoft.com/office/drawing/2014/main" id="{00000000-0008-0000-0B00-00009A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399780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119</xdr:row>
      <xdr:rowOff>39688</xdr:rowOff>
    </xdr:from>
    <xdr:to>
      <xdr:col>2</xdr:col>
      <xdr:colOff>312738</xdr:colOff>
      <xdr:row>119</xdr:row>
      <xdr:rowOff>293688</xdr:rowOff>
    </xdr:to>
    <xdr:pic>
      <xdr:nvPicPr>
        <xdr:cNvPr id="55453" name="Picture 55452">
          <a:extLst>
            <a:ext uri="{FF2B5EF4-FFF2-40B4-BE49-F238E27FC236}">
              <a16:creationId xmlns:a16="http://schemas.microsoft.com/office/drawing/2014/main" id="{00000000-0008-0000-0B00-00009D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03113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119</xdr:row>
      <xdr:rowOff>39688</xdr:rowOff>
    </xdr:from>
    <xdr:to>
      <xdr:col>6</xdr:col>
      <xdr:colOff>346075</xdr:colOff>
      <xdr:row>119</xdr:row>
      <xdr:rowOff>293688</xdr:rowOff>
    </xdr:to>
    <xdr:pic>
      <xdr:nvPicPr>
        <xdr:cNvPr id="55456" name="Picture 55455">
          <a:extLst>
            <a:ext uri="{FF2B5EF4-FFF2-40B4-BE49-F238E27FC236}">
              <a16:creationId xmlns:a16="http://schemas.microsoft.com/office/drawing/2014/main" id="{00000000-0008-0000-0B00-0000A0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03113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120</xdr:row>
      <xdr:rowOff>39688</xdr:rowOff>
    </xdr:from>
    <xdr:to>
      <xdr:col>2</xdr:col>
      <xdr:colOff>312738</xdr:colOff>
      <xdr:row>120</xdr:row>
      <xdr:rowOff>293688</xdr:rowOff>
    </xdr:to>
    <xdr:pic>
      <xdr:nvPicPr>
        <xdr:cNvPr id="55459" name="Picture 55458">
          <a:extLst>
            <a:ext uri="{FF2B5EF4-FFF2-40B4-BE49-F238E27FC236}">
              <a16:creationId xmlns:a16="http://schemas.microsoft.com/office/drawing/2014/main" id="{00000000-0008-0000-0B00-0000A3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06447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120</xdr:row>
      <xdr:rowOff>39688</xdr:rowOff>
    </xdr:from>
    <xdr:to>
      <xdr:col>6</xdr:col>
      <xdr:colOff>346075</xdr:colOff>
      <xdr:row>120</xdr:row>
      <xdr:rowOff>293688</xdr:rowOff>
    </xdr:to>
    <xdr:pic>
      <xdr:nvPicPr>
        <xdr:cNvPr id="55462" name="Picture 55461">
          <a:extLst>
            <a:ext uri="{FF2B5EF4-FFF2-40B4-BE49-F238E27FC236}">
              <a16:creationId xmlns:a16="http://schemas.microsoft.com/office/drawing/2014/main" id="{00000000-0008-0000-0B00-0000A6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06447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121</xdr:row>
      <xdr:rowOff>39688</xdr:rowOff>
    </xdr:from>
    <xdr:to>
      <xdr:col>2</xdr:col>
      <xdr:colOff>312738</xdr:colOff>
      <xdr:row>121</xdr:row>
      <xdr:rowOff>293688</xdr:rowOff>
    </xdr:to>
    <xdr:pic>
      <xdr:nvPicPr>
        <xdr:cNvPr id="55465" name="Picture 55464">
          <a:extLst>
            <a:ext uri="{FF2B5EF4-FFF2-40B4-BE49-F238E27FC236}">
              <a16:creationId xmlns:a16="http://schemas.microsoft.com/office/drawing/2014/main" id="{00000000-0008-0000-0B00-0000A9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09781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121</xdr:row>
      <xdr:rowOff>39688</xdr:rowOff>
    </xdr:from>
    <xdr:to>
      <xdr:col>6</xdr:col>
      <xdr:colOff>346075</xdr:colOff>
      <xdr:row>121</xdr:row>
      <xdr:rowOff>293688</xdr:rowOff>
    </xdr:to>
    <xdr:pic>
      <xdr:nvPicPr>
        <xdr:cNvPr id="55468" name="Picture 55467">
          <a:extLst>
            <a:ext uri="{FF2B5EF4-FFF2-40B4-BE49-F238E27FC236}">
              <a16:creationId xmlns:a16="http://schemas.microsoft.com/office/drawing/2014/main" id="{00000000-0008-0000-0B00-0000AC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09781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123</xdr:row>
      <xdr:rowOff>39688</xdr:rowOff>
    </xdr:from>
    <xdr:to>
      <xdr:col>2</xdr:col>
      <xdr:colOff>312738</xdr:colOff>
      <xdr:row>123</xdr:row>
      <xdr:rowOff>293688</xdr:rowOff>
    </xdr:to>
    <xdr:pic>
      <xdr:nvPicPr>
        <xdr:cNvPr id="55471" name="Picture 55470">
          <a:extLst>
            <a:ext uri="{FF2B5EF4-FFF2-40B4-BE49-F238E27FC236}">
              <a16:creationId xmlns:a16="http://schemas.microsoft.com/office/drawing/2014/main" id="{00000000-0008-0000-0B00-0000AF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16448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123</xdr:row>
      <xdr:rowOff>39688</xdr:rowOff>
    </xdr:from>
    <xdr:to>
      <xdr:col>6</xdr:col>
      <xdr:colOff>346075</xdr:colOff>
      <xdr:row>123</xdr:row>
      <xdr:rowOff>293688</xdr:rowOff>
    </xdr:to>
    <xdr:pic>
      <xdr:nvPicPr>
        <xdr:cNvPr id="55474" name="Picture 55473">
          <a:extLst>
            <a:ext uri="{FF2B5EF4-FFF2-40B4-BE49-F238E27FC236}">
              <a16:creationId xmlns:a16="http://schemas.microsoft.com/office/drawing/2014/main" id="{00000000-0008-0000-0B00-0000B2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16448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124</xdr:row>
      <xdr:rowOff>39688</xdr:rowOff>
    </xdr:from>
    <xdr:to>
      <xdr:col>2</xdr:col>
      <xdr:colOff>312738</xdr:colOff>
      <xdr:row>124</xdr:row>
      <xdr:rowOff>293688</xdr:rowOff>
    </xdr:to>
    <xdr:pic>
      <xdr:nvPicPr>
        <xdr:cNvPr id="55477" name="Picture 55476">
          <a:extLst>
            <a:ext uri="{FF2B5EF4-FFF2-40B4-BE49-F238E27FC236}">
              <a16:creationId xmlns:a16="http://schemas.microsoft.com/office/drawing/2014/main" id="{00000000-0008-0000-0B00-0000B5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19782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124</xdr:row>
      <xdr:rowOff>39688</xdr:rowOff>
    </xdr:from>
    <xdr:to>
      <xdr:col>6</xdr:col>
      <xdr:colOff>346075</xdr:colOff>
      <xdr:row>124</xdr:row>
      <xdr:rowOff>293688</xdr:rowOff>
    </xdr:to>
    <xdr:pic>
      <xdr:nvPicPr>
        <xdr:cNvPr id="55480" name="Picture 55479">
          <a:extLst>
            <a:ext uri="{FF2B5EF4-FFF2-40B4-BE49-F238E27FC236}">
              <a16:creationId xmlns:a16="http://schemas.microsoft.com/office/drawing/2014/main" id="{00000000-0008-0000-0B00-0000B8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19782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125</xdr:row>
      <xdr:rowOff>39688</xdr:rowOff>
    </xdr:from>
    <xdr:to>
      <xdr:col>2</xdr:col>
      <xdr:colOff>312738</xdr:colOff>
      <xdr:row>125</xdr:row>
      <xdr:rowOff>293688</xdr:rowOff>
    </xdr:to>
    <xdr:pic>
      <xdr:nvPicPr>
        <xdr:cNvPr id="55483" name="Picture 55482">
          <a:extLst>
            <a:ext uri="{FF2B5EF4-FFF2-40B4-BE49-F238E27FC236}">
              <a16:creationId xmlns:a16="http://schemas.microsoft.com/office/drawing/2014/main" id="{00000000-0008-0000-0B00-0000BB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23116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125</xdr:row>
      <xdr:rowOff>39688</xdr:rowOff>
    </xdr:from>
    <xdr:to>
      <xdr:col>6</xdr:col>
      <xdr:colOff>346075</xdr:colOff>
      <xdr:row>125</xdr:row>
      <xdr:rowOff>293688</xdr:rowOff>
    </xdr:to>
    <xdr:pic>
      <xdr:nvPicPr>
        <xdr:cNvPr id="55486" name="Picture 55485">
          <a:extLst>
            <a:ext uri="{FF2B5EF4-FFF2-40B4-BE49-F238E27FC236}">
              <a16:creationId xmlns:a16="http://schemas.microsoft.com/office/drawing/2014/main" id="{00000000-0008-0000-0B00-0000BE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23116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126</xdr:row>
      <xdr:rowOff>39688</xdr:rowOff>
    </xdr:from>
    <xdr:to>
      <xdr:col>2</xdr:col>
      <xdr:colOff>312738</xdr:colOff>
      <xdr:row>126</xdr:row>
      <xdr:rowOff>293688</xdr:rowOff>
    </xdr:to>
    <xdr:pic>
      <xdr:nvPicPr>
        <xdr:cNvPr id="55489" name="Picture 55488">
          <a:extLst>
            <a:ext uri="{FF2B5EF4-FFF2-40B4-BE49-F238E27FC236}">
              <a16:creationId xmlns:a16="http://schemas.microsoft.com/office/drawing/2014/main" id="{00000000-0008-0000-0B00-0000C1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26450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126</xdr:row>
      <xdr:rowOff>39688</xdr:rowOff>
    </xdr:from>
    <xdr:to>
      <xdr:col>6</xdr:col>
      <xdr:colOff>346075</xdr:colOff>
      <xdr:row>126</xdr:row>
      <xdr:rowOff>293688</xdr:rowOff>
    </xdr:to>
    <xdr:pic>
      <xdr:nvPicPr>
        <xdr:cNvPr id="55492" name="Picture 55491">
          <a:extLst>
            <a:ext uri="{FF2B5EF4-FFF2-40B4-BE49-F238E27FC236}">
              <a16:creationId xmlns:a16="http://schemas.microsoft.com/office/drawing/2014/main" id="{00000000-0008-0000-0B00-0000C4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26450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128</xdr:row>
      <xdr:rowOff>39688</xdr:rowOff>
    </xdr:from>
    <xdr:to>
      <xdr:col>2</xdr:col>
      <xdr:colOff>312738</xdr:colOff>
      <xdr:row>128</xdr:row>
      <xdr:rowOff>293688</xdr:rowOff>
    </xdr:to>
    <xdr:pic>
      <xdr:nvPicPr>
        <xdr:cNvPr id="55495" name="Picture 55494">
          <a:extLst>
            <a:ext uri="{FF2B5EF4-FFF2-40B4-BE49-F238E27FC236}">
              <a16:creationId xmlns:a16="http://schemas.microsoft.com/office/drawing/2014/main" id="{00000000-0008-0000-0B00-0000C7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33117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128</xdr:row>
      <xdr:rowOff>39688</xdr:rowOff>
    </xdr:from>
    <xdr:to>
      <xdr:col>6</xdr:col>
      <xdr:colOff>346075</xdr:colOff>
      <xdr:row>128</xdr:row>
      <xdr:rowOff>293688</xdr:rowOff>
    </xdr:to>
    <xdr:pic>
      <xdr:nvPicPr>
        <xdr:cNvPr id="55498" name="Picture 55497">
          <a:extLst>
            <a:ext uri="{FF2B5EF4-FFF2-40B4-BE49-F238E27FC236}">
              <a16:creationId xmlns:a16="http://schemas.microsoft.com/office/drawing/2014/main" id="{00000000-0008-0000-0B00-0000CA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33117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132</xdr:row>
      <xdr:rowOff>39688</xdr:rowOff>
    </xdr:from>
    <xdr:to>
      <xdr:col>2</xdr:col>
      <xdr:colOff>312738</xdr:colOff>
      <xdr:row>132</xdr:row>
      <xdr:rowOff>293688</xdr:rowOff>
    </xdr:to>
    <xdr:pic>
      <xdr:nvPicPr>
        <xdr:cNvPr id="55501" name="Picture 55500">
          <a:extLst>
            <a:ext uri="{FF2B5EF4-FFF2-40B4-BE49-F238E27FC236}">
              <a16:creationId xmlns:a16="http://schemas.microsoft.com/office/drawing/2014/main" id="{00000000-0008-0000-0B00-0000CD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47119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132</xdr:row>
      <xdr:rowOff>39688</xdr:rowOff>
    </xdr:from>
    <xdr:to>
      <xdr:col>6</xdr:col>
      <xdr:colOff>346075</xdr:colOff>
      <xdr:row>132</xdr:row>
      <xdr:rowOff>293688</xdr:rowOff>
    </xdr:to>
    <xdr:pic>
      <xdr:nvPicPr>
        <xdr:cNvPr id="55504" name="Picture 55503">
          <a:extLst>
            <a:ext uri="{FF2B5EF4-FFF2-40B4-BE49-F238E27FC236}">
              <a16:creationId xmlns:a16="http://schemas.microsoft.com/office/drawing/2014/main" id="{00000000-0008-0000-0B00-0000D0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47119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134</xdr:row>
      <xdr:rowOff>39688</xdr:rowOff>
    </xdr:from>
    <xdr:to>
      <xdr:col>2</xdr:col>
      <xdr:colOff>312738</xdr:colOff>
      <xdr:row>134</xdr:row>
      <xdr:rowOff>293688</xdr:rowOff>
    </xdr:to>
    <xdr:pic>
      <xdr:nvPicPr>
        <xdr:cNvPr id="55507" name="Picture 55506">
          <a:extLst>
            <a:ext uri="{FF2B5EF4-FFF2-40B4-BE49-F238E27FC236}">
              <a16:creationId xmlns:a16="http://schemas.microsoft.com/office/drawing/2014/main" id="{00000000-0008-0000-0B00-0000D3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53786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134</xdr:row>
      <xdr:rowOff>39688</xdr:rowOff>
    </xdr:from>
    <xdr:to>
      <xdr:col>6</xdr:col>
      <xdr:colOff>346075</xdr:colOff>
      <xdr:row>134</xdr:row>
      <xdr:rowOff>293688</xdr:rowOff>
    </xdr:to>
    <xdr:pic>
      <xdr:nvPicPr>
        <xdr:cNvPr id="55510" name="Picture 55509">
          <a:extLst>
            <a:ext uri="{FF2B5EF4-FFF2-40B4-BE49-F238E27FC236}">
              <a16:creationId xmlns:a16="http://schemas.microsoft.com/office/drawing/2014/main" id="{00000000-0008-0000-0B00-0000D6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53786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135</xdr:row>
      <xdr:rowOff>39688</xdr:rowOff>
    </xdr:from>
    <xdr:to>
      <xdr:col>2</xdr:col>
      <xdr:colOff>312738</xdr:colOff>
      <xdr:row>135</xdr:row>
      <xdr:rowOff>293688</xdr:rowOff>
    </xdr:to>
    <xdr:pic>
      <xdr:nvPicPr>
        <xdr:cNvPr id="55513" name="Picture 55512">
          <a:extLst>
            <a:ext uri="{FF2B5EF4-FFF2-40B4-BE49-F238E27FC236}">
              <a16:creationId xmlns:a16="http://schemas.microsoft.com/office/drawing/2014/main" id="{00000000-0008-0000-0B00-0000D9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57120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135</xdr:row>
      <xdr:rowOff>39688</xdr:rowOff>
    </xdr:from>
    <xdr:to>
      <xdr:col>6</xdr:col>
      <xdr:colOff>346075</xdr:colOff>
      <xdr:row>135</xdr:row>
      <xdr:rowOff>293688</xdr:rowOff>
    </xdr:to>
    <xdr:pic>
      <xdr:nvPicPr>
        <xdr:cNvPr id="55516" name="Picture 55515">
          <a:extLst>
            <a:ext uri="{FF2B5EF4-FFF2-40B4-BE49-F238E27FC236}">
              <a16:creationId xmlns:a16="http://schemas.microsoft.com/office/drawing/2014/main" id="{00000000-0008-0000-0B00-0000DC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57120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136</xdr:row>
      <xdr:rowOff>39688</xdr:rowOff>
    </xdr:from>
    <xdr:to>
      <xdr:col>2</xdr:col>
      <xdr:colOff>312738</xdr:colOff>
      <xdr:row>136</xdr:row>
      <xdr:rowOff>293688</xdr:rowOff>
    </xdr:to>
    <xdr:pic>
      <xdr:nvPicPr>
        <xdr:cNvPr id="55519" name="Picture 55518">
          <a:extLst>
            <a:ext uri="{FF2B5EF4-FFF2-40B4-BE49-F238E27FC236}">
              <a16:creationId xmlns:a16="http://schemas.microsoft.com/office/drawing/2014/main" id="{00000000-0008-0000-0B00-0000DF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60454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136</xdr:row>
      <xdr:rowOff>39688</xdr:rowOff>
    </xdr:from>
    <xdr:to>
      <xdr:col>6</xdr:col>
      <xdr:colOff>346075</xdr:colOff>
      <xdr:row>136</xdr:row>
      <xdr:rowOff>293688</xdr:rowOff>
    </xdr:to>
    <xdr:pic>
      <xdr:nvPicPr>
        <xdr:cNvPr id="55522" name="Picture 55521">
          <a:extLst>
            <a:ext uri="{FF2B5EF4-FFF2-40B4-BE49-F238E27FC236}">
              <a16:creationId xmlns:a16="http://schemas.microsoft.com/office/drawing/2014/main" id="{00000000-0008-0000-0B00-0000E2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60454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137</xdr:row>
      <xdr:rowOff>39688</xdr:rowOff>
    </xdr:from>
    <xdr:to>
      <xdr:col>2</xdr:col>
      <xdr:colOff>312738</xdr:colOff>
      <xdr:row>137</xdr:row>
      <xdr:rowOff>293688</xdr:rowOff>
    </xdr:to>
    <xdr:pic>
      <xdr:nvPicPr>
        <xdr:cNvPr id="55525" name="Picture 55524">
          <a:extLst>
            <a:ext uri="{FF2B5EF4-FFF2-40B4-BE49-F238E27FC236}">
              <a16:creationId xmlns:a16="http://schemas.microsoft.com/office/drawing/2014/main" id="{00000000-0008-0000-0B00-0000E5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63788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137</xdr:row>
      <xdr:rowOff>39688</xdr:rowOff>
    </xdr:from>
    <xdr:to>
      <xdr:col>6</xdr:col>
      <xdr:colOff>346075</xdr:colOff>
      <xdr:row>137</xdr:row>
      <xdr:rowOff>293688</xdr:rowOff>
    </xdr:to>
    <xdr:pic>
      <xdr:nvPicPr>
        <xdr:cNvPr id="55528" name="Picture 55527">
          <a:extLst>
            <a:ext uri="{FF2B5EF4-FFF2-40B4-BE49-F238E27FC236}">
              <a16:creationId xmlns:a16="http://schemas.microsoft.com/office/drawing/2014/main" id="{00000000-0008-0000-0B00-0000E8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63788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139</xdr:row>
      <xdr:rowOff>39688</xdr:rowOff>
    </xdr:from>
    <xdr:to>
      <xdr:col>2</xdr:col>
      <xdr:colOff>312738</xdr:colOff>
      <xdr:row>139</xdr:row>
      <xdr:rowOff>293688</xdr:rowOff>
    </xdr:to>
    <xdr:pic>
      <xdr:nvPicPr>
        <xdr:cNvPr id="55531" name="Picture 55530">
          <a:extLst>
            <a:ext uri="{FF2B5EF4-FFF2-40B4-BE49-F238E27FC236}">
              <a16:creationId xmlns:a16="http://schemas.microsoft.com/office/drawing/2014/main" id="{00000000-0008-0000-0B00-0000EB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70455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139</xdr:row>
      <xdr:rowOff>39688</xdr:rowOff>
    </xdr:from>
    <xdr:to>
      <xdr:col>6</xdr:col>
      <xdr:colOff>346075</xdr:colOff>
      <xdr:row>139</xdr:row>
      <xdr:rowOff>293688</xdr:rowOff>
    </xdr:to>
    <xdr:pic>
      <xdr:nvPicPr>
        <xdr:cNvPr id="55534" name="Picture 55533">
          <a:extLst>
            <a:ext uri="{FF2B5EF4-FFF2-40B4-BE49-F238E27FC236}">
              <a16:creationId xmlns:a16="http://schemas.microsoft.com/office/drawing/2014/main" id="{00000000-0008-0000-0B00-0000EE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70455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140</xdr:row>
      <xdr:rowOff>39688</xdr:rowOff>
    </xdr:from>
    <xdr:to>
      <xdr:col>2</xdr:col>
      <xdr:colOff>312738</xdr:colOff>
      <xdr:row>140</xdr:row>
      <xdr:rowOff>293688</xdr:rowOff>
    </xdr:to>
    <xdr:pic>
      <xdr:nvPicPr>
        <xdr:cNvPr id="55537" name="Picture 55536">
          <a:extLst>
            <a:ext uri="{FF2B5EF4-FFF2-40B4-BE49-F238E27FC236}">
              <a16:creationId xmlns:a16="http://schemas.microsoft.com/office/drawing/2014/main" id="{00000000-0008-0000-0B00-0000F1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73789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140</xdr:row>
      <xdr:rowOff>39688</xdr:rowOff>
    </xdr:from>
    <xdr:to>
      <xdr:col>6</xdr:col>
      <xdr:colOff>346075</xdr:colOff>
      <xdr:row>140</xdr:row>
      <xdr:rowOff>293688</xdr:rowOff>
    </xdr:to>
    <xdr:pic>
      <xdr:nvPicPr>
        <xdr:cNvPr id="55540" name="Picture 55539">
          <a:extLst>
            <a:ext uri="{FF2B5EF4-FFF2-40B4-BE49-F238E27FC236}">
              <a16:creationId xmlns:a16="http://schemas.microsoft.com/office/drawing/2014/main" id="{00000000-0008-0000-0B00-0000F4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73789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141</xdr:row>
      <xdr:rowOff>39688</xdr:rowOff>
    </xdr:from>
    <xdr:to>
      <xdr:col>2</xdr:col>
      <xdr:colOff>312738</xdr:colOff>
      <xdr:row>141</xdr:row>
      <xdr:rowOff>293688</xdr:rowOff>
    </xdr:to>
    <xdr:pic>
      <xdr:nvPicPr>
        <xdr:cNvPr id="55543" name="Picture 55542">
          <a:extLst>
            <a:ext uri="{FF2B5EF4-FFF2-40B4-BE49-F238E27FC236}">
              <a16:creationId xmlns:a16="http://schemas.microsoft.com/office/drawing/2014/main" id="{00000000-0008-0000-0B00-0000F7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77123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141</xdr:row>
      <xdr:rowOff>39688</xdr:rowOff>
    </xdr:from>
    <xdr:to>
      <xdr:col>6</xdr:col>
      <xdr:colOff>346075</xdr:colOff>
      <xdr:row>141</xdr:row>
      <xdr:rowOff>293688</xdr:rowOff>
    </xdr:to>
    <xdr:pic>
      <xdr:nvPicPr>
        <xdr:cNvPr id="55546" name="Picture 55545">
          <a:extLst>
            <a:ext uri="{FF2B5EF4-FFF2-40B4-BE49-F238E27FC236}">
              <a16:creationId xmlns:a16="http://schemas.microsoft.com/office/drawing/2014/main" id="{00000000-0008-0000-0B00-0000FA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77123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142</xdr:row>
      <xdr:rowOff>39688</xdr:rowOff>
    </xdr:from>
    <xdr:to>
      <xdr:col>2</xdr:col>
      <xdr:colOff>312738</xdr:colOff>
      <xdr:row>142</xdr:row>
      <xdr:rowOff>293688</xdr:rowOff>
    </xdr:to>
    <xdr:pic>
      <xdr:nvPicPr>
        <xdr:cNvPr id="55549" name="Picture 55548">
          <a:extLst>
            <a:ext uri="{FF2B5EF4-FFF2-40B4-BE49-F238E27FC236}">
              <a16:creationId xmlns:a16="http://schemas.microsoft.com/office/drawing/2014/main" id="{00000000-0008-0000-0B00-0000FD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80456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142</xdr:row>
      <xdr:rowOff>39688</xdr:rowOff>
    </xdr:from>
    <xdr:to>
      <xdr:col>6</xdr:col>
      <xdr:colOff>346075</xdr:colOff>
      <xdr:row>142</xdr:row>
      <xdr:rowOff>293688</xdr:rowOff>
    </xdr:to>
    <xdr:pic>
      <xdr:nvPicPr>
        <xdr:cNvPr id="55552" name="Picture 55551">
          <a:extLst>
            <a:ext uri="{FF2B5EF4-FFF2-40B4-BE49-F238E27FC236}">
              <a16:creationId xmlns:a16="http://schemas.microsoft.com/office/drawing/2014/main" id="{00000000-0008-0000-0B00-000000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80456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143</xdr:row>
      <xdr:rowOff>39688</xdr:rowOff>
    </xdr:from>
    <xdr:to>
      <xdr:col>2</xdr:col>
      <xdr:colOff>312738</xdr:colOff>
      <xdr:row>143</xdr:row>
      <xdr:rowOff>293688</xdr:rowOff>
    </xdr:to>
    <xdr:pic>
      <xdr:nvPicPr>
        <xdr:cNvPr id="55555" name="Picture 55554">
          <a:extLst>
            <a:ext uri="{FF2B5EF4-FFF2-40B4-BE49-F238E27FC236}">
              <a16:creationId xmlns:a16="http://schemas.microsoft.com/office/drawing/2014/main" id="{00000000-0008-0000-0B00-000003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83790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143</xdr:row>
      <xdr:rowOff>39688</xdr:rowOff>
    </xdr:from>
    <xdr:to>
      <xdr:col>6</xdr:col>
      <xdr:colOff>346075</xdr:colOff>
      <xdr:row>143</xdr:row>
      <xdr:rowOff>293688</xdr:rowOff>
    </xdr:to>
    <xdr:pic>
      <xdr:nvPicPr>
        <xdr:cNvPr id="55558" name="Picture 55557">
          <a:extLst>
            <a:ext uri="{FF2B5EF4-FFF2-40B4-BE49-F238E27FC236}">
              <a16:creationId xmlns:a16="http://schemas.microsoft.com/office/drawing/2014/main" id="{00000000-0008-0000-0B00-000006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83790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147</xdr:row>
      <xdr:rowOff>39688</xdr:rowOff>
    </xdr:from>
    <xdr:to>
      <xdr:col>2</xdr:col>
      <xdr:colOff>312738</xdr:colOff>
      <xdr:row>147</xdr:row>
      <xdr:rowOff>293688</xdr:rowOff>
    </xdr:to>
    <xdr:pic>
      <xdr:nvPicPr>
        <xdr:cNvPr id="55561" name="Picture 55560">
          <a:extLst>
            <a:ext uri="{FF2B5EF4-FFF2-40B4-BE49-F238E27FC236}">
              <a16:creationId xmlns:a16="http://schemas.microsoft.com/office/drawing/2014/main" id="{00000000-0008-0000-0B00-000009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497792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147</xdr:row>
      <xdr:rowOff>39688</xdr:rowOff>
    </xdr:from>
    <xdr:to>
      <xdr:col>6</xdr:col>
      <xdr:colOff>346075</xdr:colOff>
      <xdr:row>147</xdr:row>
      <xdr:rowOff>293688</xdr:rowOff>
    </xdr:to>
    <xdr:pic>
      <xdr:nvPicPr>
        <xdr:cNvPr id="55564" name="Picture 55563">
          <a:extLst>
            <a:ext uri="{FF2B5EF4-FFF2-40B4-BE49-F238E27FC236}">
              <a16:creationId xmlns:a16="http://schemas.microsoft.com/office/drawing/2014/main" id="{00000000-0008-0000-0B00-00000C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497792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148</xdr:row>
      <xdr:rowOff>39688</xdr:rowOff>
    </xdr:from>
    <xdr:to>
      <xdr:col>2</xdr:col>
      <xdr:colOff>312738</xdr:colOff>
      <xdr:row>148</xdr:row>
      <xdr:rowOff>293688</xdr:rowOff>
    </xdr:to>
    <xdr:pic>
      <xdr:nvPicPr>
        <xdr:cNvPr id="55567" name="Picture 55566">
          <a:extLst>
            <a:ext uri="{FF2B5EF4-FFF2-40B4-BE49-F238E27FC236}">
              <a16:creationId xmlns:a16="http://schemas.microsoft.com/office/drawing/2014/main" id="{00000000-0008-0000-0B00-00000F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01126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148</xdr:row>
      <xdr:rowOff>39688</xdr:rowOff>
    </xdr:from>
    <xdr:to>
      <xdr:col>6</xdr:col>
      <xdr:colOff>346075</xdr:colOff>
      <xdr:row>148</xdr:row>
      <xdr:rowOff>293688</xdr:rowOff>
    </xdr:to>
    <xdr:pic>
      <xdr:nvPicPr>
        <xdr:cNvPr id="55570" name="Picture 55569">
          <a:extLst>
            <a:ext uri="{FF2B5EF4-FFF2-40B4-BE49-F238E27FC236}">
              <a16:creationId xmlns:a16="http://schemas.microsoft.com/office/drawing/2014/main" id="{00000000-0008-0000-0B00-000012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01126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150</xdr:row>
      <xdr:rowOff>39688</xdr:rowOff>
    </xdr:from>
    <xdr:to>
      <xdr:col>2</xdr:col>
      <xdr:colOff>312738</xdr:colOff>
      <xdr:row>150</xdr:row>
      <xdr:rowOff>293688</xdr:rowOff>
    </xdr:to>
    <xdr:pic>
      <xdr:nvPicPr>
        <xdr:cNvPr id="55573" name="Picture 55572">
          <a:extLst>
            <a:ext uri="{FF2B5EF4-FFF2-40B4-BE49-F238E27FC236}">
              <a16:creationId xmlns:a16="http://schemas.microsoft.com/office/drawing/2014/main" id="{00000000-0008-0000-0B00-000015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07793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150</xdr:row>
      <xdr:rowOff>39688</xdr:rowOff>
    </xdr:from>
    <xdr:to>
      <xdr:col>6</xdr:col>
      <xdr:colOff>346075</xdr:colOff>
      <xdr:row>150</xdr:row>
      <xdr:rowOff>293688</xdr:rowOff>
    </xdr:to>
    <xdr:pic>
      <xdr:nvPicPr>
        <xdr:cNvPr id="55576" name="Picture 55575">
          <a:extLst>
            <a:ext uri="{FF2B5EF4-FFF2-40B4-BE49-F238E27FC236}">
              <a16:creationId xmlns:a16="http://schemas.microsoft.com/office/drawing/2014/main" id="{00000000-0008-0000-0B00-000018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07793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151</xdr:row>
      <xdr:rowOff>39688</xdr:rowOff>
    </xdr:from>
    <xdr:to>
      <xdr:col>2</xdr:col>
      <xdr:colOff>312738</xdr:colOff>
      <xdr:row>151</xdr:row>
      <xdr:rowOff>293688</xdr:rowOff>
    </xdr:to>
    <xdr:pic>
      <xdr:nvPicPr>
        <xdr:cNvPr id="55579" name="Picture 55578">
          <a:extLst>
            <a:ext uri="{FF2B5EF4-FFF2-40B4-BE49-F238E27FC236}">
              <a16:creationId xmlns:a16="http://schemas.microsoft.com/office/drawing/2014/main" id="{00000000-0008-0000-0B00-00001B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11127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151</xdr:row>
      <xdr:rowOff>39688</xdr:rowOff>
    </xdr:from>
    <xdr:to>
      <xdr:col>6</xdr:col>
      <xdr:colOff>346075</xdr:colOff>
      <xdr:row>151</xdr:row>
      <xdr:rowOff>293688</xdr:rowOff>
    </xdr:to>
    <xdr:pic>
      <xdr:nvPicPr>
        <xdr:cNvPr id="55582" name="Picture 55581">
          <a:extLst>
            <a:ext uri="{FF2B5EF4-FFF2-40B4-BE49-F238E27FC236}">
              <a16:creationId xmlns:a16="http://schemas.microsoft.com/office/drawing/2014/main" id="{00000000-0008-0000-0B00-00001E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11127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152</xdr:row>
      <xdr:rowOff>39688</xdr:rowOff>
    </xdr:from>
    <xdr:to>
      <xdr:col>2</xdr:col>
      <xdr:colOff>312738</xdr:colOff>
      <xdr:row>152</xdr:row>
      <xdr:rowOff>293688</xdr:rowOff>
    </xdr:to>
    <xdr:pic>
      <xdr:nvPicPr>
        <xdr:cNvPr id="55585" name="Picture 55584">
          <a:extLst>
            <a:ext uri="{FF2B5EF4-FFF2-40B4-BE49-F238E27FC236}">
              <a16:creationId xmlns:a16="http://schemas.microsoft.com/office/drawing/2014/main" id="{00000000-0008-0000-0B00-000021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14461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152</xdr:row>
      <xdr:rowOff>39688</xdr:rowOff>
    </xdr:from>
    <xdr:to>
      <xdr:col>6</xdr:col>
      <xdr:colOff>346075</xdr:colOff>
      <xdr:row>152</xdr:row>
      <xdr:rowOff>293688</xdr:rowOff>
    </xdr:to>
    <xdr:pic>
      <xdr:nvPicPr>
        <xdr:cNvPr id="55588" name="Picture 55587">
          <a:extLst>
            <a:ext uri="{FF2B5EF4-FFF2-40B4-BE49-F238E27FC236}">
              <a16:creationId xmlns:a16="http://schemas.microsoft.com/office/drawing/2014/main" id="{00000000-0008-0000-0B00-000024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14461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153</xdr:row>
      <xdr:rowOff>39688</xdr:rowOff>
    </xdr:from>
    <xdr:to>
      <xdr:col>2</xdr:col>
      <xdr:colOff>312738</xdr:colOff>
      <xdr:row>153</xdr:row>
      <xdr:rowOff>293688</xdr:rowOff>
    </xdr:to>
    <xdr:pic>
      <xdr:nvPicPr>
        <xdr:cNvPr id="55591" name="Picture 55590">
          <a:extLst>
            <a:ext uri="{FF2B5EF4-FFF2-40B4-BE49-F238E27FC236}">
              <a16:creationId xmlns:a16="http://schemas.microsoft.com/office/drawing/2014/main" id="{00000000-0008-0000-0B00-000027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17794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153</xdr:row>
      <xdr:rowOff>39688</xdr:rowOff>
    </xdr:from>
    <xdr:to>
      <xdr:col>6</xdr:col>
      <xdr:colOff>346075</xdr:colOff>
      <xdr:row>153</xdr:row>
      <xdr:rowOff>293688</xdr:rowOff>
    </xdr:to>
    <xdr:pic>
      <xdr:nvPicPr>
        <xdr:cNvPr id="55594" name="Picture 55593">
          <a:extLst>
            <a:ext uri="{FF2B5EF4-FFF2-40B4-BE49-F238E27FC236}">
              <a16:creationId xmlns:a16="http://schemas.microsoft.com/office/drawing/2014/main" id="{00000000-0008-0000-0B00-00002A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17794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154</xdr:row>
      <xdr:rowOff>39688</xdr:rowOff>
    </xdr:from>
    <xdr:to>
      <xdr:col>2</xdr:col>
      <xdr:colOff>312738</xdr:colOff>
      <xdr:row>154</xdr:row>
      <xdr:rowOff>293688</xdr:rowOff>
    </xdr:to>
    <xdr:pic>
      <xdr:nvPicPr>
        <xdr:cNvPr id="55597" name="Picture 55596">
          <a:extLst>
            <a:ext uri="{FF2B5EF4-FFF2-40B4-BE49-F238E27FC236}">
              <a16:creationId xmlns:a16="http://schemas.microsoft.com/office/drawing/2014/main" id="{00000000-0008-0000-0B00-00002D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21128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154</xdr:row>
      <xdr:rowOff>39688</xdr:rowOff>
    </xdr:from>
    <xdr:to>
      <xdr:col>6</xdr:col>
      <xdr:colOff>346075</xdr:colOff>
      <xdr:row>154</xdr:row>
      <xdr:rowOff>293688</xdr:rowOff>
    </xdr:to>
    <xdr:pic>
      <xdr:nvPicPr>
        <xdr:cNvPr id="55600" name="Picture 55599">
          <a:extLst>
            <a:ext uri="{FF2B5EF4-FFF2-40B4-BE49-F238E27FC236}">
              <a16:creationId xmlns:a16="http://schemas.microsoft.com/office/drawing/2014/main" id="{00000000-0008-0000-0B00-000030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21128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156</xdr:row>
      <xdr:rowOff>39688</xdr:rowOff>
    </xdr:from>
    <xdr:to>
      <xdr:col>2</xdr:col>
      <xdr:colOff>312738</xdr:colOff>
      <xdr:row>156</xdr:row>
      <xdr:rowOff>293688</xdr:rowOff>
    </xdr:to>
    <xdr:pic>
      <xdr:nvPicPr>
        <xdr:cNvPr id="55603" name="Picture 55602">
          <a:extLst>
            <a:ext uri="{FF2B5EF4-FFF2-40B4-BE49-F238E27FC236}">
              <a16:creationId xmlns:a16="http://schemas.microsoft.com/office/drawing/2014/main" id="{00000000-0008-0000-0B00-000033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27796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156</xdr:row>
      <xdr:rowOff>39688</xdr:rowOff>
    </xdr:from>
    <xdr:to>
      <xdr:col>6</xdr:col>
      <xdr:colOff>346075</xdr:colOff>
      <xdr:row>156</xdr:row>
      <xdr:rowOff>293688</xdr:rowOff>
    </xdr:to>
    <xdr:pic>
      <xdr:nvPicPr>
        <xdr:cNvPr id="55606" name="Picture 55605">
          <a:extLst>
            <a:ext uri="{FF2B5EF4-FFF2-40B4-BE49-F238E27FC236}">
              <a16:creationId xmlns:a16="http://schemas.microsoft.com/office/drawing/2014/main" id="{00000000-0008-0000-0B00-000036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27796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157</xdr:row>
      <xdr:rowOff>39688</xdr:rowOff>
    </xdr:from>
    <xdr:to>
      <xdr:col>2</xdr:col>
      <xdr:colOff>312738</xdr:colOff>
      <xdr:row>157</xdr:row>
      <xdr:rowOff>293688</xdr:rowOff>
    </xdr:to>
    <xdr:pic>
      <xdr:nvPicPr>
        <xdr:cNvPr id="55609" name="Picture 55608">
          <a:extLst>
            <a:ext uri="{FF2B5EF4-FFF2-40B4-BE49-F238E27FC236}">
              <a16:creationId xmlns:a16="http://schemas.microsoft.com/office/drawing/2014/main" id="{00000000-0008-0000-0B00-000039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31129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157</xdr:row>
      <xdr:rowOff>39688</xdr:rowOff>
    </xdr:from>
    <xdr:to>
      <xdr:col>6</xdr:col>
      <xdr:colOff>346075</xdr:colOff>
      <xdr:row>157</xdr:row>
      <xdr:rowOff>293688</xdr:rowOff>
    </xdr:to>
    <xdr:pic>
      <xdr:nvPicPr>
        <xdr:cNvPr id="55612" name="Picture 55611">
          <a:extLst>
            <a:ext uri="{FF2B5EF4-FFF2-40B4-BE49-F238E27FC236}">
              <a16:creationId xmlns:a16="http://schemas.microsoft.com/office/drawing/2014/main" id="{00000000-0008-0000-0B00-00003C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31129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161</xdr:row>
      <xdr:rowOff>39688</xdr:rowOff>
    </xdr:from>
    <xdr:to>
      <xdr:col>2</xdr:col>
      <xdr:colOff>312738</xdr:colOff>
      <xdr:row>161</xdr:row>
      <xdr:rowOff>293688</xdr:rowOff>
    </xdr:to>
    <xdr:pic>
      <xdr:nvPicPr>
        <xdr:cNvPr id="55615" name="Picture 55614">
          <a:extLst>
            <a:ext uri="{FF2B5EF4-FFF2-40B4-BE49-F238E27FC236}">
              <a16:creationId xmlns:a16="http://schemas.microsoft.com/office/drawing/2014/main" id="{00000000-0008-0000-0B00-00003F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45131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161</xdr:row>
      <xdr:rowOff>39688</xdr:rowOff>
    </xdr:from>
    <xdr:to>
      <xdr:col>6</xdr:col>
      <xdr:colOff>346075</xdr:colOff>
      <xdr:row>161</xdr:row>
      <xdr:rowOff>293688</xdr:rowOff>
    </xdr:to>
    <xdr:pic>
      <xdr:nvPicPr>
        <xdr:cNvPr id="55618" name="Picture 55617">
          <a:extLst>
            <a:ext uri="{FF2B5EF4-FFF2-40B4-BE49-F238E27FC236}">
              <a16:creationId xmlns:a16="http://schemas.microsoft.com/office/drawing/2014/main" id="{00000000-0008-0000-0B00-000042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45131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162</xdr:row>
      <xdr:rowOff>39688</xdr:rowOff>
    </xdr:from>
    <xdr:to>
      <xdr:col>2</xdr:col>
      <xdr:colOff>312738</xdr:colOff>
      <xdr:row>162</xdr:row>
      <xdr:rowOff>293688</xdr:rowOff>
    </xdr:to>
    <xdr:pic>
      <xdr:nvPicPr>
        <xdr:cNvPr id="55621" name="Picture 55620">
          <a:extLst>
            <a:ext uri="{FF2B5EF4-FFF2-40B4-BE49-F238E27FC236}">
              <a16:creationId xmlns:a16="http://schemas.microsoft.com/office/drawing/2014/main" id="{00000000-0008-0000-0B00-000045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48465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162</xdr:row>
      <xdr:rowOff>39688</xdr:rowOff>
    </xdr:from>
    <xdr:to>
      <xdr:col>6</xdr:col>
      <xdr:colOff>346075</xdr:colOff>
      <xdr:row>162</xdr:row>
      <xdr:rowOff>293688</xdr:rowOff>
    </xdr:to>
    <xdr:pic>
      <xdr:nvPicPr>
        <xdr:cNvPr id="55624" name="Picture 55623">
          <a:extLst>
            <a:ext uri="{FF2B5EF4-FFF2-40B4-BE49-F238E27FC236}">
              <a16:creationId xmlns:a16="http://schemas.microsoft.com/office/drawing/2014/main" id="{00000000-0008-0000-0B00-000048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48465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163</xdr:row>
      <xdr:rowOff>39688</xdr:rowOff>
    </xdr:from>
    <xdr:to>
      <xdr:col>2</xdr:col>
      <xdr:colOff>312738</xdr:colOff>
      <xdr:row>163</xdr:row>
      <xdr:rowOff>293688</xdr:rowOff>
    </xdr:to>
    <xdr:pic>
      <xdr:nvPicPr>
        <xdr:cNvPr id="55627" name="Picture 55626">
          <a:extLst>
            <a:ext uri="{FF2B5EF4-FFF2-40B4-BE49-F238E27FC236}">
              <a16:creationId xmlns:a16="http://schemas.microsoft.com/office/drawing/2014/main" id="{00000000-0008-0000-0B00-00004B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51799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163</xdr:row>
      <xdr:rowOff>39688</xdr:rowOff>
    </xdr:from>
    <xdr:to>
      <xdr:col>6</xdr:col>
      <xdr:colOff>346075</xdr:colOff>
      <xdr:row>163</xdr:row>
      <xdr:rowOff>293688</xdr:rowOff>
    </xdr:to>
    <xdr:pic>
      <xdr:nvPicPr>
        <xdr:cNvPr id="55630" name="Picture 55629">
          <a:extLst>
            <a:ext uri="{FF2B5EF4-FFF2-40B4-BE49-F238E27FC236}">
              <a16:creationId xmlns:a16="http://schemas.microsoft.com/office/drawing/2014/main" id="{00000000-0008-0000-0B00-00004E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51799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164</xdr:row>
      <xdr:rowOff>39688</xdr:rowOff>
    </xdr:from>
    <xdr:to>
      <xdr:col>2</xdr:col>
      <xdr:colOff>312738</xdr:colOff>
      <xdr:row>164</xdr:row>
      <xdr:rowOff>293688</xdr:rowOff>
    </xdr:to>
    <xdr:pic>
      <xdr:nvPicPr>
        <xdr:cNvPr id="55633" name="Picture 55632">
          <a:extLst>
            <a:ext uri="{FF2B5EF4-FFF2-40B4-BE49-F238E27FC236}">
              <a16:creationId xmlns:a16="http://schemas.microsoft.com/office/drawing/2014/main" id="{00000000-0008-0000-0B00-000051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55132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164</xdr:row>
      <xdr:rowOff>39688</xdr:rowOff>
    </xdr:from>
    <xdr:to>
      <xdr:col>6</xdr:col>
      <xdr:colOff>346075</xdr:colOff>
      <xdr:row>164</xdr:row>
      <xdr:rowOff>293688</xdr:rowOff>
    </xdr:to>
    <xdr:pic>
      <xdr:nvPicPr>
        <xdr:cNvPr id="55636" name="Picture 55635">
          <a:extLst>
            <a:ext uri="{FF2B5EF4-FFF2-40B4-BE49-F238E27FC236}">
              <a16:creationId xmlns:a16="http://schemas.microsoft.com/office/drawing/2014/main" id="{00000000-0008-0000-0B00-000054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55132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166</xdr:row>
      <xdr:rowOff>39688</xdr:rowOff>
    </xdr:from>
    <xdr:to>
      <xdr:col>2</xdr:col>
      <xdr:colOff>312738</xdr:colOff>
      <xdr:row>166</xdr:row>
      <xdr:rowOff>293688</xdr:rowOff>
    </xdr:to>
    <xdr:pic>
      <xdr:nvPicPr>
        <xdr:cNvPr id="55639" name="Picture 55638">
          <a:extLst>
            <a:ext uri="{FF2B5EF4-FFF2-40B4-BE49-F238E27FC236}">
              <a16:creationId xmlns:a16="http://schemas.microsoft.com/office/drawing/2014/main" id="{00000000-0008-0000-0B00-000057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61800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166</xdr:row>
      <xdr:rowOff>39688</xdr:rowOff>
    </xdr:from>
    <xdr:to>
      <xdr:col>6</xdr:col>
      <xdr:colOff>346075</xdr:colOff>
      <xdr:row>166</xdr:row>
      <xdr:rowOff>293688</xdr:rowOff>
    </xdr:to>
    <xdr:pic>
      <xdr:nvPicPr>
        <xdr:cNvPr id="55642" name="Picture 55641">
          <a:extLst>
            <a:ext uri="{FF2B5EF4-FFF2-40B4-BE49-F238E27FC236}">
              <a16:creationId xmlns:a16="http://schemas.microsoft.com/office/drawing/2014/main" id="{00000000-0008-0000-0B00-00005A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61800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167</xdr:row>
      <xdr:rowOff>39688</xdr:rowOff>
    </xdr:from>
    <xdr:to>
      <xdr:col>2</xdr:col>
      <xdr:colOff>312738</xdr:colOff>
      <xdr:row>167</xdr:row>
      <xdr:rowOff>293688</xdr:rowOff>
    </xdr:to>
    <xdr:pic>
      <xdr:nvPicPr>
        <xdr:cNvPr id="55645" name="Picture 55644">
          <a:extLst>
            <a:ext uri="{FF2B5EF4-FFF2-40B4-BE49-F238E27FC236}">
              <a16:creationId xmlns:a16="http://schemas.microsoft.com/office/drawing/2014/main" id="{00000000-0008-0000-0B00-00005D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65134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167</xdr:row>
      <xdr:rowOff>39688</xdr:rowOff>
    </xdr:from>
    <xdr:to>
      <xdr:col>6</xdr:col>
      <xdr:colOff>346075</xdr:colOff>
      <xdr:row>167</xdr:row>
      <xdr:rowOff>293688</xdr:rowOff>
    </xdr:to>
    <xdr:pic>
      <xdr:nvPicPr>
        <xdr:cNvPr id="55648" name="Picture 55647">
          <a:extLst>
            <a:ext uri="{FF2B5EF4-FFF2-40B4-BE49-F238E27FC236}">
              <a16:creationId xmlns:a16="http://schemas.microsoft.com/office/drawing/2014/main" id="{00000000-0008-0000-0B00-000060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65134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168</xdr:row>
      <xdr:rowOff>39688</xdr:rowOff>
    </xdr:from>
    <xdr:to>
      <xdr:col>2</xdr:col>
      <xdr:colOff>312738</xdr:colOff>
      <xdr:row>168</xdr:row>
      <xdr:rowOff>293688</xdr:rowOff>
    </xdr:to>
    <xdr:pic>
      <xdr:nvPicPr>
        <xdr:cNvPr id="55651" name="Picture 55650">
          <a:extLst>
            <a:ext uri="{FF2B5EF4-FFF2-40B4-BE49-F238E27FC236}">
              <a16:creationId xmlns:a16="http://schemas.microsoft.com/office/drawing/2014/main" id="{00000000-0008-0000-0B00-000063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68467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168</xdr:row>
      <xdr:rowOff>39688</xdr:rowOff>
    </xdr:from>
    <xdr:to>
      <xdr:col>6</xdr:col>
      <xdr:colOff>346075</xdr:colOff>
      <xdr:row>168</xdr:row>
      <xdr:rowOff>293688</xdr:rowOff>
    </xdr:to>
    <xdr:pic>
      <xdr:nvPicPr>
        <xdr:cNvPr id="55654" name="Picture 55653">
          <a:extLst>
            <a:ext uri="{FF2B5EF4-FFF2-40B4-BE49-F238E27FC236}">
              <a16:creationId xmlns:a16="http://schemas.microsoft.com/office/drawing/2014/main" id="{00000000-0008-0000-0B00-000066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68467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169</xdr:row>
      <xdr:rowOff>39688</xdr:rowOff>
    </xdr:from>
    <xdr:to>
      <xdr:col>2</xdr:col>
      <xdr:colOff>312738</xdr:colOff>
      <xdr:row>169</xdr:row>
      <xdr:rowOff>293688</xdr:rowOff>
    </xdr:to>
    <xdr:pic>
      <xdr:nvPicPr>
        <xdr:cNvPr id="55657" name="Picture 55656">
          <a:extLst>
            <a:ext uri="{FF2B5EF4-FFF2-40B4-BE49-F238E27FC236}">
              <a16:creationId xmlns:a16="http://schemas.microsoft.com/office/drawing/2014/main" id="{00000000-0008-0000-0B00-000069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71801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169</xdr:row>
      <xdr:rowOff>39688</xdr:rowOff>
    </xdr:from>
    <xdr:to>
      <xdr:col>6</xdr:col>
      <xdr:colOff>346075</xdr:colOff>
      <xdr:row>169</xdr:row>
      <xdr:rowOff>293688</xdr:rowOff>
    </xdr:to>
    <xdr:pic>
      <xdr:nvPicPr>
        <xdr:cNvPr id="55660" name="Picture 55659">
          <a:extLst>
            <a:ext uri="{FF2B5EF4-FFF2-40B4-BE49-F238E27FC236}">
              <a16:creationId xmlns:a16="http://schemas.microsoft.com/office/drawing/2014/main" id="{00000000-0008-0000-0B00-00006C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71801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170</xdr:row>
      <xdr:rowOff>39688</xdr:rowOff>
    </xdr:from>
    <xdr:to>
      <xdr:col>2</xdr:col>
      <xdr:colOff>312738</xdr:colOff>
      <xdr:row>170</xdr:row>
      <xdr:rowOff>293688</xdr:rowOff>
    </xdr:to>
    <xdr:pic>
      <xdr:nvPicPr>
        <xdr:cNvPr id="55663" name="Picture 55662">
          <a:extLst>
            <a:ext uri="{FF2B5EF4-FFF2-40B4-BE49-F238E27FC236}">
              <a16:creationId xmlns:a16="http://schemas.microsoft.com/office/drawing/2014/main" id="{00000000-0008-0000-0B00-00006F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75135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170</xdr:row>
      <xdr:rowOff>39688</xdr:rowOff>
    </xdr:from>
    <xdr:to>
      <xdr:col>6</xdr:col>
      <xdr:colOff>346075</xdr:colOff>
      <xdr:row>170</xdr:row>
      <xdr:rowOff>293688</xdr:rowOff>
    </xdr:to>
    <xdr:pic>
      <xdr:nvPicPr>
        <xdr:cNvPr id="55666" name="Picture 55665">
          <a:extLst>
            <a:ext uri="{FF2B5EF4-FFF2-40B4-BE49-F238E27FC236}">
              <a16:creationId xmlns:a16="http://schemas.microsoft.com/office/drawing/2014/main" id="{00000000-0008-0000-0B00-000072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75135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172</xdr:row>
      <xdr:rowOff>39688</xdr:rowOff>
    </xdr:from>
    <xdr:to>
      <xdr:col>2</xdr:col>
      <xdr:colOff>312738</xdr:colOff>
      <xdr:row>172</xdr:row>
      <xdr:rowOff>293688</xdr:rowOff>
    </xdr:to>
    <xdr:pic>
      <xdr:nvPicPr>
        <xdr:cNvPr id="55669" name="Picture 55668">
          <a:extLst>
            <a:ext uri="{FF2B5EF4-FFF2-40B4-BE49-F238E27FC236}">
              <a16:creationId xmlns:a16="http://schemas.microsoft.com/office/drawing/2014/main" id="{00000000-0008-0000-0B00-000075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81802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172</xdr:row>
      <xdr:rowOff>39688</xdr:rowOff>
    </xdr:from>
    <xdr:to>
      <xdr:col>6</xdr:col>
      <xdr:colOff>346075</xdr:colOff>
      <xdr:row>172</xdr:row>
      <xdr:rowOff>293688</xdr:rowOff>
    </xdr:to>
    <xdr:pic>
      <xdr:nvPicPr>
        <xdr:cNvPr id="55672" name="Picture 55671">
          <a:extLst>
            <a:ext uri="{FF2B5EF4-FFF2-40B4-BE49-F238E27FC236}">
              <a16:creationId xmlns:a16="http://schemas.microsoft.com/office/drawing/2014/main" id="{00000000-0008-0000-0B00-000078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81802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176</xdr:row>
      <xdr:rowOff>39688</xdr:rowOff>
    </xdr:from>
    <xdr:to>
      <xdr:col>2</xdr:col>
      <xdr:colOff>312738</xdr:colOff>
      <xdr:row>176</xdr:row>
      <xdr:rowOff>293688</xdr:rowOff>
    </xdr:to>
    <xdr:pic>
      <xdr:nvPicPr>
        <xdr:cNvPr id="55675" name="Picture 55674">
          <a:extLst>
            <a:ext uri="{FF2B5EF4-FFF2-40B4-BE49-F238E27FC236}">
              <a16:creationId xmlns:a16="http://schemas.microsoft.com/office/drawing/2014/main" id="{00000000-0008-0000-0B00-00007B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95804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176</xdr:row>
      <xdr:rowOff>39688</xdr:rowOff>
    </xdr:from>
    <xdr:to>
      <xdr:col>6</xdr:col>
      <xdr:colOff>346075</xdr:colOff>
      <xdr:row>176</xdr:row>
      <xdr:rowOff>293688</xdr:rowOff>
    </xdr:to>
    <xdr:pic>
      <xdr:nvPicPr>
        <xdr:cNvPr id="55678" name="Picture 55677">
          <a:extLst>
            <a:ext uri="{FF2B5EF4-FFF2-40B4-BE49-F238E27FC236}">
              <a16:creationId xmlns:a16="http://schemas.microsoft.com/office/drawing/2014/main" id="{00000000-0008-0000-0B00-00007E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95804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177</xdr:row>
      <xdr:rowOff>39688</xdr:rowOff>
    </xdr:from>
    <xdr:to>
      <xdr:col>2</xdr:col>
      <xdr:colOff>312738</xdr:colOff>
      <xdr:row>177</xdr:row>
      <xdr:rowOff>293688</xdr:rowOff>
    </xdr:to>
    <xdr:pic>
      <xdr:nvPicPr>
        <xdr:cNvPr id="55681" name="Picture 55680">
          <a:extLst>
            <a:ext uri="{FF2B5EF4-FFF2-40B4-BE49-F238E27FC236}">
              <a16:creationId xmlns:a16="http://schemas.microsoft.com/office/drawing/2014/main" id="{00000000-0008-0000-0B00-000081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599138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177</xdr:row>
      <xdr:rowOff>39688</xdr:rowOff>
    </xdr:from>
    <xdr:to>
      <xdr:col>6</xdr:col>
      <xdr:colOff>346075</xdr:colOff>
      <xdr:row>177</xdr:row>
      <xdr:rowOff>293688</xdr:rowOff>
    </xdr:to>
    <xdr:pic>
      <xdr:nvPicPr>
        <xdr:cNvPr id="55684" name="Picture 55683">
          <a:extLst>
            <a:ext uri="{FF2B5EF4-FFF2-40B4-BE49-F238E27FC236}">
              <a16:creationId xmlns:a16="http://schemas.microsoft.com/office/drawing/2014/main" id="{00000000-0008-0000-0B00-000084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599138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178</xdr:row>
      <xdr:rowOff>39688</xdr:rowOff>
    </xdr:from>
    <xdr:to>
      <xdr:col>2</xdr:col>
      <xdr:colOff>312738</xdr:colOff>
      <xdr:row>178</xdr:row>
      <xdr:rowOff>293688</xdr:rowOff>
    </xdr:to>
    <xdr:pic>
      <xdr:nvPicPr>
        <xdr:cNvPr id="55687" name="Picture 55686">
          <a:extLst>
            <a:ext uri="{FF2B5EF4-FFF2-40B4-BE49-F238E27FC236}">
              <a16:creationId xmlns:a16="http://schemas.microsoft.com/office/drawing/2014/main" id="{00000000-0008-0000-0B00-000087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02472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178</xdr:row>
      <xdr:rowOff>39688</xdr:rowOff>
    </xdr:from>
    <xdr:to>
      <xdr:col>6</xdr:col>
      <xdr:colOff>346075</xdr:colOff>
      <xdr:row>178</xdr:row>
      <xdr:rowOff>293688</xdr:rowOff>
    </xdr:to>
    <xdr:pic>
      <xdr:nvPicPr>
        <xdr:cNvPr id="55690" name="Picture 55689">
          <a:extLst>
            <a:ext uri="{FF2B5EF4-FFF2-40B4-BE49-F238E27FC236}">
              <a16:creationId xmlns:a16="http://schemas.microsoft.com/office/drawing/2014/main" id="{00000000-0008-0000-0B00-00008A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02472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179</xdr:row>
      <xdr:rowOff>39688</xdr:rowOff>
    </xdr:from>
    <xdr:to>
      <xdr:col>2</xdr:col>
      <xdr:colOff>312738</xdr:colOff>
      <xdr:row>179</xdr:row>
      <xdr:rowOff>293688</xdr:rowOff>
    </xdr:to>
    <xdr:pic>
      <xdr:nvPicPr>
        <xdr:cNvPr id="55693" name="Picture 55692">
          <a:extLst>
            <a:ext uri="{FF2B5EF4-FFF2-40B4-BE49-F238E27FC236}">
              <a16:creationId xmlns:a16="http://schemas.microsoft.com/office/drawing/2014/main" id="{00000000-0008-0000-0B00-00008D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05805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179</xdr:row>
      <xdr:rowOff>39688</xdr:rowOff>
    </xdr:from>
    <xdr:to>
      <xdr:col>6</xdr:col>
      <xdr:colOff>346075</xdr:colOff>
      <xdr:row>179</xdr:row>
      <xdr:rowOff>293688</xdr:rowOff>
    </xdr:to>
    <xdr:pic>
      <xdr:nvPicPr>
        <xdr:cNvPr id="55696" name="Picture 55695">
          <a:extLst>
            <a:ext uri="{FF2B5EF4-FFF2-40B4-BE49-F238E27FC236}">
              <a16:creationId xmlns:a16="http://schemas.microsoft.com/office/drawing/2014/main" id="{00000000-0008-0000-0B00-000090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05805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180</xdr:row>
      <xdr:rowOff>39688</xdr:rowOff>
    </xdr:from>
    <xdr:to>
      <xdr:col>2</xdr:col>
      <xdr:colOff>312738</xdr:colOff>
      <xdr:row>180</xdr:row>
      <xdr:rowOff>293688</xdr:rowOff>
    </xdr:to>
    <xdr:pic>
      <xdr:nvPicPr>
        <xdr:cNvPr id="55699" name="Picture 55698">
          <a:extLst>
            <a:ext uri="{FF2B5EF4-FFF2-40B4-BE49-F238E27FC236}">
              <a16:creationId xmlns:a16="http://schemas.microsoft.com/office/drawing/2014/main" id="{00000000-0008-0000-0B00-000093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09139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180</xdr:row>
      <xdr:rowOff>39688</xdr:rowOff>
    </xdr:from>
    <xdr:to>
      <xdr:col>6</xdr:col>
      <xdr:colOff>346075</xdr:colOff>
      <xdr:row>180</xdr:row>
      <xdr:rowOff>293688</xdr:rowOff>
    </xdr:to>
    <xdr:pic>
      <xdr:nvPicPr>
        <xdr:cNvPr id="55702" name="Picture 55701">
          <a:extLst>
            <a:ext uri="{FF2B5EF4-FFF2-40B4-BE49-F238E27FC236}">
              <a16:creationId xmlns:a16="http://schemas.microsoft.com/office/drawing/2014/main" id="{00000000-0008-0000-0B00-000096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09139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181</xdr:row>
      <xdr:rowOff>39688</xdr:rowOff>
    </xdr:from>
    <xdr:to>
      <xdr:col>2</xdr:col>
      <xdr:colOff>312738</xdr:colOff>
      <xdr:row>181</xdr:row>
      <xdr:rowOff>293688</xdr:rowOff>
    </xdr:to>
    <xdr:pic>
      <xdr:nvPicPr>
        <xdr:cNvPr id="55705" name="Picture 55704">
          <a:extLst>
            <a:ext uri="{FF2B5EF4-FFF2-40B4-BE49-F238E27FC236}">
              <a16:creationId xmlns:a16="http://schemas.microsoft.com/office/drawing/2014/main" id="{00000000-0008-0000-0B00-000099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12473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181</xdr:row>
      <xdr:rowOff>39688</xdr:rowOff>
    </xdr:from>
    <xdr:to>
      <xdr:col>6</xdr:col>
      <xdr:colOff>346075</xdr:colOff>
      <xdr:row>181</xdr:row>
      <xdr:rowOff>293688</xdr:rowOff>
    </xdr:to>
    <xdr:pic>
      <xdr:nvPicPr>
        <xdr:cNvPr id="55708" name="Picture 55707">
          <a:extLst>
            <a:ext uri="{FF2B5EF4-FFF2-40B4-BE49-F238E27FC236}">
              <a16:creationId xmlns:a16="http://schemas.microsoft.com/office/drawing/2014/main" id="{00000000-0008-0000-0B00-00009C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12473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182</xdr:row>
      <xdr:rowOff>39688</xdr:rowOff>
    </xdr:from>
    <xdr:to>
      <xdr:col>2</xdr:col>
      <xdr:colOff>312738</xdr:colOff>
      <xdr:row>182</xdr:row>
      <xdr:rowOff>293688</xdr:rowOff>
    </xdr:to>
    <xdr:pic>
      <xdr:nvPicPr>
        <xdr:cNvPr id="55712" name="Picture 55711">
          <a:extLst>
            <a:ext uri="{FF2B5EF4-FFF2-40B4-BE49-F238E27FC236}">
              <a16:creationId xmlns:a16="http://schemas.microsoft.com/office/drawing/2014/main" id="{00000000-0008-0000-0B00-0000A0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15807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182</xdr:row>
      <xdr:rowOff>39688</xdr:rowOff>
    </xdr:from>
    <xdr:to>
      <xdr:col>6</xdr:col>
      <xdr:colOff>346075</xdr:colOff>
      <xdr:row>182</xdr:row>
      <xdr:rowOff>293688</xdr:rowOff>
    </xdr:to>
    <xdr:pic>
      <xdr:nvPicPr>
        <xdr:cNvPr id="55715" name="Picture 55714">
          <a:extLst>
            <a:ext uri="{FF2B5EF4-FFF2-40B4-BE49-F238E27FC236}">
              <a16:creationId xmlns:a16="http://schemas.microsoft.com/office/drawing/2014/main" id="{00000000-0008-0000-0B00-0000A3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15807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183</xdr:row>
      <xdr:rowOff>39688</xdr:rowOff>
    </xdr:from>
    <xdr:to>
      <xdr:col>2</xdr:col>
      <xdr:colOff>312738</xdr:colOff>
      <xdr:row>183</xdr:row>
      <xdr:rowOff>293688</xdr:rowOff>
    </xdr:to>
    <xdr:pic>
      <xdr:nvPicPr>
        <xdr:cNvPr id="55718" name="Picture 55717">
          <a:extLst>
            <a:ext uri="{FF2B5EF4-FFF2-40B4-BE49-F238E27FC236}">
              <a16:creationId xmlns:a16="http://schemas.microsoft.com/office/drawing/2014/main" id="{00000000-0008-0000-0B00-0000A6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19140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183</xdr:row>
      <xdr:rowOff>39688</xdr:rowOff>
    </xdr:from>
    <xdr:to>
      <xdr:col>6</xdr:col>
      <xdr:colOff>346075</xdr:colOff>
      <xdr:row>183</xdr:row>
      <xdr:rowOff>293688</xdr:rowOff>
    </xdr:to>
    <xdr:pic>
      <xdr:nvPicPr>
        <xdr:cNvPr id="55721" name="Picture 55720">
          <a:extLst>
            <a:ext uri="{FF2B5EF4-FFF2-40B4-BE49-F238E27FC236}">
              <a16:creationId xmlns:a16="http://schemas.microsoft.com/office/drawing/2014/main" id="{00000000-0008-0000-0B00-0000A9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19140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185</xdr:row>
      <xdr:rowOff>39688</xdr:rowOff>
    </xdr:from>
    <xdr:to>
      <xdr:col>2</xdr:col>
      <xdr:colOff>312738</xdr:colOff>
      <xdr:row>185</xdr:row>
      <xdr:rowOff>293688</xdr:rowOff>
    </xdr:to>
    <xdr:pic>
      <xdr:nvPicPr>
        <xdr:cNvPr id="55724" name="Picture 55723">
          <a:extLst>
            <a:ext uri="{FF2B5EF4-FFF2-40B4-BE49-F238E27FC236}">
              <a16:creationId xmlns:a16="http://schemas.microsoft.com/office/drawing/2014/main" id="{00000000-0008-0000-0B00-0000AC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25808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185</xdr:row>
      <xdr:rowOff>39688</xdr:rowOff>
    </xdr:from>
    <xdr:to>
      <xdr:col>6</xdr:col>
      <xdr:colOff>346075</xdr:colOff>
      <xdr:row>185</xdr:row>
      <xdr:rowOff>293688</xdr:rowOff>
    </xdr:to>
    <xdr:pic>
      <xdr:nvPicPr>
        <xdr:cNvPr id="55727" name="Picture 55726">
          <a:extLst>
            <a:ext uri="{FF2B5EF4-FFF2-40B4-BE49-F238E27FC236}">
              <a16:creationId xmlns:a16="http://schemas.microsoft.com/office/drawing/2014/main" id="{00000000-0008-0000-0B00-0000AF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25808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186</xdr:row>
      <xdr:rowOff>39688</xdr:rowOff>
    </xdr:from>
    <xdr:to>
      <xdr:col>2</xdr:col>
      <xdr:colOff>312738</xdr:colOff>
      <xdr:row>186</xdr:row>
      <xdr:rowOff>293688</xdr:rowOff>
    </xdr:to>
    <xdr:pic>
      <xdr:nvPicPr>
        <xdr:cNvPr id="55730" name="Picture 55729">
          <a:extLst>
            <a:ext uri="{FF2B5EF4-FFF2-40B4-BE49-F238E27FC236}">
              <a16:creationId xmlns:a16="http://schemas.microsoft.com/office/drawing/2014/main" id="{00000000-0008-0000-0B00-0000B2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29142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186</xdr:row>
      <xdr:rowOff>39688</xdr:rowOff>
    </xdr:from>
    <xdr:to>
      <xdr:col>6</xdr:col>
      <xdr:colOff>346075</xdr:colOff>
      <xdr:row>186</xdr:row>
      <xdr:rowOff>293688</xdr:rowOff>
    </xdr:to>
    <xdr:pic>
      <xdr:nvPicPr>
        <xdr:cNvPr id="55733" name="Picture 55732">
          <a:extLst>
            <a:ext uri="{FF2B5EF4-FFF2-40B4-BE49-F238E27FC236}">
              <a16:creationId xmlns:a16="http://schemas.microsoft.com/office/drawing/2014/main" id="{00000000-0008-0000-0B00-0000B5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29142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190</xdr:row>
      <xdr:rowOff>39688</xdr:rowOff>
    </xdr:from>
    <xdr:to>
      <xdr:col>2</xdr:col>
      <xdr:colOff>312738</xdr:colOff>
      <xdr:row>190</xdr:row>
      <xdr:rowOff>293688</xdr:rowOff>
    </xdr:to>
    <xdr:pic>
      <xdr:nvPicPr>
        <xdr:cNvPr id="55736" name="Picture 55735">
          <a:extLst>
            <a:ext uri="{FF2B5EF4-FFF2-40B4-BE49-F238E27FC236}">
              <a16:creationId xmlns:a16="http://schemas.microsoft.com/office/drawing/2014/main" id="{00000000-0008-0000-0B00-0000B8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43143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190</xdr:row>
      <xdr:rowOff>39688</xdr:rowOff>
    </xdr:from>
    <xdr:to>
      <xdr:col>6</xdr:col>
      <xdr:colOff>346075</xdr:colOff>
      <xdr:row>190</xdr:row>
      <xdr:rowOff>293688</xdr:rowOff>
    </xdr:to>
    <xdr:pic>
      <xdr:nvPicPr>
        <xdr:cNvPr id="55739" name="Picture 55738">
          <a:extLst>
            <a:ext uri="{FF2B5EF4-FFF2-40B4-BE49-F238E27FC236}">
              <a16:creationId xmlns:a16="http://schemas.microsoft.com/office/drawing/2014/main" id="{00000000-0008-0000-0B00-0000BB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43143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191</xdr:row>
      <xdr:rowOff>39688</xdr:rowOff>
    </xdr:from>
    <xdr:to>
      <xdr:col>2</xdr:col>
      <xdr:colOff>312738</xdr:colOff>
      <xdr:row>191</xdr:row>
      <xdr:rowOff>293688</xdr:rowOff>
    </xdr:to>
    <xdr:pic>
      <xdr:nvPicPr>
        <xdr:cNvPr id="55742" name="Picture 55741">
          <a:extLst>
            <a:ext uri="{FF2B5EF4-FFF2-40B4-BE49-F238E27FC236}">
              <a16:creationId xmlns:a16="http://schemas.microsoft.com/office/drawing/2014/main" id="{00000000-0008-0000-0B00-0000BE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46477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191</xdr:row>
      <xdr:rowOff>39688</xdr:rowOff>
    </xdr:from>
    <xdr:to>
      <xdr:col>6</xdr:col>
      <xdr:colOff>346075</xdr:colOff>
      <xdr:row>191</xdr:row>
      <xdr:rowOff>293688</xdr:rowOff>
    </xdr:to>
    <xdr:pic>
      <xdr:nvPicPr>
        <xdr:cNvPr id="55745" name="Picture 55744">
          <a:extLst>
            <a:ext uri="{FF2B5EF4-FFF2-40B4-BE49-F238E27FC236}">
              <a16:creationId xmlns:a16="http://schemas.microsoft.com/office/drawing/2014/main" id="{00000000-0008-0000-0B00-0000C1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46477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192</xdr:row>
      <xdr:rowOff>39688</xdr:rowOff>
    </xdr:from>
    <xdr:to>
      <xdr:col>2</xdr:col>
      <xdr:colOff>312738</xdr:colOff>
      <xdr:row>192</xdr:row>
      <xdr:rowOff>293688</xdr:rowOff>
    </xdr:to>
    <xdr:pic>
      <xdr:nvPicPr>
        <xdr:cNvPr id="55748" name="Picture 55747">
          <a:extLst>
            <a:ext uri="{FF2B5EF4-FFF2-40B4-BE49-F238E27FC236}">
              <a16:creationId xmlns:a16="http://schemas.microsoft.com/office/drawing/2014/main" id="{00000000-0008-0000-0B00-0000C4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49811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192</xdr:row>
      <xdr:rowOff>39688</xdr:rowOff>
    </xdr:from>
    <xdr:to>
      <xdr:col>6</xdr:col>
      <xdr:colOff>346075</xdr:colOff>
      <xdr:row>192</xdr:row>
      <xdr:rowOff>293688</xdr:rowOff>
    </xdr:to>
    <xdr:pic>
      <xdr:nvPicPr>
        <xdr:cNvPr id="55751" name="Picture 55750">
          <a:extLst>
            <a:ext uri="{FF2B5EF4-FFF2-40B4-BE49-F238E27FC236}">
              <a16:creationId xmlns:a16="http://schemas.microsoft.com/office/drawing/2014/main" id="{00000000-0008-0000-0B00-0000C7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49811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193</xdr:row>
      <xdr:rowOff>39688</xdr:rowOff>
    </xdr:from>
    <xdr:to>
      <xdr:col>2</xdr:col>
      <xdr:colOff>312738</xdr:colOff>
      <xdr:row>193</xdr:row>
      <xdr:rowOff>293688</xdr:rowOff>
    </xdr:to>
    <xdr:pic>
      <xdr:nvPicPr>
        <xdr:cNvPr id="55754" name="Picture 55753">
          <a:extLst>
            <a:ext uri="{FF2B5EF4-FFF2-40B4-BE49-F238E27FC236}">
              <a16:creationId xmlns:a16="http://schemas.microsoft.com/office/drawing/2014/main" id="{00000000-0008-0000-0B00-0000CA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53145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193</xdr:row>
      <xdr:rowOff>39688</xdr:rowOff>
    </xdr:from>
    <xdr:to>
      <xdr:col>6</xdr:col>
      <xdr:colOff>346075</xdr:colOff>
      <xdr:row>193</xdr:row>
      <xdr:rowOff>293688</xdr:rowOff>
    </xdr:to>
    <xdr:pic>
      <xdr:nvPicPr>
        <xdr:cNvPr id="55757" name="Picture 55756">
          <a:extLst>
            <a:ext uri="{FF2B5EF4-FFF2-40B4-BE49-F238E27FC236}">
              <a16:creationId xmlns:a16="http://schemas.microsoft.com/office/drawing/2014/main" id="{00000000-0008-0000-0B00-0000CD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53145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194</xdr:row>
      <xdr:rowOff>39688</xdr:rowOff>
    </xdr:from>
    <xdr:to>
      <xdr:col>2</xdr:col>
      <xdr:colOff>312738</xdr:colOff>
      <xdr:row>194</xdr:row>
      <xdr:rowOff>293688</xdr:rowOff>
    </xdr:to>
    <xdr:pic>
      <xdr:nvPicPr>
        <xdr:cNvPr id="55760" name="Picture 55759">
          <a:extLst>
            <a:ext uri="{FF2B5EF4-FFF2-40B4-BE49-F238E27FC236}">
              <a16:creationId xmlns:a16="http://schemas.microsoft.com/office/drawing/2014/main" id="{00000000-0008-0000-0B00-0000D0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56478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194</xdr:row>
      <xdr:rowOff>39688</xdr:rowOff>
    </xdr:from>
    <xdr:to>
      <xdr:col>6</xdr:col>
      <xdr:colOff>346075</xdr:colOff>
      <xdr:row>194</xdr:row>
      <xdr:rowOff>293688</xdr:rowOff>
    </xdr:to>
    <xdr:pic>
      <xdr:nvPicPr>
        <xdr:cNvPr id="55763" name="Picture 55762">
          <a:extLst>
            <a:ext uri="{FF2B5EF4-FFF2-40B4-BE49-F238E27FC236}">
              <a16:creationId xmlns:a16="http://schemas.microsoft.com/office/drawing/2014/main" id="{00000000-0008-0000-0B00-0000D3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56478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196</xdr:row>
      <xdr:rowOff>39688</xdr:rowOff>
    </xdr:from>
    <xdr:to>
      <xdr:col>2</xdr:col>
      <xdr:colOff>312738</xdr:colOff>
      <xdr:row>196</xdr:row>
      <xdr:rowOff>293688</xdr:rowOff>
    </xdr:to>
    <xdr:pic>
      <xdr:nvPicPr>
        <xdr:cNvPr id="55766" name="Picture 55765">
          <a:extLst>
            <a:ext uri="{FF2B5EF4-FFF2-40B4-BE49-F238E27FC236}">
              <a16:creationId xmlns:a16="http://schemas.microsoft.com/office/drawing/2014/main" id="{00000000-0008-0000-0B00-0000D6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63146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196</xdr:row>
      <xdr:rowOff>39688</xdr:rowOff>
    </xdr:from>
    <xdr:to>
      <xdr:col>6</xdr:col>
      <xdr:colOff>346075</xdr:colOff>
      <xdr:row>196</xdr:row>
      <xdr:rowOff>293688</xdr:rowOff>
    </xdr:to>
    <xdr:pic>
      <xdr:nvPicPr>
        <xdr:cNvPr id="55769" name="Picture 55768">
          <a:extLst>
            <a:ext uri="{FF2B5EF4-FFF2-40B4-BE49-F238E27FC236}">
              <a16:creationId xmlns:a16="http://schemas.microsoft.com/office/drawing/2014/main" id="{00000000-0008-0000-0B00-0000D9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63146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197</xdr:row>
      <xdr:rowOff>39688</xdr:rowOff>
    </xdr:from>
    <xdr:to>
      <xdr:col>2</xdr:col>
      <xdr:colOff>312738</xdr:colOff>
      <xdr:row>197</xdr:row>
      <xdr:rowOff>293688</xdr:rowOff>
    </xdr:to>
    <xdr:pic>
      <xdr:nvPicPr>
        <xdr:cNvPr id="55772" name="Picture 55771">
          <a:extLst>
            <a:ext uri="{FF2B5EF4-FFF2-40B4-BE49-F238E27FC236}">
              <a16:creationId xmlns:a16="http://schemas.microsoft.com/office/drawing/2014/main" id="{00000000-0008-0000-0B00-0000DC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66480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197</xdr:row>
      <xdr:rowOff>39688</xdr:rowOff>
    </xdr:from>
    <xdr:to>
      <xdr:col>6</xdr:col>
      <xdr:colOff>346075</xdr:colOff>
      <xdr:row>197</xdr:row>
      <xdr:rowOff>293688</xdr:rowOff>
    </xdr:to>
    <xdr:pic>
      <xdr:nvPicPr>
        <xdr:cNvPr id="55775" name="Picture 55774">
          <a:extLst>
            <a:ext uri="{FF2B5EF4-FFF2-40B4-BE49-F238E27FC236}">
              <a16:creationId xmlns:a16="http://schemas.microsoft.com/office/drawing/2014/main" id="{00000000-0008-0000-0B00-0000DF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66480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198</xdr:row>
      <xdr:rowOff>39688</xdr:rowOff>
    </xdr:from>
    <xdr:to>
      <xdr:col>2</xdr:col>
      <xdr:colOff>312738</xdr:colOff>
      <xdr:row>198</xdr:row>
      <xdr:rowOff>293688</xdr:rowOff>
    </xdr:to>
    <xdr:pic>
      <xdr:nvPicPr>
        <xdr:cNvPr id="55778" name="Picture 55777">
          <a:extLst>
            <a:ext uri="{FF2B5EF4-FFF2-40B4-BE49-F238E27FC236}">
              <a16:creationId xmlns:a16="http://schemas.microsoft.com/office/drawing/2014/main" id="{00000000-0008-0000-0B00-0000E2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69813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198</xdr:row>
      <xdr:rowOff>39688</xdr:rowOff>
    </xdr:from>
    <xdr:to>
      <xdr:col>6</xdr:col>
      <xdr:colOff>346075</xdr:colOff>
      <xdr:row>198</xdr:row>
      <xdr:rowOff>293688</xdr:rowOff>
    </xdr:to>
    <xdr:pic>
      <xdr:nvPicPr>
        <xdr:cNvPr id="55781" name="Picture 55780">
          <a:extLst>
            <a:ext uri="{FF2B5EF4-FFF2-40B4-BE49-F238E27FC236}">
              <a16:creationId xmlns:a16="http://schemas.microsoft.com/office/drawing/2014/main" id="{00000000-0008-0000-0B00-0000E5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69813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199</xdr:row>
      <xdr:rowOff>39688</xdr:rowOff>
    </xdr:from>
    <xdr:to>
      <xdr:col>2</xdr:col>
      <xdr:colOff>312738</xdr:colOff>
      <xdr:row>199</xdr:row>
      <xdr:rowOff>293688</xdr:rowOff>
    </xdr:to>
    <xdr:pic>
      <xdr:nvPicPr>
        <xdr:cNvPr id="55784" name="Picture 55783">
          <a:extLst>
            <a:ext uri="{FF2B5EF4-FFF2-40B4-BE49-F238E27FC236}">
              <a16:creationId xmlns:a16="http://schemas.microsoft.com/office/drawing/2014/main" id="{00000000-0008-0000-0B00-0000E8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73147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199</xdr:row>
      <xdr:rowOff>39688</xdr:rowOff>
    </xdr:from>
    <xdr:to>
      <xdr:col>6</xdr:col>
      <xdr:colOff>346075</xdr:colOff>
      <xdr:row>199</xdr:row>
      <xdr:rowOff>293688</xdr:rowOff>
    </xdr:to>
    <xdr:pic>
      <xdr:nvPicPr>
        <xdr:cNvPr id="55787" name="Picture 55786">
          <a:extLst>
            <a:ext uri="{FF2B5EF4-FFF2-40B4-BE49-F238E27FC236}">
              <a16:creationId xmlns:a16="http://schemas.microsoft.com/office/drawing/2014/main" id="{00000000-0008-0000-0B00-0000EB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73147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200</xdr:row>
      <xdr:rowOff>39688</xdr:rowOff>
    </xdr:from>
    <xdr:to>
      <xdr:col>2</xdr:col>
      <xdr:colOff>312738</xdr:colOff>
      <xdr:row>200</xdr:row>
      <xdr:rowOff>293688</xdr:rowOff>
    </xdr:to>
    <xdr:pic>
      <xdr:nvPicPr>
        <xdr:cNvPr id="55790" name="Picture 55789">
          <a:extLst>
            <a:ext uri="{FF2B5EF4-FFF2-40B4-BE49-F238E27FC236}">
              <a16:creationId xmlns:a16="http://schemas.microsoft.com/office/drawing/2014/main" id="{00000000-0008-0000-0B00-0000EE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76481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200</xdr:row>
      <xdr:rowOff>39688</xdr:rowOff>
    </xdr:from>
    <xdr:to>
      <xdr:col>6</xdr:col>
      <xdr:colOff>346075</xdr:colOff>
      <xdr:row>200</xdr:row>
      <xdr:rowOff>293688</xdr:rowOff>
    </xdr:to>
    <xdr:pic>
      <xdr:nvPicPr>
        <xdr:cNvPr id="55793" name="Picture 55792">
          <a:extLst>
            <a:ext uri="{FF2B5EF4-FFF2-40B4-BE49-F238E27FC236}">
              <a16:creationId xmlns:a16="http://schemas.microsoft.com/office/drawing/2014/main" id="{00000000-0008-0000-0B00-0000F1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76481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204</xdr:row>
      <xdr:rowOff>39688</xdr:rowOff>
    </xdr:from>
    <xdr:to>
      <xdr:col>2</xdr:col>
      <xdr:colOff>312738</xdr:colOff>
      <xdr:row>204</xdr:row>
      <xdr:rowOff>293688</xdr:rowOff>
    </xdr:to>
    <xdr:pic>
      <xdr:nvPicPr>
        <xdr:cNvPr id="55796" name="Picture 55795">
          <a:extLst>
            <a:ext uri="{FF2B5EF4-FFF2-40B4-BE49-F238E27FC236}">
              <a16:creationId xmlns:a16="http://schemas.microsoft.com/office/drawing/2014/main" id="{00000000-0008-0000-0B00-0000F4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90483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204</xdr:row>
      <xdr:rowOff>39688</xdr:rowOff>
    </xdr:from>
    <xdr:to>
      <xdr:col>6</xdr:col>
      <xdr:colOff>346075</xdr:colOff>
      <xdr:row>204</xdr:row>
      <xdr:rowOff>293688</xdr:rowOff>
    </xdr:to>
    <xdr:pic>
      <xdr:nvPicPr>
        <xdr:cNvPr id="55799" name="Picture 55798">
          <a:extLst>
            <a:ext uri="{FF2B5EF4-FFF2-40B4-BE49-F238E27FC236}">
              <a16:creationId xmlns:a16="http://schemas.microsoft.com/office/drawing/2014/main" id="{00000000-0008-0000-0B00-0000F7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90483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205</xdr:row>
      <xdr:rowOff>39688</xdr:rowOff>
    </xdr:from>
    <xdr:to>
      <xdr:col>2</xdr:col>
      <xdr:colOff>312738</xdr:colOff>
      <xdr:row>205</xdr:row>
      <xdr:rowOff>293688</xdr:rowOff>
    </xdr:to>
    <xdr:pic>
      <xdr:nvPicPr>
        <xdr:cNvPr id="55802" name="Picture 55801">
          <a:extLst>
            <a:ext uri="{FF2B5EF4-FFF2-40B4-BE49-F238E27FC236}">
              <a16:creationId xmlns:a16="http://schemas.microsoft.com/office/drawing/2014/main" id="{00000000-0008-0000-0B00-0000FA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93816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205</xdr:row>
      <xdr:rowOff>39688</xdr:rowOff>
    </xdr:from>
    <xdr:to>
      <xdr:col>6</xdr:col>
      <xdr:colOff>346075</xdr:colOff>
      <xdr:row>205</xdr:row>
      <xdr:rowOff>293688</xdr:rowOff>
    </xdr:to>
    <xdr:pic>
      <xdr:nvPicPr>
        <xdr:cNvPr id="55805" name="Picture 55804">
          <a:extLst>
            <a:ext uri="{FF2B5EF4-FFF2-40B4-BE49-F238E27FC236}">
              <a16:creationId xmlns:a16="http://schemas.microsoft.com/office/drawing/2014/main" id="{00000000-0008-0000-0B00-0000FDD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93816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206</xdr:row>
      <xdr:rowOff>39688</xdr:rowOff>
    </xdr:from>
    <xdr:to>
      <xdr:col>2</xdr:col>
      <xdr:colOff>312738</xdr:colOff>
      <xdr:row>206</xdr:row>
      <xdr:rowOff>293688</xdr:rowOff>
    </xdr:to>
    <xdr:pic>
      <xdr:nvPicPr>
        <xdr:cNvPr id="55808" name="Picture 55807">
          <a:extLst>
            <a:ext uri="{FF2B5EF4-FFF2-40B4-BE49-F238E27FC236}">
              <a16:creationId xmlns:a16="http://schemas.microsoft.com/office/drawing/2014/main" id="{00000000-0008-0000-0B00-000000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697150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206</xdr:row>
      <xdr:rowOff>39688</xdr:rowOff>
    </xdr:from>
    <xdr:to>
      <xdr:col>6</xdr:col>
      <xdr:colOff>346075</xdr:colOff>
      <xdr:row>206</xdr:row>
      <xdr:rowOff>293688</xdr:rowOff>
    </xdr:to>
    <xdr:pic>
      <xdr:nvPicPr>
        <xdr:cNvPr id="55811" name="Picture 55810">
          <a:extLst>
            <a:ext uri="{FF2B5EF4-FFF2-40B4-BE49-F238E27FC236}">
              <a16:creationId xmlns:a16="http://schemas.microsoft.com/office/drawing/2014/main" id="{00000000-0008-0000-0B00-000003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697150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207</xdr:row>
      <xdr:rowOff>39688</xdr:rowOff>
    </xdr:from>
    <xdr:to>
      <xdr:col>2</xdr:col>
      <xdr:colOff>312738</xdr:colOff>
      <xdr:row>207</xdr:row>
      <xdr:rowOff>293688</xdr:rowOff>
    </xdr:to>
    <xdr:pic>
      <xdr:nvPicPr>
        <xdr:cNvPr id="55814" name="Picture 55813">
          <a:extLst>
            <a:ext uri="{FF2B5EF4-FFF2-40B4-BE49-F238E27FC236}">
              <a16:creationId xmlns:a16="http://schemas.microsoft.com/office/drawing/2014/main" id="{00000000-0008-0000-0B00-000006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00484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207</xdr:row>
      <xdr:rowOff>39688</xdr:rowOff>
    </xdr:from>
    <xdr:to>
      <xdr:col>6</xdr:col>
      <xdr:colOff>346075</xdr:colOff>
      <xdr:row>207</xdr:row>
      <xdr:rowOff>293688</xdr:rowOff>
    </xdr:to>
    <xdr:pic>
      <xdr:nvPicPr>
        <xdr:cNvPr id="55817" name="Picture 55816">
          <a:extLst>
            <a:ext uri="{FF2B5EF4-FFF2-40B4-BE49-F238E27FC236}">
              <a16:creationId xmlns:a16="http://schemas.microsoft.com/office/drawing/2014/main" id="{00000000-0008-0000-0B00-000009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00484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208</xdr:row>
      <xdr:rowOff>39688</xdr:rowOff>
    </xdr:from>
    <xdr:to>
      <xdr:col>2</xdr:col>
      <xdr:colOff>312738</xdr:colOff>
      <xdr:row>208</xdr:row>
      <xdr:rowOff>293688</xdr:rowOff>
    </xdr:to>
    <xdr:pic>
      <xdr:nvPicPr>
        <xdr:cNvPr id="55820" name="Picture 55819">
          <a:extLst>
            <a:ext uri="{FF2B5EF4-FFF2-40B4-BE49-F238E27FC236}">
              <a16:creationId xmlns:a16="http://schemas.microsoft.com/office/drawing/2014/main" id="{00000000-0008-0000-0B00-00000C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03818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208</xdr:row>
      <xdr:rowOff>39688</xdr:rowOff>
    </xdr:from>
    <xdr:to>
      <xdr:col>6</xdr:col>
      <xdr:colOff>346075</xdr:colOff>
      <xdr:row>208</xdr:row>
      <xdr:rowOff>293688</xdr:rowOff>
    </xdr:to>
    <xdr:pic>
      <xdr:nvPicPr>
        <xdr:cNvPr id="55823" name="Picture 55822">
          <a:extLst>
            <a:ext uri="{FF2B5EF4-FFF2-40B4-BE49-F238E27FC236}">
              <a16:creationId xmlns:a16="http://schemas.microsoft.com/office/drawing/2014/main" id="{00000000-0008-0000-0B00-00000F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03818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209</xdr:row>
      <xdr:rowOff>39688</xdr:rowOff>
    </xdr:from>
    <xdr:to>
      <xdr:col>2</xdr:col>
      <xdr:colOff>312738</xdr:colOff>
      <xdr:row>209</xdr:row>
      <xdr:rowOff>293688</xdr:rowOff>
    </xdr:to>
    <xdr:pic>
      <xdr:nvPicPr>
        <xdr:cNvPr id="55826" name="Picture 55825">
          <a:extLst>
            <a:ext uri="{FF2B5EF4-FFF2-40B4-BE49-F238E27FC236}">
              <a16:creationId xmlns:a16="http://schemas.microsoft.com/office/drawing/2014/main" id="{00000000-0008-0000-0B00-000012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07151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209</xdr:row>
      <xdr:rowOff>39688</xdr:rowOff>
    </xdr:from>
    <xdr:to>
      <xdr:col>6</xdr:col>
      <xdr:colOff>346075</xdr:colOff>
      <xdr:row>209</xdr:row>
      <xdr:rowOff>293688</xdr:rowOff>
    </xdr:to>
    <xdr:pic>
      <xdr:nvPicPr>
        <xdr:cNvPr id="55829" name="Picture 55828">
          <a:extLst>
            <a:ext uri="{FF2B5EF4-FFF2-40B4-BE49-F238E27FC236}">
              <a16:creationId xmlns:a16="http://schemas.microsoft.com/office/drawing/2014/main" id="{00000000-0008-0000-0B00-000015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07151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210</xdr:row>
      <xdr:rowOff>39688</xdr:rowOff>
    </xdr:from>
    <xdr:to>
      <xdr:col>2</xdr:col>
      <xdr:colOff>312738</xdr:colOff>
      <xdr:row>210</xdr:row>
      <xdr:rowOff>293688</xdr:rowOff>
    </xdr:to>
    <xdr:pic>
      <xdr:nvPicPr>
        <xdr:cNvPr id="55832" name="Picture 55831">
          <a:extLst>
            <a:ext uri="{FF2B5EF4-FFF2-40B4-BE49-F238E27FC236}">
              <a16:creationId xmlns:a16="http://schemas.microsoft.com/office/drawing/2014/main" id="{00000000-0008-0000-0B00-000018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10485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210</xdr:row>
      <xdr:rowOff>39688</xdr:rowOff>
    </xdr:from>
    <xdr:to>
      <xdr:col>6</xdr:col>
      <xdr:colOff>346075</xdr:colOff>
      <xdr:row>210</xdr:row>
      <xdr:rowOff>293688</xdr:rowOff>
    </xdr:to>
    <xdr:pic>
      <xdr:nvPicPr>
        <xdr:cNvPr id="55835" name="Picture 55834">
          <a:extLst>
            <a:ext uri="{FF2B5EF4-FFF2-40B4-BE49-F238E27FC236}">
              <a16:creationId xmlns:a16="http://schemas.microsoft.com/office/drawing/2014/main" id="{00000000-0008-0000-0B00-00001B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10485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211</xdr:row>
      <xdr:rowOff>39688</xdr:rowOff>
    </xdr:from>
    <xdr:to>
      <xdr:col>2</xdr:col>
      <xdr:colOff>312738</xdr:colOff>
      <xdr:row>211</xdr:row>
      <xdr:rowOff>293688</xdr:rowOff>
    </xdr:to>
    <xdr:pic>
      <xdr:nvPicPr>
        <xdr:cNvPr id="55838" name="Picture 55837">
          <a:extLst>
            <a:ext uri="{FF2B5EF4-FFF2-40B4-BE49-F238E27FC236}">
              <a16:creationId xmlns:a16="http://schemas.microsoft.com/office/drawing/2014/main" id="{00000000-0008-0000-0B00-00001E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13819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211</xdr:row>
      <xdr:rowOff>39688</xdr:rowOff>
    </xdr:from>
    <xdr:to>
      <xdr:col>6</xdr:col>
      <xdr:colOff>346075</xdr:colOff>
      <xdr:row>211</xdr:row>
      <xdr:rowOff>293688</xdr:rowOff>
    </xdr:to>
    <xdr:pic>
      <xdr:nvPicPr>
        <xdr:cNvPr id="55841" name="Picture 55840">
          <a:extLst>
            <a:ext uri="{FF2B5EF4-FFF2-40B4-BE49-F238E27FC236}">
              <a16:creationId xmlns:a16="http://schemas.microsoft.com/office/drawing/2014/main" id="{00000000-0008-0000-0B00-000021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13819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213</xdr:row>
      <xdr:rowOff>39688</xdr:rowOff>
    </xdr:from>
    <xdr:to>
      <xdr:col>2</xdr:col>
      <xdr:colOff>312738</xdr:colOff>
      <xdr:row>213</xdr:row>
      <xdr:rowOff>293688</xdr:rowOff>
    </xdr:to>
    <xdr:pic>
      <xdr:nvPicPr>
        <xdr:cNvPr id="55844" name="Picture 55843">
          <a:extLst>
            <a:ext uri="{FF2B5EF4-FFF2-40B4-BE49-F238E27FC236}">
              <a16:creationId xmlns:a16="http://schemas.microsoft.com/office/drawing/2014/main" id="{00000000-0008-0000-0B00-000024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20486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213</xdr:row>
      <xdr:rowOff>39688</xdr:rowOff>
    </xdr:from>
    <xdr:to>
      <xdr:col>6</xdr:col>
      <xdr:colOff>346075</xdr:colOff>
      <xdr:row>213</xdr:row>
      <xdr:rowOff>293688</xdr:rowOff>
    </xdr:to>
    <xdr:pic>
      <xdr:nvPicPr>
        <xdr:cNvPr id="55847" name="Picture 55846">
          <a:extLst>
            <a:ext uri="{FF2B5EF4-FFF2-40B4-BE49-F238E27FC236}">
              <a16:creationId xmlns:a16="http://schemas.microsoft.com/office/drawing/2014/main" id="{00000000-0008-0000-0B00-000027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20486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214</xdr:row>
      <xdr:rowOff>39688</xdr:rowOff>
    </xdr:from>
    <xdr:to>
      <xdr:col>2</xdr:col>
      <xdr:colOff>312738</xdr:colOff>
      <xdr:row>214</xdr:row>
      <xdr:rowOff>293688</xdr:rowOff>
    </xdr:to>
    <xdr:pic>
      <xdr:nvPicPr>
        <xdr:cNvPr id="55850" name="Picture 55849">
          <a:extLst>
            <a:ext uri="{FF2B5EF4-FFF2-40B4-BE49-F238E27FC236}">
              <a16:creationId xmlns:a16="http://schemas.microsoft.com/office/drawing/2014/main" id="{00000000-0008-0000-0B00-00002A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23820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214</xdr:row>
      <xdr:rowOff>39688</xdr:rowOff>
    </xdr:from>
    <xdr:to>
      <xdr:col>6</xdr:col>
      <xdr:colOff>346075</xdr:colOff>
      <xdr:row>214</xdr:row>
      <xdr:rowOff>293688</xdr:rowOff>
    </xdr:to>
    <xdr:pic>
      <xdr:nvPicPr>
        <xdr:cNvPr id="55853" name="Picture 55852">
          <a:extLst>
            <a:ext uri="{FF2B5EF4-FFF2-40B4-BE49-F238E27FC236}">
              <a16:creationId xmlns:a16="http://schemas.microsoft.com/office/drawing/2014/main" id="{00000000-0008-0000-0B00-00002D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23820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218</xdr:row>
      <xdr:rowOff>39688</xdr:rowOff>
    </xdr:from>
    <xdr:to>
      <xdr:col>2</xdr:col>
      <xdr:colOff>312738</xdr:colOff>
      <xdr:row>218</xdr:row>
      <xdr:rowOff>293688</xdr:rowOff>
    </xdr:to>
    <xdr:pic>
      <xdr:nvPicPr>
        <xdr:cNvPr id="55856" name="Picture 55855">
          <a:extLst>
            <a:ext uri="{FF2B5EF4-FFF2-40B4-BE49-F238E27FC236}">
              <a16:creationId xmlns:a16="http://schemas.microsoft.com/office/drawing/2014/main" id="{00000000-0008-0000-0B00-000030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37822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218</xdr:row>
      <xdr:rowOff>39688</xdr:rowOff>
    </xdr:from>
    <xdr:to>
      <xdr:col>6</xdr:col>
      <xdr:colOff>346075</xdr:colOff>
      <xdr:row>218</xdr:row>
      <xdr:rowOff>293688</xdr:rowOff>
    </xdr:to>
    <xdr:pic>
      <xdr:nvPicPr>
        <xdr:cNvPr id="55859" name="Picture 55858">
          <a:extLst>
            <a:ext uri="{FF2B5EF4-FFF2-40B4-BE49-F238E27FC236}">
              <a16:creationId xmlns:a16="http://schemas.microsoft.com/office/drawing/2014/main" id="{00000000-0008-0000-0B00-000033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37822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219</xdr:row>
      <xdr:rowOff>39688</xdr:rowOff>
    </xdr:from>
    <xdr:to>
      <xdr:col>2</xdr:col>
      <xdr:colOff>312738</xdr:colOff>
      <xdr:row>219</xdr:row>
      <xdr:rowOff>293688</xdr:rowOff>
    </xdr:to>
    <xdr:pic>
      <xdr:nvPicPr>
        <xdr:cNvPr id="55862" name="Picture 55861">
          <a:extLst>
            <a:ext uri="{FF2B5EF4-FFF2-40B4-BE49-F238E27FC236}">
              <a16:creationId xmlns:a16="http://schemas.microsoft.com/office/drawing/2014/main" id="{00000000-0008-0000-0B00-000036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41156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219</xdr:row>
      <xdr:rowOff>39688</xdr:rowOff>
    </xdr:from>
    <xdr:to>
      <xdr:col>6</xdr:col>
      <xdr:colOff>346075</xdr:colOff>
      <xdr:row>219</xdr:row>
      <xdr:rowOff>293688</xdr:rowOff>
    </xdr:to>
    <xdr:pic>
      <xdr:nvPicPr>
        <xdr:cNvPr id="55865" name="Picture 55864">
          <a:extLst>
            <a:ext uri="{FF2B5EF4-FFF2-40B4-BE49-F238E27FC236}">
              <a16:creationId xmlns:a16="http://schemas.microsoft.com/office/drawing/2014/main" id="{00000000-0008-0000-0B00-000039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41156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220</xdr:row>
      <xdr:rowOff>39688</xdr:rowOff>
    </xdr:from>
    <xdr:to>
      <xdr:col>2</xdr:col>
      <xdr:colOff>312738</xdr:colOff>
      <xdr:row>220</xdr:row>
      <xdr:rowOff>293688</xdr:rowOff>
    </xdr:to>
    <xdr:pic>
      <xdr:nvPicPr>
        <xdr:cNvPr id="55868" name="Picture 55867">
          <a:extLst>
            <a:ext uri="{FF2B5EF4-FFF2-40B4-BE49-F238E27FC236}">
              <a16:creationId xmlns:a16="http://schemas.microsoft.com/office/drawing/2014/main" id="{00000000-0008-0000-0B00-00003C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44489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220</xdr:row>
      <xdr:rowOff>39688</xdr:rowOff>
    </xdr:from>
    <xdr:to>
      <xdr:col>6</xdr:col>
      <xdr:colOff>346075</xdr:colOff>
      <xdr:row>220</xdr:row>
      <xdr:rowOff>293688</xdr:rowOff>
    </xdr:to>
    <xdr:pic>
      <xdr:nvPicPr>
        <xdr:cNvPr id="55871" name="Picture 55870">
          <a:extLst>
            <a:ext uri="{FF2B5EF4-FFF2-40B4-BE49-F238E27FC236}">
              <a16:creationId xmlns:a16="http://schemas.microsoft.com/office/drawing/2014/main" id="{00000000-0008-0000-0B00-00003F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44489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221</xdr:row>
      <xdr:rowOff>39688</xdr:rowOff>
    </xdr:from>
    <xdr:to>
      <xdr:col>2</xdr:col>
      <xdr:colOff>312738</xdr:colOff>
      <xdr:row>221</xdr:row>
      <xdr:rowOff>293688</xdr:rowOff>
    </xdr:to>
    <xdr:pic>
      <xdr:nvPicPr>
        <xdr:cNvPr id="55874" name="Picture 55873">
          <a:extLst>
            <a:ext uri="{FF2B5EF4-FFF2-40B4-BE49-F238E27FC236}">
              <a16:creationId xmlns:a16="http://schemas.microsoft.com/office/drawing/2014/main" id="{00000000-0008-0000-0B00-000042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47823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221</xdr:row>
      <xdr:rowOff>39688</xdr:rowOff>
    </xdr:from>
    <xdr:to>
      <xdr:col>6</xdr:col>
      <xdr:colOff>346075</xdr:colOff>
      <xdr:row>221</xdr:row>
      <xdr:rowOff>293688</xdr:rowOff>
    </xdr:to>
    <xdr:pic>
      <xdr:nvPicPr>
        <xdr:cNvPr id="55877" name="Picture 55876">
          <a:extLst>
            <a:ext uri="{FF2B5EF4-FFF2-40B4-BE49-F238E27FC236}">
              <a16:creationId xmlns:a16="http://schemas.microsoft.com/office/drawing/2014/main" id="{00000000-0008-0000-0B00-000045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47823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222</xdr:row>
      <xdr:rowOff>39688</xdr:rowOff>
    </xdr:from>
    <xdr:to>
      <xdr:col>2</xdr:col>
      <xdr:colOff>312738</xdr:colOff>
      <xdr:row>222</xdr:row>
      <xdr:rowOff>293688</xdr:rowOff>
    </xdr:to>
    <xdr:pic>
      <xdr:nvPicPr>
        <xdr:cNvPr id="55880" name="Picture 55879">
          <a:extLst>
            <a:ext uri="{FF2B5EF4-FFF2-40B4-BE49-F238E27FC236}">
              <a16:creationId xmlns:a16="http://schemas.microsoft.com/office/drawing/2014/main" id="{00000000-0008-0000-0B00-000048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51157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222</xdr:row>
      <xdr:rowOff>39688</xdr:rowOff>
    </xdr:from>
    <xdr:to>
      <xdr:col>6</xdr:col>
      <xdr:colOff>346075</xdr:colOff>
      <xdr:row>222</xdr:row>
      <xdr:rowOff>293688</xdr:rowOff>
    </xdr:to>
    <xdr:pic>
      <xdr:nvPicPr>
        <xdr:cNvPr id="55883" name="Picture 55882">
          <a:extLst>
            <a:ext uri="{FF2B5EF4-FFF2-40B4-BE49-F238E27FC236}">
              <a16:creationId xmlns:a16="http://schemas.microsoft.com/office/drawing/2014/main" id="{00000000-0008-0000-0B00-00004B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51157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223</xdr:row>
      <xdr:rowOff>39688</xdr:rowOff>
    </xdr:from>
    <xdr:to>
      <xdr:col>2</xdr:col>
      <xdr:colOff>312738</xdr:colOff>
      <xdr:row>223</xdr:row>
      <xdr:rowOff>293688</xdr:rowOff>
    </xdr:to>
    <xdr:pic>
      <xdr:nvPicPr>
        <xdr:cNvPr id="55886" name="Picture 55885">
          <a:extLst>
            <a:ext uri="{FF2B5EF4-FFF2-40B4-BE49-F238E27FC236}">
              <a16:creationId xmlns:a16="http://schemas.microsoft.com/office/drawing/2014/main" id="{00000000-0008-0000-0B00-00004E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54491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223</xdr:row>
      <xdr:rowOff>39688</xdr:rowOff>
    </xdr:from>
    <xdr:to>
      <xdr:col>6</xdr:col>
      <xdr:colOff>346075</xdr:colOff>
      <xdr:row>223</xdr:row>
      <xdr:rowOff>293688</xdr:rowOff>
    </xdr:to>
    <xdr:pic>
      <xdr:nvPicPr>
        <xdr:cNvPr id="55889" name="Picture 55888">
          <a:extLst>
            <a:ext uri="{FF2B5EF4-FFF2-40B4-BE49-F238E27FC236}">
              <a16:creationId xmlns:a16="http://schemas.microsoft.com/office/drawing/2014/main" id="{00000000-0008-0000-0B00-000051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54491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224</xdr:row>
      <xdr:rowOff>39688</xdr:rowOff>
    </xdr:from>
    <xdr:to>
      <xdr:col>2</xdr:col>
      <xdr:colOff>312738</xdr:colOff>
      <xdr:row>224</xdr:row>
      <xdr:rowOff>293688</xdr:rowOff>
    </xdr:to>
    <xdr:pic>
      <xdr:nvPicPr>
        <xdr:cNvPr id="55892" name="Picture 55891">
          <a:extLst>
            <a:ext uri="{FF2B5EF4-FFF2-40B4-BE49-F238E27FC236}">
              <a16:creationId xmlns:a16="http://schemas.microsoft.com/office/drawing/2014/main" id="{00000000-0008-0000-0B00-000054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57824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224</xdr:row>
      <xdr:rowOff>39688</xdr:rowOff>
    </xdr:from>
    <xdr:to>
      <xdr:col>6</xdr:col>
      <xdr:colOff>346075</xdr:colOff>
      <xdr:row>224</xdr:row>
      <xdr:rowOff>293688</xdr:rowOff>
    </xdr:to>
    <xdr:pic>
      <xdr:nvPicPr>
        <xdr:cNvPr id="55895" name="Picture 55894">
          <a:extLst>
            <a:ext uri="{FF2B5EF4-FFF2-40B4-BE49-F238E27FC236}">
              <a16:creationId xmlns:a16="http://schemas.microsoft.com/office/drawing/2014/main" id="{00000000-0008-0000-0B00-000057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57824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226</xdr:row>
      <xdr:rowOff>39688</xdr:rowOff>
    </xdr:from>
    <xdr:to>
      <xdr:col>2</xdr:col>
      <xdr:colOff>312738</xdr:colOff>
      <xdr:row>226</xdr:row>
      <xdr:rowOff>293688</xdr:rowOff>
    </xdr:to>
    <xdr:pic>
      <xdr:nvPicPr>
        <xdr:cNvPr id="55898" name="Picture 55897">
          <a:extLst>
            <a:ext uri="{FF2B5EF4-FFF2-40B4-BE49-F238E27FC236}">
              <a16:creationId xmlns:a16="http://schemas.microsoft.com/office/drawing/2014/main" id="{00000000-0008-0000-0B00-00005A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64492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226</xdr:row>
      <xdr:rowOff>39688</xdr:rowOff>
    </xdr:from>
    <xdr:to>
      <xdr:col>6</xdr:col>
      <xdr:colOff>346075</xdr:colOff>
      <xdr:row>226</xdr:row>
      <xdr:rowOff>293688</xdr:rowOff>
    </xdr:to>
    <xdr:pic>
      <xdr:nvPicPr>
        <xdr:cNvPr id="55901" name="Picture 55900">
          <a:extLst>
            <a:ext uri="{FF2B5EF4-FFF2-40B4-BE49-F238E27FC236}">
              <a16:creationId xmlns:a16="http://schemas.microsoft.com/office/drawing/2014/main" id="{00000000-0008-0000-0B00-00005D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64492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227</xdr:row>
      <xdr:rowOff>39688</xdr:rowOff>
    </xdr:from>
    <xdr:to>
      <xdr:col>2</xdr:col>
      <xdr:colOff>312738</xdr:colOff>
      <xdr:row>227</xdr:row>
      <xdr:rowOff>293688</xdr:rowOff>
    </xdr:to>
    <xdr:pic>
      <xdr:nvPicPr>
        <xdr:cNvPr id="55904" name="Picture 55903">
          <a:extLst>
            <a:ext uri="{FF2B5EF4-FFF2-40B4-BE49-F238E27FC236}">
              <a16:creationId xmlns:a16="http://schemas.microsoft.com/office/drawing/2014/main" id="{00000000-0008-0000-0B00-000060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67826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227</xdr:row>
      <xdr:rowOff>39688</xdr:rowOff>
    </xdr:from>
    <xdr:to>
      <xdr:col>6</xdr:col>
      <xdr:colOff>346075</xdr:colOff>
      <xdr:row>227</xdr:row>
      <xdr:rowOff>293688</xdr:rowOff>
    </xdr:to>
    <xdr:pic>
      <xdr:nvPicPr>
        <xdr:cNvPr id="55907" name="Picture 55906">
          <a:extLst>
            <a:ext uri="{FF2B5EF4-FFF2-40B4-BE49-F238E27FC236}">
              <a16:creationId xmlns:a16="http://schemas.microsoft.com/office/drawing/2014/main" id="{00000000-0008-0000-0B00-000063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67826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229</xdr:row>
      <xdr:rowOff>39688</xdr:rowOff>
    </xdr:from>
    <xdr:to>
      <xdr:col>2</xdr:col>
      <xdr:colOff>312738</xdr:colOff>
      <xdr:row>229</xdr:row>
      <xdr:rowOff>293688</xdr:rowOff>
    </xdr:to>
    <xdr:pic>
      <xdr:nvPicPr>
        <xdr:cNvPr id="55910" name="Picture 55909">
          <a:extLst>
            <a:ext uri="{FF2B5EF4-FFF2-40B4-BE49-F238E27FC236}">
              <a16:creationId xmlns:a16="http://schemas.microsoft.com/office/drawing/2014/main" id="{00000000-0008-0000-0B00-000066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74493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229</xdr:row>
      <xdr:rowOff>39688</xdr:rowOff>
    </xdr:from>
    <xdr:to>
      <xdr:col>6</xdr:col>
      <xdr:colOff>346075</xdr:colOff>
      <xdr:row>229</xdr:row>
      <xdr:rowOff>293688</xdr:rowOff>
    </xdr:to>
    <xdr:pic>
      <xdr:nvPicPr>
        <xdr:cNvPr id="55913" name="Picture 55912">
          <a:extLst>
            <a:ext uri="{FF2B5EF4-FFF2-40B4-BE49-F238E27FC236}">
              <a16:creationId xmlns:a16="http://schemas.microsoft.com/office/drawing/2014/main" id="{00000000-0008-0000-0B00-000069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74493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233</xdr:row>
      <xdr:rowOff>39688</xdr:rowOff>
    </xdr:from>
    <xdr:to>
      <xdr:col>2</xdr:col>
      <xdr:colOff>312738</xdr:colOff>
      <xdr:row>233</xdr:row>
      <xdr:rowOff>293688</xdr:rowOff>
    </xdr:to>
    <xdr:pic>
      <xdr:nvPicPr>
        <xdr:cNvPr id="55916" name="Picture 55915">
          <a:extLst>
            <a:ext uri="{FF2B5EF4-FFF2-40B4-BE49-F238E27FC236}">
              <a16:creationId xmlns:a16="http://schemas.microsoft.com/office/drawing/2014/main" id="{00000000-0008-0000-0B00-00006C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88495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233</xdr:row>
      <xdr:rowOff>39688</xdr:rowOff>
    </xdr:from>
    <xdr:to>
      <xdr:col>6</xdr:col>
      <xdr:colOff>346075</xdr:colOff>
      <xdr:row>233</xdr:row>
      <xdr:rowOff>293688</xdr:rowOff>
    </xdr:to>
    <xdr:pic>
      <xdr:nvPicPr>
        <xdr:cNvPr id="55919" name="Picture 55918">
          <a:extLst>
            <a:ext uri="{FF2B5EF4-FFF2-40B4-BE49-F238E27FC236}">
              <a16:creationId xmlns:a16="http://schemas.microsoft.com/office/drawing/2014/main" id="{00000000-0008-0000-0B00-00006F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88495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234</xdr:row>
      <xdr:rowOff>39688</xdr:rowOff>
    </xdr:from>
    <xdr:to>
      <xdr:col>2</xdr:col>
      <xdr:colOff>312738</xdr:colOff>
      <xdr:row>234</xdr:row>
      <xdr:rowOff>293688</xdr:rowOff>
    </xdr:to>
    <xdr:pic>
      <xdr:nvPicPr>
        <xdr:cNvPr id="55922" name="Picture 55921">
          <a:extLst>
            <a:ext uri="{FF2B5EF4-FFF2-40B4-BE49-F238E27FC236}">
              <a16:creationId xmlns:a16="http://schemas.microsoft.com/office/drawing/2014/main" id="{00000000-0008-0000-0B00-000072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91829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234</xdr:row>
      <xdr:rowOff>39688</xdr:rowOff>
    </xdr:from>
    <xdr:to>
      <xdr:col>6</xdr:col>
      <xdr:colOff>346075</xdr:colOff>
      <xdr:row>234</xdr:row>
      <xdr:rowOff>293688</xdr:rowOff>
    </xdr:to>
    <xdr:pic>
      <xdr:nvPicPr>
        <xdr:cNvPr id="55925" name="Picture 55924">
          <a:extLst>
            <a:ext uri="{FF2B5EF4-FFF2-40B4-BE49-F238E27FC236}">
              <a16:creationId xmlns:a16="http://schemas.microsoft.com/office/drawing/2014/main" id="{00000000-0008-0000-0B00-000075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91829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236</xdr:row>
      <xdr:rowOff>39688</xdr:rowOff>
    </xdr:from>
    <xdr:to>
      <xdr:col>2</xdr:col>
      <xdr:colOff>312738</xdr:colOff>
      <xdr:row>236</xdr:row>
      <xdr:rowOff>293688</xdr:rowOff>
    </xdr:to>
    <xdr:pic>
      <xdr:nvPicPr>
        <xdr:cNvPr id="55928" name="Picture 55927">
          <a:extLst>
            <a:ext uri="{FF2B5EF4-FFF2-40B4-BE49-F238E27FC236}">
              <a16:creationId xmlns:a16="http://schemas.microsoft.com/office/drawing/2014/main" id="{00000000-0008-0000-0B00-000078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798496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236</xdr:row>
      <xdr:rowOff>39688</xdr:rowOff>
    </xdr:from>
    <xdr:to>
      <xdr:col>6</xdr:col>
      <xdr:colOff>346075</xdr:colOff>
      <xdr:row>236</xdr:row>
      <xdr:rowOff>293688</xdr:rowOff>
    </xdr:to>
    <xdr:pic>
      <xdr:nvPicPr>
        <xdr:cNvPr id="55931" name="Picture 55930">
          <a:extLst>
            <a:ext uri="{FF2B5EF4-FFF2-40B4-BE49-F238E27FC236}">
              <a16:creationId xmlns:a16="http://schemas.microsoft.com/office/drawing/2014/main" id="{00000000-0008-0000-0B00-00007B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798496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237</xdr:row>
      <xdr:rowOff>39688</xdr:rowOff>
    </xdr:from>
    <xdr:to>
      <xdr:col>2</xdr:col>
      <xdr:colOff>312738</xdr:colOff>
      <xdr:row>237</xdr:row>
      <xdr:rowOff>293688</xdr:rowOff>
    </xdr:to>
    <xdr:pic>
      <xdr:nvPicPr>
        <xdr:cNvPr id="55934" name="Picture 55933">
          <a:extLst>
            <a:ext uri="{FF2B5EF4-FFF2-40B4-BE49-F238E27FC236}">
              <a16:creationId xmlns:a16="http://schemas.microsoft.com/office/drawing/2014/main" id="{00000000-0008-0000-0B00-00007E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01830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237</xdr:row>
      <xdr:rowOff>39688</xdr:rowOff>
    </xdr:from>
    <xdr:to>
      <xdr:col>6</xdr:col>
      <xdr:colOff>346075</xdr:colOff>
      <xdr:row>237</xdr:row>
      <xdr:rowOff>293688</xdr:rowOff>
    </xdr:to>
    <xdr:pic>
      <xdr:nvPicPr>
        <xdr:cNvPr id="55937" name="Picture 55936">
          <a:extLst>
            <a:ext uri="{FF2B5EF4-FFF2-40B4-BE49-F238E27FC236}">
              <a16:creationId xmlns:a16="http://schemas.microsoft.com/office/drawing/2014/main" id="{00000000-0008-0000-0B00-000081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01830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238</xdr:row>
      <xdr:rowOff>39688</xdr:rowOff>
    </xdr:from>
    <xdr:to>
      <xdr:col>2</xdr:col>
      <xdr:colOff>312738</xdr:colOff>
      <xdr:row>238</xdr:row>
      <xdr:rowOff>293688</xdr:rowOff>
    </xdr:to>
    <xdr:pic>
      <xdr:nvPicPr>
        <xdr:cNvPr id="55940" name="Picture 55939">
          <a:extLst>
            <a:ext uri="{FF2B5EF4-FFF2-40B4-BE49-F238E27FC236}">
              <a16:creationId xmlns:a16="http://schemas.microsoft.com/office/drawing/2014/main" id="{00000000-0008-0000-0B00-000084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05164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238</xdr:row>
      <xdr:rowOff>39688</xdr:rowOff>
    </xdr:from>
    <xdr:to>
      <xdr:col>6</xdr:col>
      <xdr:colOff>346075</xdr:colOff>
      <xdr:row>238</xdr:row>
      <xdr:rowOff>293688</xdr:rowOff>
    </xdr:to>
    <xdr:pic>
      <xdr:nvPicPr>
        <xdr:cNvPr id="55943" name="Picture 55942">
          <a:extLst>
            <a:ext uri="{FF2B5EF4-FFF2-40B4-BE49-F238E27FC236}">
              <a16:creationId xmlns:a16="http://schemas.microsoft.com/office/drawing/2014/main" id="{00000000-0008-0000-0B00-000087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05164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239</xdr:row>
      <xdr:rowOff>39688</xdr:rowOff>
    </xdr:from>
    <xdr:to>
      <xdr:col>2</xdr:col>
      <xdr:colOff>312738</xdr:colOff>
      <xdr:row>239</xdr:row>
      <xdr:rowOff>293688</xdr:rowOff>
    </xdr:to>
    <xdr:pic>
      <xdr:nvPicPr>
        <xdr:cNvPr id="55946" name="Picture 55945">
          <a:extLst>
            <a:ext uri="{FF2B5EF4-FFF2-40B4-BE49-F238E27FC236}">
              <a16:creationId xmlns:a16="http://schemas.microsoft.com/office/drawing/2014/main" id="{00000000-0008-0000-0B00-00008A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08497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239</xdr:row>
      <xdr:rowOff>39688</xdr:rowOff>
    </xdr:from>
    <xdr:to>
      <xdr:col>6</xdr:col>
      <xdr:colOff>346075</xdr:colOff>
      <xdr:row>239</xdr:row>
      <xdr:rowOff>293688</xdr:rowOff>
    </xdr:to>
    <xdr:pic>
      <xdr:nvPicPr>
        <xdr:cNvPr id="55949" name="Picture 55948">
          <a:extLst>
            <a:ext uri="{FF2B5EF4-FFF2-40B4-BE49-F238E27FC236}">
              <a16:creationId xmlns:a16="http://schemas.microsoft.com/office/drawing/2014/main" id="{00000000-0008-0000-0B00-00008D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08497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240</xdr:row>
      <xdr:rowOff>39688</xdr:rowOff>
    </xdr:from>
    <xdr:to>
      <xdr:col>2</xdr:col>
      <xdr:colOff>312738</xdr:colOff>
      <xdr:row>240</xdr:row>
      <xdr:rowOff>293688</xdr:rowOff>
    </xdr:to>
    <xdr:pic>
      <xdr:nvPicPr>
        <xdr:cNvPr id="55952" name="Picture 55951">
          <a:extLst>
            <a:ext uri="{FF2B5EF4-FFF2-40B4-BE49-F238E27FC236}">
              <a16:creationId xmlns:a16="http://schemas.microsoft.com/office/drawing/2014/main" id="{00000000-0008-0000-0B00-000090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11831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240</xdr:row>
      <xdr:rowOff>39688</xdr:rowOff>
    </xdr:from>
    <xdr:to>
      <xdr:col>6</xdr:col>
      <xdr:colOff>346075</xdr:colOff>
      <xdr:row>240</xdr:row>
      <xdr:rowOff>293688</xdr:rowOff>
    </xdr:to>
    <xdr:pic>
      <xdr:nvPicPr>
        <xdr:cNvPr id="55955" name="Picture 55954">
          <a:extLst>
            <a:ext uri="{FF2B5EF4-FFF2-40B4-BE49-F238E27FC236}">
              <a16:creationId xmlns:a16="http://schemas.microsoft.com/office/drawing/2014/main" id="{00000000-0008-0000-0B00-000093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11831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241</xdr:row>
      <xdr:rowOff>39688</xdr:rowOff>
    </xdr:from>
    <xdr:to>
      <xdr:col>2</xdr:col>
      <xdr:colOff>312738</xdr:colOff>
      <xdr:row>241</xdr:row>
      <xdr:rowOff>293688</xdr:rowOff>
    </xdr:to>
    <xdr:pic>
      <xdr:nvPicPr>
        <xdr:cNvPr id="55958" name="Picture 55957">
          <a:extLst>
            <a:ext uri="{FF2B5EF4-FFF2-40B4-BE49-F238E27FC236}">
              <a16:creationId xmlns:a16="http://schemas.microsoft.com/office/drawing/2014/main" id="{00000000-0008-0000-0B00-000096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15165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241</xdr:row>
      <xdr:rowOff>39688</xdr:rowOff>
    </xdr:from>
    <xdr:to>
      <xdr:col>6</xdr:col>
      <xdr:colOff>346075</xdr:colOff>
      <xdr:row>241</xdr:row>
      <xdr:rowOff>293688</xdr:rowOff>
    </xdr:to>
    <xdr:pic>
      <xdr:nvPicPr>
        <xdr:cNvPr id="55961" name="Picture 55960">
          <a:extLst>
            <a:ext uri="{FF2B5EF4-FFF2-40B4-BE49-F238E27FC236}">
              <a16:creationId xmlns:a16="http://schemas.microsoft.com/office/drawing/2014/main" id="{00000000-0008-0000-0B00-000099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15165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243</xdr:row>
      <xdr:rowOff>39688</xdr:rowOff>
    </xdr:from>
    <xdr:to>
      <xdr:col>2</xdr:col>
      <xdr:colOff>312738</xdr:colOff>
      <xdr:row>243</xdr:row>
      <xdr:rowOff>293688</xdr:rowOff>
    </xdr:to>
    <xdr:pic>
      <xdr:nvPicPr>
        <xdr:cNvPr id="55964" name="Picture 55963">
          <a:extLst>
            <a:ext uri="{FF2B5EF4-FFF2-40B4-BE49-F238E27FC236}">
              <a16:creationId xmlns:a16="http://schemas.microsoft.com/office/drawing/2014/main" id="{00000000-0008-0000-0B00-00009C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21832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243</xdr:row>
      <xdr:rowOff>39688</xdr:rowOff>
    </xdr:from>
    <xdr:to>
      <xdr:col>6</xdr:col>
      <xdr:colOff>346075</xdr:colOff>
      <xdr:row>243</xdr:row>
      <xdr:rowOff>293688</xdr:rowOff>
    </xdr:to>
    <xdr:pic>
      <xdr:nvPicPr>
        <xdr:cNvPr id="55967" name="Picture 55966">
          <a:extLst>
            <a:ext uri="{FF2B5EF4-FFF2-40B4-BE49-F238E27FC236}">
              <a16:creationId xmlns:a16="http://schemas.microsoft.com/office/drawing/2014/main" id="{00000000-0008-0000-0B00-00009F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21832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244</xdr:row>
      <xdr:rowOff>39688</xdr:rowOff>
    </xdr:from>
    <xdr:to>
      <xdr:col>2</xdr:col>
      <xdr:colOff>312738</xdr:colOff>
      <xdr:row>244</xdr:row>
      <xdr:rowOff>293688</xdr:rowOff>
    </xdr:to>
    <xdr:pic>
      <xdr:nvPicPr>
        <xdr:cNvPr id="55970" name="Picture 55969">
          <a:extLst>
            <a:ext uri="{FF2B5EF4-FFF2-40B4-BE49-F238E27FC236}">
              <a16:creationId xmlns:a16="http://schemas.microsoft.com/office/drawing/2014/main" id="{00000000-0008-0000-0B00-0000A2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25166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244</xdr:row>
      <xdr:rowOff>39688</xdr:rowOff>
    </xdr:from>
    <xdr:to>
      <xdr:col>6</xdr:col>
      <xdr:colOff>346075</xdr:colOff>
      <xdr:row>244</xdr:row>
      <xdr:rowOff>293688</xdr:rowOff>
    </xdr:to>
    <xdr:pic>
      <xdr:nvPicPr>
        <xdr:cNvPr id="55973" name="Picture 55972">
          <a:extLst>
            <a:ext uri="{FF2B5EF4-FFF2-40B4-BE49-F238E27FC236}">
              <a16:creationId xmlns:a16="http://schemas.microsoft.com/office/drawing/2014/main" id="{00000000-0008-0000-0B00-0000A5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25166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248</xdr:row>
      <xdr:rowOff>39688</xdr:rowOff>
    </xdr:from>
    <xdr:to>
      <xdr:col>2</xdr:col>
      <xdr:colOff>312738</xdr:colOff>
      <xdr:row>248</xdr:row>
      <xdr:rowOff>293688</xdr:rowOff>
    </xdr:to>
    <xdr:pic>
      <xdr:nvPicPr>
        <xdr:cNvPr id="55976" name="Picture 55975">
          <a:extLst>
            <a:ext uri="{FF2B5EF4-FFF2-40B4-BE49-F238E27FC236}">
              <a16:creationId xmlns:a16="http://schemas.microsoft.com/office/drawing/2014/main" id="{00000000-0008-0000-0B00-0000A8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39168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248</xdr:row>
      <xdr:rowOff>39688</xdr:rowOff>
    </xdr:from>
    <xdr:to>
      <xdr:col>6</xdr:col>
      <xdr:colOff>346075</xdr:colOff>
      <xdr:row>248</xdr:row>
      <xdr:rowOff>293688</xdr:rowOff>
    </xdr:to>
    <xdr:pic>
      <xdr:nvPicPr>
        <xdr:cNvPr id="55979" name="Picture 55978">
          <a:extLst>
            <a:ext uri="{FF2B5EF4-FFF2-40B4-BE49-F238E27FC236}">
              <a16:creationId xmlns:a16="http://schemas.microsoft.com/office/drawing/2014/main" id="{00000000-0008-0000-0B00-0000AB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39168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250</xdr:row>
      <xdr:rowOff>39688</xdr:rowOff>
    </xdr:from>
    <xdr:to>
      <xdr:col>2</xdr:col>
      <xdr:colOff>312738</xdr:colOff>
      <xdr:row>250</xdr:row>
      <xdr:rowOff>293688</xdr:rowOff>
    </xdr:to>
    <xdr:pic>
      <xdr:nvPicPr>
        <xdr:cNvPr id="55982" name="Picture 55981">
          <a:extLst>
            <a:ext uri="{FF2B5EF4-FFF2-40B4-BE49-F238E27FC236}">
              <a16:creationId xmlns:a16="http://schemas.microsoft.com/office/drawing/2014/main" id="{00000000-0008-0000-0B00-0000AE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45835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250</xdr:row>
      <xdr:rowOff>39688</xdr:rowOff>
    </xdr:from>
    <xdr:to>
      <xdr:col>6</xdr:col>
      <xdr:colOff>346075</xdr:colOff>
      <xdr:row>250</xdr:row>
      <xdr:rowOff>293688</xdr:rowOff>
    </xdr:to>
    <xdr:pic>
      <xdr:nvPicPr>
        <xdr:cNvPr id="55985" name="Picture 55984">
          <a:extLst>
            <a:ext uri="{FF2B5EF4-FFF2-40B4-BE49-F238E27FC236}">
              <a16:creationId xmlns:a16="http://schemas.microsoft.com/office/drawing/2014/main" id="{00000000-0008-0000-0B00-0000B1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45835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251</xdr:row>
      <xdr:rowOff>39688</xdr:rowOff>
    </xdr:from>
    <xdr:to>
      <xdr:col>2</xdr:col>
      <xdr:colOff>312738</xdr:colOff>
      <xdr:row>251</xdr:row>
      <xdr:rowOff>293688</xdr:rowOff>
    </xdr:to>
    <xdr:pic>
      <xdr:nvPicPr>
        <xdr:cNvPr id="55988" name="Picture 55987">
          <a:extLst>
            <a:ext uri="{FF2B5EF4-FFF2-40B4-BE49-F238E27FC236}">
              <a16:creationId xmlns:a16="http://schemas.microsoft.com/office/drawing/2014/main" id="{00000000-0008-0000-0B00-0000B4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49169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251</xdr:row>
      <xdr:rowOff>39688</xdr:rowOff>
    </xdr:from>
    <xdr:to>
      <xdr:col>6</xdr:col>
      <xdr:colOff>346075</xdr:colOff>
      <xdr:row>251</xdr:row>
      <xdr:rowOff>293688</xdr:rowOff>
    </xdr:to>
    <xdr:pic>
      <xdr:nvPicPr>
        <xdr:cNvPr id="55991" name="Picture 55990">
          <a:extLst>
            <a:ext uri="{FF2B5EF4-FFF2-40B4-BE49-F238E27FC236}">
              <a16:creationId xmlns:a16="http://schemas.microsoft.com/office/drawing/2014/main" id="{00000000-0008-0000-0B00-0000B7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49169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252</xdr:row>
      <xdr:rowOff>39688</xdr:rowOff>
    </xdr:from>
    <xdr:to>
      <xdr:col>2</xdr:col>
      <xdr:colOff>312738</xdr:colOff>
      <xdr:row>252</xdr:row>
      <xdr:rowOff>293688</xdr:rowOff>
    </xdr:to>
    <xdr:pic>
      <xdr:nvPicPr>
        <xdr:cNvPr id="55994" name="Picture 55993">
          <a:extLst>
            <a:ext uri="{FF2B5EF4-FFF2-40B4-BE49-F238E27FC236}">
              <a16:creationId xmlns:a16="http://schemas.microsoft.com/office/drawing/2014/main" id="{00000000-0008-0000-0B00-0000BA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52503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252</xdr:row>
      <xdr:rowOff>39688</xdr:rowOff>
    </xdr:from>
    <xdr:to>
      <xdr:col>6</xdr:col>
      <xdr:colOff>346075</xdr:colOff>
      <xdr:row>252</xdr:row>
      <xdr:rowOff>293688</xdr:rowOff>
    </xdr:to>
    <xdr:pic>
      <xdr:nvPicPr>
        <xdr:cNvPr id="55997" name="Picture 55996">
          <a:extLst>
            <a:ext uri="{FF2B5EF4-FFF2-40B4-BE49-F238E27FC236}">
              <a16:creationId xmlns:a16="http://schemas.microsoft.com/office/drawing/2014/main" id="{00000000-0008-0000-0B00-0000BD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52503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253</xdr:row>
      <xdr:rowOff>39688</xdr:rowOff>
    </xdr:from>
    <xdr:to>
      <xdr:col>2</xdr:col>
      <xdr:colOff>312738</xdr:colOff>
      <xdr:row>253</xdr:row>
      <xdr:rowOff>293688</xdr:rowOff>
    </xdr:to>
    <xdr:pic>
      <xdr:nvPicPr>
        <xdr:cNvPr id="56000" name="Picture 55999">
          <a:extLst>
            <a:ext uri="{FF2B5EF4-FFF2-40B4-BE49-F238E27FC236}">
              <a16:creationId xmlns:a16="http://schemas.microsoft.com/office/drawing/2014/main" id="{00000000-0008-0000-0B00-0000C0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55837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253</xdr:row>
      <xdr:rowOff>39688</xdr:rowOff>
    </xdr:from>
    <xdr:to>
      <xdr:col>6</xdr:col>
      <xdr:colOff>346075</xdr:colOff>
      <xdr:row>253</xdr:row>
      <xdr:rowOff>293688</xdr:rowOff>
    </xdr:to>
    <xdr:pic>
      <xdr:nvPicPr>
        <xdr:cNvPr id="56003" name="Picture 56002">
          <a:extLst>
            <a:ext uri="{FF2B5EF4-FFF2-40B4-BE49-F238E27FC236}">
              <a16:creationId xmlns:a16="http://schemas.microsoft.com/office/drawing/2014/main" id="{00000000-0008-0000-0B00-0000C3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55837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255</xdr:row>
      <xdr:rowOff>39688</xdr:rowOff>
    </xdr:from>
    <xdr:to>
      <xdr:col>2</xdr:col>
      <xdr:colOff>312738</xdr:colOff>
      <xdr:row>255</xdr:row>
      <xdr:rowOff>293688</xdr:rowOff>
    </xdr:to>
    <xdr:pic>
      <xdr:nvPicPr>
        <xdr:cNvPr id="56006" name="Picture 56005">
          <a:extLst>
            <a:ext uri="{FF2B5EF4-FFF2-40B4-BE49-F238E27FC236}">
              <a16:creationId xmlns:a16="http://schemas.microsoft.com/office/drawing/2014/main" id="{00000000-0008-0000-0B00-0000C6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62504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255</xdr:row>
      <xdr:rowOff>39688</xdr:rowOff>
    </xdr:from>
    <xdr:to>
      <xdr:col>6</xdr:col>
      <xdr:colOff>346075</xdr:colOff>
      <xdr:row>255</xdr:row>
      <xdr:rowOff>293688</xdr:rowOff>
    </xdr:to>
    <xdr:pic>
      <xdr:nvPicPr>
        <xdr:cNvPr id="56009" name="Picture 56008">
          <a:extLst>
            <a:ext uri="{FF2B5EF4-FFF2-40B4-BE49-F238E27FC236}">
              <a16:creationId xmlns:a16="http://schemas.microsoft.com/office/drawing/2014/main" id="{00000000-0008-0000-0B00-0000C9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62504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256</xdr:row>
      <xdr:rowOff>39688</xdr:rowOff>
    </xdr:from>
    <xdr:to>
      <xdr:col>2</xdr:col>
      <xdr:colOff>312738</xdr:colOff>
      <xdr:row>256</xdr:row>
      <xdr:rowOff>293688</xdr:rowOff>
    </xdr:to>
    <xdr:pic>
      <xdr:nvPicPr>
        <xdr:cNvPr id="56012" name="Picture 56011">
          <a:extLst>
            <a:ext uri="{FF2B5EF4-FFF2-40B4-BE49-F238E27FC236}">
              <a16:creationId xmlns:a16="http://schemas.microsoft.com/office/drawing/2014/main" id="{00000000-0008-0000-0B00-0000CC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65838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256</xdr:row>
      <xdr:rowOff>39688</xdr:rowOff>
    </xdr:from>
    <xdr:to>
      <xdr:col>6</xdr:col>
      <xdr:colOff>346075</xdr:colOff>
      <xdr:row>256</xdr:row>
      <xdr:rowOff>293688</xdr:rowOff>
    </xdr:to>
    <xdr:pic>
      <xdr:nvPicPr>
        <xdr:cNvPr id="56015" name="Picture 56014">
          <a:extLst>
            <a:ext uri="{FF2B5EF4-FFF2-40B4-BE49-F238E27FC236}">
              <a16:creationId xmlns:a16="http://schemas.microsoft.com/office/drawing/2014/main" id="{00000000-0008-0000-0B00-0000CF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65838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257</xdr:row>
      <xdr:rowOff>39688</xdr:rowOff>
    </xdr:from>
    <xdr:to>
      <xdr:col>2</xdr:col>
      <xdr:colOff>312738</xdr:colOff>
      <xdr:row>257</xdr:row>
      <xdr:rowOff>293688</xdr:rowOff>
    </xdr:to>
    <xdr:pic>
      <xdr:nvPicPr>
        <xdr:cNvPr id="56018" name="Picture 56017">
          <a:extLst>
            <a:ext uri="{FF2B5EF4-FFF2-40B4-BE49-F238E27FC236}">
              <a16:creationId xmlns:a16="http://schemas.microsoft.com/office/drawing/2014/main" id="{00000000-0008-0000-0B00-0000D2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69172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257</xdr:row>
      <xdr:rowOff>39688</xdr:rowOff>
    </xdr:from>
    <xdr:to>
      <xdr:col>6</xdr:col>
      <xdr:colOff>346075</xdr:colOff>
      <xdr:row>257</xdr:row>
      <xdr:rowOff>293688</xdr:rowOff>
    </xdr:to>
    <xdr:pic>
      <xdr:nvPicPr>
        <xdr:cNvPr id="56021" name="Picture 56020">
          <a:extLst>
            <a:ext uri="{FF2B5EF4-FFF2-40B4-BE49-F238E27FC236}">
              <a16:creationId xmlns:a16="http://schemas.microsoft.com/office/drawing/2014/main" id="{00000000-0008-0000-0B00-0000D5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69172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258</xdr:row>
      <xdr:rowOff>39688</xdr:rowOff>
    </xdr:from>
    <xdr:to>
      <xdr:col>2</xdr:col>
      <xdr:colOff>312738</xdr:colOff>
      <xdr:row>258</xdr:row>
      <xdr:rowOff>293688</xdr:rowOff>
    </xdr:to>
    <xdr:pic>
      <xdr:nvPicPr>
        <xdr:cNvPr id="56024" name="Picture 56023">
          <a:extLst>
            <a:ext uri="{FF2B5EF4-FFF2-40B4-BE49-F238E27FC236}">
              <a16:creationId xmlns:a16="http://schemas.microsoft.com/office/drawing/2014/main" id="{00000000-0008-0000-0B00-0000D8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72505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258</xdr:row>
      <xdr:rowOff>39688</xdr:rowOff>
    </xdr:from>
    <xdr:to>
      <xdr:col>6</xdr:col>
      <xdr:colOff>346075</xdr:colOff>
      <xdr:row>258</xdr:row>
      <xdr:rowOff>293688</xdr:rowOff>
    </xdr:to>
    <xdr:pic>
      <xdr:nvPicPr>
        <xdr:cNvPr id="56027" name="Picture 56026">
          <a:extLst>
            <a:ext uri="{FF2B5EF4-FFF2-40B4-BE49-F238E27FC236}">
              <a16:creationId xmlns:a16="http://schemas.microsoft.com/office/drawing/2014/main" id="{00000000-0008-0000-0B00-0000DB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72505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260</xdr:row>
      <xdr:rowOff>39688</xdr:rowOff>
    </xdr:from>
    <xdr:to>
      <xdr:col>2</xdr:col>
      <xdr:colOff>312738</xdr:colOff>
      <xdr:row>260</xdr:row>
      <xdr:rowOff>293688</xdr:rowOff>
    </xdr:to>
    <xdr:pic>
      <xdr:nvPicPr>
        <xdr:cNvPr id="56030" name="Picture 56029">
          <a:extLst>
            <a:ext uri="{FF2B5EF4-FFF2-40B4-BE49-F238E27FC236}">
              <a16:creationId xmlns:a16="http://schemas.microsoft.com/office/drawing/2014/main" id="{00000000-0008-0000-0B00-0000DE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79173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260</xdr:row>
      <xdr:rowOff>39688</xdr:rowOff>
    </xdr:from>
    <xdr:to>
      <xdr:col>6</xdr:col>
      <xdr:colOff>346075</xdr:colOff>
      <xdr:row>260</xdr:row>
      <xdr:rowOff>293688</xdr:rowOff>
    </xdr:to>
    <xdr:pic>
      <xdr:nvPicPr>
        <xdr:cNvPr id="56033" name="Picture 56032">
          <a:extLst>
            <a:ext uri="{FF2B5EF4-FFF2-40B4-BE49-F238E27FC236}">
              <a16:creationId xmlns:a16="http://schemas.microsoft.com/office/drawing/2014/main" id="{00000000-0008-0000-0B00-0000E1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79173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264</xdr:row>
      <xdr:rowOff>39688</xdr:rowOff>
    </xdr:from>
    <xdr:to>
      <xdr:col>2</xdr:col>
      <xdr:colOff>312738</xdr:colOff>
      <xdr:row>264</xdr:row>
      <xdr:rowOff>293688</xdr:rowOff>
    </xdr:to>
    <xdr:pic>
      <xdr:nvPicPr>
        <xdr:cNvPr id="56036" name="Picture 56035">
          <a:extLst>
            <a:ext uri="{FF2B5EF4-FFF2-40B4-BE49-F238E27FC236}">
              <a16:creationId xmlns:a16="http://schemas.microsoft.com/office/drawing/2014/main" id="{00000000-0008-0000-0B00-0000E4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893175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264</xdr:row>
      <xdr:rowOff>39688</xdr:rowOff>
    </xdr:from>
    <xdr:to>
      <xdr:col>6</xdr:col>
      <xdr:colOff>346075</xdr:colOff>
      <xdr:row>264</xdr:row>
      <xdr:rowOff>293688</xdr:rowOff>
    </xdr:to>
    <xdr:pic>
      <xdr:nvPicPr>
        <xdr:cNvPr id="56039" name="Picture 56038">
          <a:extLst>
            <a:ext uri="{FF2B5EF4-FFF2-40B4-BE49-F238E27FC236}">
              <a16:creationId xmlns:a16="http://schemas.microsoft.com/office/drawing/2014/main" id="{00000000-0008-0000-0B00-0000E7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893175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268</xdr:row>
      <xdr:rowOff>39688</xdr:rowOff>
    </xdr:from>
    <xdr:to>
      <xdr:col>2</xdr:col>
      <xdr:colOff>312738</xdr:colOff>
      <xdr:row>268</xdr:row>
      <xdr:rowOff>293688</xdr:rowOff>
    </xdr:to>
    <xdr:pic>
      <xdr:nvPicPr>
        <xdr:cNvPr id="56042" name="Picture 56041">
          <a:extLst>
            <a:ext uri="{FF2B5EF4-FFF2-40B4-BE49-F238E27FC236}">
              <a16:creationId xmlns:a16="http://schemas.microsoft.com/office/drawing/2014/main" id="{00000000-0008-0000-0B00-0000EA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07176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268</xdr:row>
      <xdr:rowOff>39688</xdr:rowOff>
    </xdr:from>
    <xdr:to>
      <xdr:col>6</xdr:col>
      <xdr:colOff>346075</xdr:colOff>
      <xdr:row>268</xdr:row>
      <xdr:rowOff>293688</xdr:rowOff>
    </xdr:to>
    <xdr:pic>
      <xdr:nvPicPr>
        <xdr:cNvPr id="56045" name="Picture 56044">
          <a:extLst>
            <a:ext uri="{FF2B5EF4-FFF2-40B4-BE49-F238E27FC236}">
              <a16:creationId xmlns:a16="http://schemas.microsoft.com/office/drawing/2014/main" id="{00000000-0008-0000-0B00-0000ED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07176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270</xdr:row>
      <xdr:rowOff>39688</xdr:rowOff>
    </xdr:from>
    <xdr:to>
      <xdr:col>2</xdr:col>
      <xdr:colOff>312738</xdr:colOff>
      <xdr:row>270</xdr:row>
      <xdr:rowOff>293688</xdr:rowOff>
    </xdr:to>
    <xdr:pic>
      <xdr:nvPicPr>
        <xdr:cNvPr id="56048" name="Picture 56047">
          <a:extLst>
            <a:ext uri="{FF2B5EF4-FFF2-40B4-BE49-F238E27FC236}">
              <a16:creationId xmlns:a16="http://schemas.microsoft.com/office/drawing/2014/main" id="{00000000-0008-0000-0B00-0000F0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13844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270</xdr:row>
      <xdr:rowOff>39688</xdr:rowOff>
    </xdr:from>
    <xdr:to>
      <xdr:col>6</xdr:col>
      <xdr:colOff>346075</xdr:colOff>
      <xdr:row>270</xdr:row>
      <xdr:rowOff>293688</xdr:rowOff>
    </xdr:to>
    <xdr:pic>
      <xdr:nvPicPr>
        <xdr:cNvPr id="56051" name="Picture 56050">
          <a:extLst>
            <a:ext uri="{FF2B5EF4-FFF2-40B4-BE49-F238E27FC236}">
              <a16:creationId xmlns:a16="http://schemas.microsoft.com/office/drawing/2014/main" id="{00000000-0008-0000-0B00-0000F3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13844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271</xdr:row>
      <xdr:rowOff>39688</xdr:rowOff>
    </xdr:from>
    <xdr:to>
      <xdr:col>2</xdr:col>
      <xdr:colOff>312738</xdr:colOff>
      <xdr:row>271</xdr:row>
      <xdr:rowOff>293688</xdr:rowOff>
    </xdr:to>
    <xdr:pic>
      <xdr:nvPicPr>
        <xdr:cNvPr id="56054" name="Picture 56053">
          <a:extLst>
            <a:ext uri="{FF2B5EF4-FFF2-40B4-BE49-F238E27FC236}">
              <a16:creationId xmlns:a16="http://schemas.microsoft.com/office/drawing/2014/main" id="{00000000-0008-0000-0B00-0000F6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17178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271</xdr:row>
      <xdr:rowOff>39688</xdr:rowOff>
    </xdr:from>
    <xdr:to>
      <xdr:col>6</xdr:col>
      <xdr:colOff>346075</xdr:colOff>
      <xdr:row>271</xdr:row>
      <xdr:rowOff>293688</xdr:rowOff>
    </xdr:to>
    <xdr:pic>
      <xdr:nvPicPr>
        <xdr:cNvPr id="56057" name="Picture 56056">
          <a:extLst>
            <a:ext uri="{FF2B5EF4-FFF2-40B4-BE49-F238E27FC236}">
              <a16:creationId xmlns:a16="http://schemas.microsoft.com/office/drawing/2014/main" id="{00000000-0008-0000-0B00-0000F9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17178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272</xdr:row>
      <xdr:rowOff>39688</xdr:rowOff>
    </xdr:from>
    <xdr:to>
      <xdr:col>2</xdr:col>
      <xdr:colOff>312738</xdr:colOff>
      <xdr:row>272</xdr:row>
      <xdr:rowOff>293688</xdr:rowOff>
    </xdr:to>
    <xdr:pic>
      <xdr:nvPicPr>
        <xdr:cNvPr id="56060" name="Picture 56059">
          <a:extLst>
            <a:ext uri="{FF2B5EF4-FFF2-40B4-BE49-F238E27FC236}">
              <a16:creationId xmlns:a16="http://schemas.microsoft.com/office/drawing/2014/main" id="{00000000-0008-0000-0B00-0000FC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20511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272</xdr:row>
      <xdr:rowOff>39688</xdr:rowOff>
    </xdr:from>
    <xdr:to>
      <xdr:col>6</xdr:col>
      <xdr:colOff>346075</xdr:colOff>
      <xdr:row>272</xdr:row>
      <xdr:rowOff>293688</xdr:rowOff>
    </xdr:to>
    <xdr:pic>
      <xdr:nvPicPr>
        <xdr:cNvPr id="56063" name="Picture 56062">
          <a:extLst>
            <a:ext uri="{FF2B5EF4-FFF2-40B4-BE49-F238E27FC236}">
              <a16:creationId xmlns:a16="http://schemas.microsoft.com/office/drawing/2014/main" id="{00000000-0008-0000-0B00-0000FFD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20511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273</xdr:row>
      <xdr:rowOff>39688</xdr:rowOff>
    </xdr:from>
    <xdr:to>
      <xdr:col>2</xdr:col>
      <xdr:colOff>312738</xdr:colOff>
      <xdr:row>273</xdr:row>
      <xdr:rowOff>293688</xdr:rowOff>
    </xdr:to>
    <xdr:pic>
      <xdr:nvPicPr>
        <xdr:cNvPr id="53250" name="Picture 53249">
          <a:extLst>
            <a:ext uri="{FF2B5EF4-FFF2-40B4-BE49-F238E27FC236}">
              <a16:creationId xmlns:a16="http://schemas.microsoft.com/office/drawing/2014/main" id="{00000000-0008-0000-0B00-000002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23845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273</xdr:row>
      <xdr:rowOff>39688</xdr:rowOff>
    </xdr:from>
    <xdr:to>
      <xdr:col>6</xdr:col>
      <xdr:colOff>346075</xdr:colOff>
      <xdr:row>273</xdr:row>
      <xdr:rowOff>293688</xdr:rowOff>
    </xdr:to>
    <xdr:pic>
      <xdr:nvPicPr>
        <xdr:cNvPr id="53253" name="Picture 53252">
          <a:extLst>
            <a:ext uri="{FF2B5EF4-FFF2-40B4-BE49-F238E27FC236}">
              <a16:creationId xmlns:a16="http://schemas.microsoft.com/office/drawing/2014/main" id="{00000000-0008-0000-0B00-000005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23845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274</xdr:row>
      <xdr:rowOff>39688</xdr:rowOff>
    </xdr:from>
    <xdr:to>
      <xdr:col>2</xdr:col>
      <xdr:colOff>312738</xdr:colOff>
      <xdr:row>274</xdr:row>
      <xdr:rowOff>293688</xdr:rowOff>
    </xdr:to>
    <xdr:pic>
      <xdr:nvPicPr>
        <xdr:cNvPr id="53256" name="Picture 53255">
          <a:extLst>
            <a:ext uri="{FF2B5EF4-FFF2-40B4-BE49-F238E27FC236}">
              <a16:creationId xmlns:a16="http://schemas.microsoft.com/office/drawing/2014/main" id="{00000000-0008-0000-0B00-000008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27179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274</xdr:row>
      <xdr:rowOff>39688</xdr:rowOff>
    </xdr:from>
    <xdr:to>
      <xdr:col>6</xdr:col>
      <xdr:colOff>346075</xdr:colOff>
      <xdr:row>274</xdr:row>
      <xdr:rowOff>293688</xdr:rowOff>
    </xdr:to>
    <xdr:pic>
      <xdr:nvPicPr>
        <xdr:cNvPr id="53259" name="Picture 53258">
          <a:extLst>
            <a:ext uri="{FF2B5EF4-FFF2-40B4-BE49-F238E27FC236}">
              <a16:creationId xmlns:a16="http://schemas.microsoft.com/office/drawing/2014/main" id="{00000000-0008-0000-0B00-00000B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27179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275</xdr:row>
      <xdr:rowOff>39688</xdr:rowOff>
    </xdr:from>
    <xdr:to>
      <xdr:col>2</xdr:col>
      <xdr:colOff>312738</xdr:colOff>
      <xdr:row>275</xdr:row>
      <xdr:rowOff>293688</xdr:rowOff>
    </xdr:to>
    <xdr:pic>
      <xdr:nvPicPr>
        <xdr:cNvPr id="53262" name="Picture 53261">
          <a:extLst>
            <a:ext uri="{FF2B5EF4-FFF2-40B4-BE49-F238E27FC236}">
              <a16:creationId xmlns:a16="http://schemas.microsoft.com/office/drawing/2014/main" id="{00000000-0008-0000-0B00-00000E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30513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275</xdr:row>
      <xdr:rowOff>39688</xdr:rowOff>
    </xdr:from>
    <xdr:to>
      <xdr:col>6</xdr:col>
      <xdr:colOff>346075</xdr:colOff>
      <xdr:row>275</xdr:row>
      <xdr:rowOff>293688</xdr:rowOff>
    </xdr:to>
    <xdr:pic>
      <xdr:nvPicPr>
        <xdr:cNvPr id="53265" name="Picture 53264">
          <a:extLst>
            <a:ext uri="{FF2B5EF4-FFF2-40B4-BE49-F238E27FC236}">
              <a16:creationId xmlns:a16="http://schemas.microsoft.com/office/drawing/2014/main" id="{00000000-0008-0000-0B00-000011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30513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277</xdr:row>
      <xdr:rowOff>39688</xdr:rowOff>
    </xdr:from>
    <xdr:to>
      <xdr:col>2</xdr:col>
      <xdr:colOff>312738</xdr:colOff>
      <xdr:row>277</xdr:row>
      <xdr:rowOff>293688</xdr:rowOff>
    </xdr:to>
    <xdr:pic>
      <xdr:nvPicPr>
        <xdr:cNvPr id="53268" name="Picture 53267">
          <a:extLst>
            <a:ext uri="{FF2B5EF4-FFF2-40B4-BE49-F238E27FC236}">
              <a16:creationId xmlns:a16="http://schemas.microsoft.com/office/drawing/2014/main" id="{00000000-0008-0000-0B00-000014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37180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277</xdr:row>
      <xdr:rowOff>39688</xdr:rowOff>
    </xdr:from>
    <xdr:to>
      <xdr:col>6</xdr:col>
      <xdr:colOff>346075</xdr:colOff>
      <xdr:row>277</xdr:row>
      <xdr:rowOff>293688</xdr:rowOff>
    </xdr:to>
    <xdr:pic>
      <xdr:nvPicPr>
        <xdr:cNvPr id="53271" name="Picture 53270">
          <a:extLst>
            <a:ext uri="{FF2B5EF4-FFF2-40B4-BE49-F238E27FC236}">
              <a16:creationId xmlns:a16="http://schemas.microsoft.com/office/drawing/2014/main" id="{00000000-0008-0000-0B00-000017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37180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278</xdr:row>
      <xdr:rowOff>39688</xdr:rowOff>
    </xdr:from>
    <xdr:to>
      <xdr:col>2</xdr:col>
      <xdr:colOff>312738</xdr:colOff>
      <xdr:row>278</xdr:row>
      <xdr:rowOff>293688</xdr:rowOff>
    </xdr:to>
    <xdr:pic>
      <xdr:nvPicPr>
        <xdr:cNvPr id="53274" name="Picture 53273">
          <a:extLst>
            <a:ext uri="{FF2B5EF4-FFF2-40B4-BE49-F238E27FC236}">
              <a16:creationId xmlns:a16="http://schemas.microsoft.com/office/drawing/2014/main" id="{00000000-0008-0000-0B00-00001A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40514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278</xdr:row>
      <xdr:rowOff>39688</xdr:rowOff>
    </xdr:from>
    <xdr:to>
      <xdr:col>6</xdr:col>
      <xdr:colOff>346075</xdr:colOff>
      <xdr:row>278</xdr:row>
      <xdr:rowOff>293688</xdr:rowOff>
    </xdr:to>
    <xdr:pic>
      <xdr:nvPicPr>
        <xdr:cNvPr id="53277" name="Picture 53276">
          <a:extLst>
            <a:ext uri="{FF2B5EF4-FFF2-40B4-BE49-F238E27FC236}">
              <a16:creationId xmlns:a16="http://schemas.microsoft.com/office/drawing/2014/main" id="{00000000-0008-0000-0B00-00001D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40514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279</xdr:row>
      <xdr:rowOff>39688</xdr:rowOff>
    </xdr:from>
    <xdr:to>
      <xdr:col>2</xdr:col>
      <xdr:colOff>312738</xdr:colOff>
      <xdr:row>279</xdr:row>
      <xdr:rowOff>293688</xdr:rowOff>
    </xdr:to>
    <xdr:pic>
      <xdr:nvPicPr>
        <xdr:cNvPr id="53280" name="Picture 53279">
          <a:extLst>
            <a:ext uri="{FF2B5EF4-FFF2-40B4-BE49-F238E27FC236}">
              <a16:creationId xmlns:a16="http://schemas.microsoft.com/office/drawing/2014/main" id="{00000000-0008-0000-0B00-000020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43848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279</xdr:row>
      <xdr:rowOff>39688</xdr:rowOff>
    </xdr:from>
    <xdr:to>
      <xdr:col>6</xdr:col>
      <xdr:colOff>346075</xdr:colOff>
      <xdr:row>279</xdr:row>
      <xdr:rowOff>293688</xdr:rowOff>
    </xdr:to>
    <xdr:pic>
      <xdr:nvPicPr>
        <xdr:cNvPr id="53283" name="Picture 53282">
          <a:extLst>
            <a:ext uri="{FF2B5EF4-FFF2-40B4-BE49-F238E27FC236}">
              <a16:creationId xmlns:a16="http://schemas.microsoft.com/office/drawing/2014/main" id="{00000000-0008-0000-0B00-000023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43848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283</xdr:row>
      <xdr:rowOff>39688</xdr:rowOff>
    </xdr:from>
    <xdr:to>
      <xdr:col>2</xdr:col>
      <xdr:colOff>312738</xdr:colOff>
      <xdr:row>283</xdr:row>
      <xdr:rowOff>293688</xdr:rowOff>
    </xdr:to>
    <xdr:pic>
      <xdr:nvPicPr>
        <xdr:cNvPr id="53286" name="Picture 53285">
          <a:extLst>
            <a:ext uri="{FF2B5EF4-FFF2-40B4-BE49-F238E27FC236}">
              <a16:creationId xmlns:a16="http://schemas.microsoft.com/office/drawing/2014/main" id="{00000000-0008-0000-0B00-000026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57849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283</xdr:row>
      <xdr:rowOff>39688</xdr:rowOff>
    </xdr:from>
    <xdr:to>
      <xdr:col>6</xdr:col>
      <xdr:colOff>346075</xdr:colOff>
      <xdr:row>283</xdr:row>
      <xdr:rowOff>293688</xdr:rowOff>
    </xdr:to>
    <xdr:pic>
      <xdr:nvPicPr>
        <xdr:cNvPr id="53289" name="Picture 53288">
          <a:extLst>
            <a:ext uri="{FF2B5EF4-FFF2-40B4-BE49-F238E27FC236}">
              <a16:creationId xmlns:a16="http://schemas.microsoft.com/office/drawing/2014/main" id="{00000000-0008-0000-0B00-000029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57849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285</xdr:row>
      <xdr:rowOff>39688</xdr:rowOff>
    </xdr:from>
    <xdr:to>
      <xdr:col>2</xdr:col>
      <xdr:colOff>312738</xdr:colOff>
      <xdr:row>285</xdr:row>
      <xdr:rowOff>293688</xdr:rowOff>
    </xdr:to>
    <xdr:pic>
      <xdr:nvPicPr>
        <xdr:cNvPr id="53292" name="Picture 53291">
          <a:extLst>
            <a:ext uri="{FF2B5EF4-FFF2-40B4-BE49-F238E27FC236}">
              <a16:creationId xmlns:a16="http://schemas.microsoft.com/office/drawing/2014/main" id="{00000000-0008-0000-0B00-00002C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64517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285</xdr:row>
      <xdr:rowOff>39688</xdr:rowOff>
    </xdr:from>
    <xdr:to>
      <xdr:col>6</xdr:col>
      <xdr:colOff>346075</xdr:colOff>
      <xdr:row>285</xdr:row>
      <xdr:rowOff>293688</xdr:rowOff>
    </xdr:to>
    <xdr:pic>
      <xdr:nvPicPr>
        <xdr:cNvPr id="53295" name="Picture 53294">
          <a:extLst>
            <a:ext uri="{FF2B5EF4-FFF2-40B4-BE49-F238E27FC236}">
              <a16:creationId xmlns:a16="http://schemas.microsoft.com/office/drawing/2014/main" id="{00000000-0008-0000-0B00-00002F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64517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289</xdr:row>
      <xdr:rowOff>39688</xdr:rowOff>
    </xdr:from>
    <xdr:to>
      <xdr:col>2</xdr:col>
      <xdr:colOff>312738</xdr:colOff>
      <xdr:row>289</xdr:row>
      <xdr:rowOff>293688</xdr:rowOff>
    </xdr:to>
    <xdr:pic>
      <xdr:nvPicPr>
        <xdr:cNvPr id="53298" name="Picture 53297">
          <a:extLst>
            <a:ext uri="{FF2B5EF4-FFF2-40B4-BE49-F238E27FC236}">
              <a16:creationId xmlns:a16="http://schemas.microsoft.com/office/drawing/2014/main" id="{00000000-0008-0000-0B00-000032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78519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289</xdr:row>
      <xdr:rowOff>39688</xdr:rowOff>
    </xdr:from>
    <xdr:to>
      <xdr:col>6</xdr:col>
      <xdr:colOff>346075</xdr:colOff>
      <xdr:row>289</xdr:row>
      <xdr:rowOff>293688</xdr:rowOff>
    </xdr:to>
    <xdr:pic>
      <xdr:nvPicPr>
        <xdr:cNvPr id="53301" name="Picture 53300">
          <a:extLst>
            <a:ext uri="{FF2B5EF4-FFF2-40B4-BE49-F238E27FC236}">
              <a16:creationId xmlns:a16="http://schemas.microsoft.com/office/drawing/2014/main" id="{00000000-0008-0000-0B00-000035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78519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290</xdr:row>
      <xdr:rowOff>39688</xdr:rowOff>
    </xdr:from>
    <xdr:to>
      <xdr:col>2</xdr:col>
      <xdr:colOff>312738</xdr:colOff>
      <xdr:row>290</xdr:row>
      <xdr:rowOff>293688</xdr:rowOff>
    </xdr:to>
    <xdr:pic>
      <xdr:nvPicPr>
        <xdr:cNvPr id="53304" name="Picture 53303">
          <a:extLst>
            <a:ext uri="{FF2B5EF4-FFF2-40B4-BE49-F238E27FC236}">
              <a16:creationId xmlns:a16="http://schemas.microsoft.com/office/drawing/2014/main" id="{00000000-0008-0000-0B00-000038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81852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290</xdr:row>
      <xdr:rowOff>39688</xdr:rowOff>
    </xdr:from>
    <xdr:to>
      <xdr:col>6</xdr:col>
      <xdr:colOff>346075</xdr:colOff>
      <xdr:row>290</xdr:row>
      <xdr:rowOff>293688</xdr:rowOff>
    </xdr:to>
    <xdr:pic>
      <xdr:nvPicPr>
        <xdr:cNvPr id="53307" name="Picture 53306">
          <a:extLst>
            <a:ext uri="{FF2B5EF4-FFF2-40B4-BE49-F238E27FC236}">
              <a16:creationId xmlns:a16="http://schemas.microsoft.com/office/drawing/2014/main" id="{00000000-0008-0000-0B00-00003B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81852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291</xdr:row>
      <xdr:rowOff>39688</xdr:rowOff>
    </xdr:from>
    <xdr:to>
      <xdr:col>2</xdr:col>
      <xdr:colOff>312738</xdr:colOff>
      <xdr:row>291</xdr:row>
      <xdr:rowOff>293688</xdr:rowOff>
    </xdr:to>
    <xdr:pic>
      <xdr:nvPicPr>
        <xdr:cNvPr id="53310" name="Picture 53309">
          <a:extLst>
            <a:ext uri="{FF2B5EF4-FFF2-40B4-BE49-F238E27FC236}">
              <a16:creationId xmlns:a16="http://schemas.microsoft.com/office/drawing/2014/main" id="{00000000-0008-0000-0B00-00003ED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85186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291</xdr:row>
      <xdr:rowOff>39688</xdr:rowOff>
    </xdr:from>
    <xdr:to>
      <xdr:col>6</xdr:col>
      <xdr:colOff>346075</xdr:colOff>
      <xdr:row>291</xdr:row>
      <xdr:rowOff>293688</xdr:rowOff>
    </xdr:to>
    <xdr:pic>
      <xdr:nvPicPr>
        <xdr:cNvPr id="56065" name="Picture 56064">
          <a:extLst>
            <a:ext uri="{FF2B5EF4-FFF2-40B4-BE49-F238E27FC236}">
              <a16:creationId xmlns:a16="http://schemas.microsoft.com/office/drawing/2014/main" id="{00000000-0008-0000-0B00-000001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85186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292</xdr:row>
      <xdr:rowOff>39688</xdr:rowOff>
    </xdr:from>
    <xdr:to>
      <xdr:col>2</xdr:col>
      <xdr:colOff>312738</xdr:colOff>
      <xdr:row>292</xdr:row>
      <xdr:rowOff>293688</xdr:rowOff>
    </xdr:to>
    <xdr:pic>
      <xdr:nvPicPr>
        <xdr:cNvPr id="56068" name="Picture 56067">
          <a:extLst>
            <a:ext uri="{FF2B5EF4-FFF2-40B4-BE49-F238E27FC236}">
              <a16:creationId xmlns:a16="http://schemas.microsoft.com/office/drawing/2014/main" id="{00000000-0008-0000-0B00-000004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88520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292</xdr:row>
      <xdr:rowOff>39688</xdr:rowOff>
    </xdr:from>
    <xdr:to>
      <xdr:col>6</xdr:col>
      <xdr:colOff>346075</xdr:colOff>
      <xdr:row>292</xdr:row>
      <xdr:rowOff>293688</xdr:rowOff>
    </xdr:to>
    <xdr:pic>
      <xdr:nvPicPr>
        <xdr:cNvPr id="56071" name="Picture 56070">
          <a:extLst>
            <a:ext uri="{FF2B5EF4-FFF2-40B4-BE49-F238E27FC236}">
              <a16:creationId xmlns:a16="http://schemas.microsoft.com/office/drawing/2014/main" id="{00000000-0008-0000-0B00-000007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88520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293</xdr:row>
      <xdr:rowOff>39688</xdr:rowOff>
    </xdr:from>
    <xdr:to>
      <xdr:col>2</xdr:col>
      <xdr:colOff>312738</xdr:colOff>
      <xdr:row>293</xdr:row>
      <xdr:rowOff>293688</xdr:rowOff>
    </xdr:to>
    <xdr:pic>
      <xdr:nvPicPr>
        <xdr:cNvPr id="56074" name="Picture 56073">
          <a:extLst>
            <a:ext uri="{FF2B5EF4-FFF2-40B4-BE49-F238E27FC236}">
              <a16:creationId xmlns:a16="http://schemas.microsoft.com/office/drawing/2014/main" id="{00000000-0008-0000-0B00-00000A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91854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293</xdr:row>
      <xdr:rowOff>39688</xdr:rowOff>
    </xdr:from>
    <xdr:to>
      <xdr:col>6</xdr:col>
      <xdr:colOff>346075</xdr:colOff>
      <xdr:row>293</xdr:row>
      <xdr:rowOff>293688</xdr:rowOff>
    </xdr:to>
    <xdr:pic>
      <xdr:nvPicPr>
        <xdr:cNvPr id="56077" name="Picture 56076">
          <a:extLst>
            <a:ext uri="{FF2B5EF4-FFF2-40B4-BE49-F238E27FC236}">
              <a16:creationId xmlns:a16="http://schemas.microsoft.com/office/drawing/2014/main" id="{00000000-0008-0000-0B00-00000D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91854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294</xdr:row>
      <xdr:rowOff>39688</xdr:rowOff>
    </xdr:from>
    <xdr:to>
      <xdr:col>2</xdr:col>
      <xdr:colOff>312738</xdr:colOff>
      <xdr:row>294</xdr:row>
      <xdr:rowOff>293688</xdr:rowOff>
    </xdr:to>
    <xdr:pic>
      <xdr:nvPicPr>
        <xdr:cNvPr id="56080" name="Picture 56079">
          <a:extLst>
            <a:ext uri="{FF2B5EF4-FFF2-40B4-BE49-F238E27FC236}">
              <a16:creationId xmlns:a16="http://schemas.microsoft.com/office/drawing/2014/main" id="{00000000-0008-0000-0B00-000010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995187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294</xdr:row>
      <xdr:rowOff>39688</xdr:rowOff>
    </xdr:from>
    <xdr:to>
      <xdr:col>6</xdr:col>
      <xdr:colOff>346075</xdr:colOff>
      <xdr:row>294</xdr:row>
      <xdr:rowOff>293688</xdr:rowOff>
    </xdr:to>
    <xdr:pic>
      <xdr:nvPicPr>
        <xdr:cNvPr id="56083" name="Picture 56082">
          <a:extLst>
            <a:ext uri="{FF2B5EF4-FFF2-40B4-BE49-F238E27FC236}">
              <a16:creationId xmlns:a16="http://schemas.microsoft.com/office/drawing/2014/main" id="{00000000-0008-0000-0B00-000013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995187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296</xdr:row>
      <xdr:rowOff>39688</xdr:rowOff>
    </xdr:from>
    <xdr:to>
      <xdr:col>2</xdr:col>
      <xdr:colOff>312738</xdr:colOff>
      <xdr:row>296</xdr:row>
      <xdr:rowOff>293688</xdr:rowOff>
    </xdr:to>
    <xdr:pic>
      <xdr:nvPicPr>
        <xdr:cNvPr id="56086" name="Picture 56085">
          <a:extLst>
            <a:ext uri="{FF2B5EF4-FFF2-40B4-BE49-F238E27FC236}">
              <a16:creationId xmlns:a16="http://schemas.microsoft.com/office/drawing/2014/main" id="{00000000-0008-0000-0B00-000016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01855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296</xdr:row>
      <xdr:rowOff>39688</xdr:rowOff>
    </xdr:from>
    <xdr:to>
      <xdr:col>6</xdr:col>
      <xdr:colOff>346075</xdr:colOff>
      <xdr:row>296</xdr:row>
      <xdr:rowOff>293688</xdr:rowOff>
    </xdr:to>
    <xdr:pic>
      <xdr:nvPicPr>
        <xdr:cNvPr id="56089" name="Picture 56088">
          <a:extLst>
            <a:ext uri="{FF2B5EF4-FFF2-40B4-BE49-F238E27FC236}">
              <a16:creationId xmlns:a16="http://schemas.microsoft.com/office/drawing/2014/main" id="{00000000-0008-0000-0B00-000019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01855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297</xdr:row>
      <xdr:rowOff>39688</xdr:rowOff>
    </xdr:from>
    <xdr:to>
      <xdr:col>2</xdr:col>
      <xdr:colOff>312738</xdr:colOff>
      <xdr:row>297</xdr:row>
      <xdr:rowOff>293688</xdr:rowOff>
    </xdr:to>
    <xdr:pic>
      <xdr:nvPicPr>
        <xdr:cNvPr id="56092" name="Picture 56091">
          <a:extLst>
            <a:ext uri="{FF2B5EF4-FFF2-40B4-BE49-F238E27FC236}">
              <a16:creationId xmlns:a16="http://schemas.microsoft.com/office/drawing/2014/main" id="{00000000-0008-0000-0B00-00001C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05189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297</xdr:row>
      <xdr:rowOff>39688</xdr:rowOff>
    </xdr:from>
    <xdr:to>
      <xdr:col>6</xdr:col>
      <xdr:colOff>346075</xdr:colOff>
      <xdr:row>297</xdr:row>
      <xdr:rowOff>293688</xdr:rowOff>
    </xdr:to>
    <xdr:pic>
      <xdr:nvPicPr>
        <xdr:cNvPr id="56095" name="Picture 56094">
          <a:extLst>
            <a:ext uri="{FF2B5EF4-FFF2-40B4-BE49-F238E27FC236}">
              <a16:creationId xmlns:a16="http://schemas.microsoft.com/office/drawing/2014/main" id="{00000000-0008-0000-0B00-00001F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05189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298</xdr:row>
      <xdr:rowOff>39688</xdr:rowOff>
    </xdr:from>
    <xdr:to>
      <xdr:col>2</xdr:col>
      <xdr:colOff>312738</xdr:colOff>
      <xdr:row>298</xdr:row>
      <xdr:rowOff>293688</xdr:rowOff>
    </xdr:to>
    <xdr:pic>
      <xdr:nvPicPr>
        <xdr:cNvPr id="56098" name="Picture 56097">
          <a:extLst>
            <a:ext uri="{FF2B5EF4-FFF2-40B4-BE49-F238E27FC236}">
              <a16:creationId xmlns:a16="http://schemas.microsoft.com/office/drawing/2014/main" id="{00000000-0008-0000-0B00-000022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08522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298</xdr:row>
      <xdr:rowOff>39688</xdr:rowOff>
    </xdr:from>
    <xdr:to>
      <xdr:col>6</xdr:col>
      <xdr:colOff>346075</xdr:colOff>
      <xdr:row>298</xdr:row>
      <xdr:rowOff>293688</xdr:rowOff>
    </xdr:to>
    <xdr:pic>
      <xdr:nvPicPr>
        <xdr:cNvPr id="56101" name="Picture 56100">
          <a:extLst>
            <a:ext uri="{FF2B5EF4-FFF2-40B4-BE49-F238E27FC236}">
              <a16:creationId xmlns:a16="http://schemas.microsoft.com/office/drawing/2014/main" id="{00000000-0008-0000-0B00-000025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08522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300</xdr:row>
      <xdr:rowOff>39688</xdr:rowOff>
    </xdr:from>
    <xdr:to>
      <xdr:col>2</xdr:col>
      <xdr:colOff>312738</xdr:colOff>
      <xdr:row>300</xdr:row>
      <xdr:rowOff>293688</xdr:rowOff>
    </xdr:to>
    <xdr:pic>
      <xdr:nvPicPr>
        <xdr:cNvPr id="56104" name="Picture 56103">
          <a:extLst>
            <a:ext uri="{FF2B5EF4-FFF2-40B4-BE49-F238E27FC236}">
              <a16:creationId xmlns:a16="http://schemas.microsoft.com/office/drawing/2014/main" id="{00000000-0008-0000-0B00-000028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15190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300</xdr:row>
      <xdr:rowOff>39688</xdr:rowOff>
    </xdr:from>
    <xdr:to>
      <xdr:col>6</xdr:col>
      <xdr:colOff>346075</xdr:colOff>
      <xdr:row>300</xdr:row>
      <xdr:rowOff>293688</xdr:rowOff>
    </xdr:to>
    <xdr:pic>
      <xdr:nvPicPr>
        <xdr:cNvPr id="56107" name="Picture 56106">
          <a:extLst>
            <a:ext uri="{FF2B5EF4-FFF2-40B4-BE49-F238E27FC236}">
              <a16:creationId xmlns:a16="http://schemas.microsoft.com/office/drawing/2014/main" id="{00000000-0008-0000-0B00-00002B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15190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304</xdr:row>
      <xdr:rowOff>39688</xdr:rowOff>
    </xdr:from>
    <xdr:to>
      <xdr:col>2</xdr:col>
      <xdr:colOff>312738</xdr:colOff>
      <xdr:row>304</xdr:row>
      <xdr:rowOff>293688</xdr:rowOff>
    </xdr:to>
    <xdr:pic>
      <xdr:nvPicPr>
        <xdr:cNvPr id="56110" name="Picture 56109">
          <a:extLst>
            <a:ext uri="{FF2B5EF4-FFF2-40B4-BE49-F238E27FC236}">
              <a16:creationId xmlns:a16="http://schemas.microsoft.com/office/drawing/2014/main" id="{00000000-0008-0000-0B00-00002E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29192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304</xdr:row>
      <xdr:rowOff>39688</xdr:rowOff>
    </xdr:from>
    <xdr:to>
      <xdr:col>6</xdr:col>
      <xdr:colOff>346075</xdr:colOff>
      <xdr:row>304</xdr:row>
      <xdr:rowOff>293688</xdr:rowOff>
    </xdr:to>
    <xdr:pic>
      <xdr:nvPicPr>
        <xdr:cNvPr id="56113" name="Picture 56112">
          <a:extLst>
            <a:ext uri="{FF2B5EF4-FFF2-40B4-BE49-F238E27FC236}">
              <a16:creationId xmlns:a16="http://schemas.microsoft.com/office/drawing/2014/main" id="{00000000-0008-0000-0B00-000031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29192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306</xdr:row>
      <xdr:rowOff>39688</xdr:rowOff>
    </xdr:from>
    <xdr:to>
      <xdr:col>2</xdr:col>
      <xdr:colOff>312738</xdr:colOff>
      <xdr:row>306</xdr:row>
      <xdr:rowOff>293688</xdr:rowOff>
    </xdr:to>
    <xdr:pic>
      <xdr:nvPicPr>
        <xdr:cNvPr id="56116" name="Picture 56115">
          <a:extLst>
            <a:ext uri="{FF2B5EF4-FFF2-40B4-BE49-F238E27FC236}">
              <a16:creationId xmlns:a16="http://schemas.microsoft.com/office/drawing/2014/main" id="{00000000-0008-0000-0B00-000034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35859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306</xdr:row>
      <xdr:rowOff>39688</xdr:rowOff>
    </xdr:from>
    <xdr:to>
      <xdr:col>6</xdr:col>
      <xdr:colOff>346075</xdr:colOff>
      <xdr:row>306</xdr:row>
      <xdr:rowOff>293688</xdr:rowOff>
    </xdr:to>
    <xdr:pic>
      <xdr:nvPicPr>
        <xdr:cNvPr id="56119" name="Picture 56118">
          <a:extLst>
            <a:ext uri="{FF2B5EF4-FFF2-40B4-BE49-F238E27FC236}">
              <a16:creationId xmlns:a16="http://schemas.microsoft.com/office/drawing/2014/main" id="{00000000-0008-0000-0B00-000037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35859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307</xdr:row>
      <xdr:rowOff>39688</xdr:rowOff>
    </xdr:from>
    <xdr:to>
      <xdr:col>2</xdr:col>
      <xdr:colOff>312738</xdr:colOff>
      <xdr:row>307</xdr:row>
      <xdr:rowOff>293688</xdr:rowOff>
    </xdr:to>
    <xdr:pic>
      <xdr:nvPicPr>
        <xdr:cNvPr id="56122" name="Picture 56121">
          <a:extLst>
            <a:ext uri="{FF2B5EF4-FFF2-40B4-BE49-F238E27FC236}">
              <a16:creationId xmlns:a16="http://schemas.microsoft.com/office/drawing/2014/main" id="{00000000-0008-0000-0B00-00003A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39193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307</xdr:row>
      <xdr:rowOff>39688</xdr:rowOff>
    </xdr:from>
    <xdr:to>
      <xdr:col>6</xdr:col>
      <xdr:colOff>346075</xdr:colOff>
      <xdr:row>307</xdr:row>
      <xdr:rowOff>293688</xdr:rowOff>
    </xdr:to>
    <xdr:pic>
      <xdr:nvPicPr>
        <xdr:cNvPr id="56125" name="Picture 56124">
          <a:extLst>
            <a:ext uri="{FF2B5EF4-FFF2-40B4-BE49-F238E27FC236}">
              <a16:creationId xmlns:a16="http://schemas.microsoft.com/office/drawing/2014/main" id="{00000000-0008-0000-0B00-00003DDB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39193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308</xdr:row>
      <xdr:rowOff>39688</xdr:rowOff>
    </xdr:from>
    <xdr:to>
      <xdr:col>2</xdr:col>
      <xdr:colOff>312738</xdr:colOff>
      <xdr:row>308</xdr:row>
      <xdr:rowOff>293688</xdr:rowOff>
    </xdr:to>
    <xdr:pic>
      <xdr:nvPicPr>
        <xdr:cNvPr id="53952" name="Picture 53951">
          <a:extLst>
            <a:ext uri="{FF2B5EF4-FFF2-40B4-BE49-F238E27FC236}">
              <a16:creationId xmlns:a16="http://schemas.microsoft.com/office/drawing/2014/main" id="{00000000-0008-0000-0B00-0000C0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42527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308</xdr:row>
      <xdr:rowOff>39688</xdr:rowOff>
    </xdr:from>
    <xdr:to>
      <xdr:col>6</xdr:col>
      <xdr:colOff>346075</xdr:colOff>
      <xdr:row>308</xdr:row>
      <xdr:rowOff>293688</xdr:rowOff>
    </xdr:to>
    <xdr:pic>
      <xdr:nvPicPr>
        <xdr:cNvPr id="53955" name="Picture 53954">
          <a:extLst>
            <a:ext uri="{FF2B5EF4-FFF2-40B4-BE49-F238E27FC236}">
              <a16:creationId xmlns:a16="http://schemas.microsoft.com/office/drawing/2014/main" id="{00000000-0008-0000-0B00-0000C3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42527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309</xdr:row>
      <xdr:rowOff>39688</xdr:rowOff>
    </xdr:from>
    <xdr:to>
      <xdr:col>2</xdr:col>
      <xdr:colOff>312738</xdr:colOff>
      <xdr:row>309</xdr:row>
      <xdr:rowOff>293688</xdr:rowOff>
    </xdr:to>
    <xdr:pic>
      <xdr:nvPicPr>
        <xdr:cNvPr id="53958" name="Picture 53957">
          <a:extLst>
            <a:ext uri="{FF2B5EF4-FFF2-40B4-BE49-F238E27FC236}">
              <a16:creationId xmlns:a16="http://schemas.microsoft.com/office/drawing/2014/main" id="{00000000-0008-0000-0B00-0000C6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45860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309</xdr:row>
      <xdr:rowOff>39688</xdr:rowOff>
    </xdr:from>
    <xdr:to>
      <xdr:col>6</xdr:col>
      <xdr:colOff>346075</xdr:colOff>
      <xdr:row>309</xdr:row>
      <xdr:rowOff>293688</xdr:rowOff>
    </xdr:to>
    <xdr:pic>
      <xdr:nvPicPr>
        <xdr:cNvPr id="53961" name="Picture 53960">
          <a:extLst>
            <a:ext uri="{FF2B5EF4-FFF2-40B4-BE49-F238E27FC236}">
              <a16:creationId xmlns:a16="http://schemas.microsoft.com/office/drawing/2014/main" id="{00000000-0008-0000-0B00-0000C9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45860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310</xdr:row>
      <xdr:rowOff>39688</xdr:rowOff>
    </xdr:from>
    <xdr:to>
      <xdr:col>2</xdr:col>
      <xdr:colOff>312738</xdr:colOff>
      <xdr:row>310</xdr:row>
      <xdr:rowOff>293688</xdr:rowOff>
    </xdr:to>
    <xdr:pic>
      <xdr:nvPicPr>
        <xdr:cNvPr id="53964" name="Picture 53963">
          <a:extLst>
            <a:ext uri="{FF2B5EF4-FFF2-40B4-BE49-F238E27FC236}">
              <a16:creationId xmlns:a16="http://schemas.microsoft.com/office/drawing/2014/main" id="{00000000-0008-0000-0B00-0000CC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49194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310</xdr:row>
      <xdr:rowOff>39688</xdr:rowOff>
    </xdr:from>
    <xdr:to>
      <xdr:col>6</xdr:col>
      <xdr:colOff>346075</xdr:colOff>
      <xdr:row>310</xdr:row>
      <xdr:rowOff>293688</xdr:rowOff>
    </xdr:to>
    <xdr:pic>
      <xdr:nvPicPr>
        <xdr:cNvPr id="53967" name="Picture 53966">
          <a:extLst>
            <a:ext uri="{FF2B5EF4-FFF2-40B4-BE49-F238E27FC236}">
              <a16:creationId xmlns:a16="http://schemas.microsoft.com/office/drawing/2014/main" id="{00000000-0008-0000-0B00-0000CF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49194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311</xdr:row>
      <xdr:rowOff>39688</xdr:rowOff>
    </xdr:from>
    <xdr:to>
      <xdr:col>2</xdr:col>
      <xdr:colOff>312738</xdr:colOff>
      <xdr:row>311</xdr:row>
      <xdr:rowOff>293688</xdr:rowOff>
    </xdr:to>
    <xdr:pic>
      <xdr:nvPicPr>
        <xdr:cNvPr id="53970" name="Picture 53969">
          <a:extLst>
            <a:ext uri="{FF2B5EF4-FFF2-40B4-BE49-F238E27FC236}">
              <a16:creationId xmlns:a16="http://schemas.microsoft.com/office/drawing/2014/main" id="{00000000-0008-0000-0B00-0000D2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52528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311</xdr:row>
      <xdr:rowOff>39688</xdr:rowOff>
    </xdr:from>
    <xdr:to>
      <xdr:col>6</xdr:col>
      <xdr:colOff>346075</xdr:colOff>
      <xdr:row>311</xdr:row>
      <xdr:rowOff>293688</xdr:rowOff>
    </xdr:to>
    <xdr:pic>
      <xdr:nvPicPr>
        <xdr:cNvPr id="53973" name="Picture 53972">
          <a:extLst>
            <a:ext uri="{FF2B5EF4-FFF2-40B4-BE49-F238E27FC236}">
              <a16:creationId xmlns:a16="http://schemas.microsoft.com/office/drawing/2014/main" id="{00000000-0008-0000-0B00-0000D5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52528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312</xdr:row>
      <xdr:rowOff>39688</xdr:rowOff>
    </xdr:from>
    <xdr:to>
      <xdr:col>2</xdr:col>
      <xdr:colOff>312738</xdr:colOff>
      <xdr:row>312</xdr:row>
      <xdr:rowOff>293688</xdr:rowOff>
    </xdr:to>
    <xdr:pic>
      <xdr:nvPicPr>
        <xdr:cNvPr id="53976" name="Picture 53975">
          <a:extLst>
            <a:ext uri="{FF2B5EF4-FFF2-40B4-BE49-F238E27FC236}">
              <a16:creationId xmlns:a16="http://schemas.microsoft.com/office/drawing/2014/main" id="{00000000-0008-0000-0B00-0000D8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55862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312</xdr:row>
      <xdr:rowOff>39688</xdr:rowOff>
    </xdr:from>
    <xdr:to>
      <xdr:col>6</xdr:col>
      <xdr:colOff>346075</xdr:colOff>
      <xdr:row>312</xdr:row>
      <xdr:rowOff>293688</xdr:rowOff>
    </xdr:to>
    <xdr:pic>
      <xdr:nvPicPr>
        <xdr:cNvPr id="53979" name="Picture 53978">
          <a:extLst>
            <a:ext uri="{FF2B5EF4-FFF2-40B4-BE49-F238E27FC236}">
              <a16:creationId xmlns:a16="http://schemas.microsoft.com/office/drawing/2014/main" id="{00000000-0008-0000-0B00-0000DB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55862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314</xdr:row>
      <xdr:rowOff>39688</xdr:rowOff>
    </xdr:from>
    <xdr:to>
      <xdr:col>2</xdr:col>
      <xdr:colOff>312738</xdr:colOff>
      <xdr:row>314</xdr:row>
      <xdr:rowOff>293688</xdr:rowOff>
    </xdr:to>
    <xdr:pic>
      <xdr:nvPicPr>
        <xdr:cNvPr id="53982" name="Picture 53981">
          <a:extLst>
            <a:ext uri="{FF2B5EF4-FFF2-40B4-BE49-F238E27FC236}">
              <a16:creationId xmlns:a16="http://schemas.microsoft.com/office/drawing/2014/main" id="{00000000-0008-0000-0B00-0000DE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62529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314</xdr:row>
      <xdr:rowOff>39688</xdr:rowOff>
    </xdr:from>
    <xdr:to>
      <xdr:col>6</xdr:col>
      <xdr:colOff>346075</xdr:colOff>
      <xdr:row>314</xdr:row>
      <xdr:rowOff>293688</xdr:rowOff>
    </xdr:to>
    <xdr:pic>
      <xdr:nvPicPr>
        <xdr:cNvPr id="53985" name="Picture 53984">
          <a:extLst>
            <a:ext uri="{FF2B5EF4-FFF2-40B4-BE49-F238E27FC236}">
              <a16:creationId xmlns:a16="http://schemas.microsoft.com/office/drawing/2014/main" id="{00000000-0008-0000-0B00-0000E1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62529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315</xdr:row>
      <xdr:rowOff>39688</xdr:rowOff>
    </xdr:from>
    <xdr:to>
      <xdr:col>2</xdr:col>
      <xdr:colOff>312738</xdr:colOff>
      <xdr:row>315</xdr:row>
      <xdr:rowOff>293688</xdr:rowOff>
    </xdr:to>
    <xdr:pic>
      <xdr:nvPicPr>
        <xdr:cNvPr id="53988" name="Picture 53987">
          <a:extLst>
            <a:ext uri="{FF2B5EF4-FFF2-40B4-BE49-F238E27FC236}">
              <a16:creationId xmlns:a16="http://schemas.microsoft.com/office/drawing/2014/main" id="{00000000-0008-0000-0B00-0000E4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65863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315</xdr:row>
      <xdr:rowOff>39688</xdr:rowOff>
    </xdr:from>
    <xdr:to>
      <xdr:col>6</xdr:col>
      <xdr:colOff>346075</xdr:colOff>
      <xdr:row>315</xdr:row>
      <xdr:rowOff>293688</xdr:rowOff>
    </xdr:to>
    <xdr:pic>
      <xdr:nvPicPr>
        <xdr:cNvPr id="53991" name="Picture 53990">
          <a:extLst>
            <a:ext uri="{FF2B5EF4-FFF2-40B4-BE49-F238E27FC236}">
              <a16:creationId xmlns:a16="http://schemas.microsoft.com/office/drawing/2014/main" id="{00000000-0008-0000-0B00-0000E7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65863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319</xdr:row>
      <xdr:rowOff>39688</xdr:rowOff>
    </xdr:from>
    <xdr:to>
      <xdr:col>2</xdr:col>
      <xdr:colOff>312738</xdr:colOff>
      <xdr:row>319</xdr:row>
      <xdr:rowOff>293688</xdr:rowOff>
    </xdr:to>
    <xdr:pic>
      <xdr:nvPicPr>
        <xdr:cNvPr id="53994" name="Picture 53993">
          <a:extLst>
            <a:ext uri="{FF2B5EF4-FFF2-40B4-BE49-F238E27FC236}">
              <a16:creationId xmlns:a16="http://schemas.microsoft.com/office/drawing/2014/main" id="{00000000-0008-0000-0B00-0000EA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79865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319</xdr:row>
      <xdr:rowOff>39688</xdr:rowOff>
    </xdr:from>
    <xdr:to>
      <xdr:col>6</xdr:col>
      <xdr:colOff>346075</xdr:colOff>
      <xdr:row>319</xdr:row>
      <xdr:rowOff>293688</xdr:rowOff>
    </xdr:to>
    <xdr:pic>
      <xdr:nvPicPr>
        <xdr:cNvPr id="53997" name="Picture 53996">
          <a:extLst>
            <a:ext uri="{FF2B5EF4-FFF2-40B4-BE49-F238E27FC236}">
              <a16:creationId xmlns:a16="http://schemas.microsoft.com/office/drawing/2014/main" id="{00000000-0008-0000-0B00-0000ED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79865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323</xdr:row>
      <xdr:rowOff>39688</xdr:rowOff>
    </xdr:from>
    <xdr:to>
      <xdr:col>2</xdr:col>
      <xdr:colOff>312738</xdr:colOff>
      <xdr:row>323</xdr:row>
      <xdr:rowOff>293688</xdr:rowOff>
    </xdr:to>
    <xdr:pic>
      <xdr:nvPicPr>
        <xdr:cNvPr id="54000" name="Picture 53999">
          <a:extLst>
            <a:ext uri="{FF2B5EF4-FFF2-40B4-BE49-F238E27FC236}">
              <a16:creationId xmlns:a16="http://schemas.microsoft.com/office/drawing/2014/main" id="{00000000-0008-0000-0B00-0000F0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93866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323</xdr:row>
      <xdr:rowOff>39688</xdr:rowOff>
    </xdr:from>
    <xdr:to>
      <xdr:col>6</xdr:col>
      <xdr:colOff>346075</xdr:colOff>
      <xdr:row>323</xdr:row>
      <xdr:rowOff>293688</xdr:rowOff>
    </xdr:to>
    <xdr:pic>
      <xdr:nvPicPr>
        <xdr:cNvPr id="54003" name="Picture 54002">
          <a:extLst>
            <a:ext uri="{FF2B5EF4-FFF2-40B4-BE49-F238E27FC236}">
              <a16:creationId xmlns:a16="http://schemas.microsoft.com/office/drawing/2014/main" id="{00000000-0008-0000-0B00-0000F3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93866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324</xdr:row>
      <xdr:rowOff>39688</xdr:rowOff>
    </xdr:from>
    <xdr:to>
      <xdr:col>2</xdr:col>
      <xdr:colOff>312738</xdr:colOff>
      <xdr:row>324</xdr:row>
      <xdr:rowOff>293688</xdr:rowOff>
    </xdr:to>
    <xdr:pic>
      <xdr:nvPicPr>
        <xdr:cNvPr id="54006" name="Picture 54005">
          <a:extLst>
            <a:ext uri="{FF2B5EF4-FFF2-40B4-BE49-F238E27FC236}">
              <a16:creationId xmlns:a16="http://schemas.microsoft.com/office/drawing/2014/main" id="{00000000-0008-0000-0B00-0000F6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097200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324</xdr:row>
      <xdr:rowOff>39688</xdr:rowOff>
    </xdr:from>
    <xdr:to>
      <xdr:col>6</xdr:col>
      <xdr:colOff>346075</xdr:colOff>
      <xdr:row>324</xdr:row>
      <xdr:rowOff>293688</xdr:rowOff>
    </xdr:to>
    <xdr:pic>
      <xdr:nvPicPr>
        <xdr:cNvPr id="54009" name="Picture 54008">
          <a:extLst>
            <a:ext uri="{FF2B5EF4-FFF2-40B4-BE49-F238E27FC236}">
              <a16:creationId xmlns:a16="http://schemas.microsoft.com/office/drawing/2014/main" id="{00000000-0008-0000-0B00-0000F9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097200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325</xdr:row>
      <xdr:rowOff>39688</xdr:rowOff>
    </xdr:from>
    <xdr:to>
      <xdr:col>2</xdr:col>
      <xdr:colOff>312738</xdr:colOff>
      <xdr:row>325</xdr:row>
      <xdr:rowOff>293688</xdr:rowOff>
    </xdr:to>
    <xdr:pic>
      <xdr:nvPicPr>
        <xdr:cNvPr id="54012" name="Picture 54011">
          <a:extLst>
            <a:ext uri="{FF2B5EF4-FFF2-40B4-BE49-F238E27FC236}">
              <a16:creationId xmlns:a16="http://schemas.microsoft.com/office/drawing/2014/main" id="{00000000-0008-0000-0B00-0000FC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00534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325</xdr:row>
      <xdr:rowOff>39688</xdr:rowOff>
    </xdr:from>
    <xdr:to>
      <xdr:col>6</xdr:col>
      <xdr:colOff>346075</xdr:colOff>
      <xdr:row>325</xdr:row>
      <xdr:rowOff>293688</xdr:rowOff>
    </xdr:to>
    <xdr:pic>
      <xdr:nvPicPr>
        <xdr:cNvPr id="54015" name="Picture 54014">
          <a:extLst>
            <a:ext uri="{FF2B5EF4-FFF2-40B4-BE49-F238E27FC236}">
              <a16:creationId xmlns:a16="http://schemas.microsoft.com/office/drawing/2014/main" id="{00000000-0008-0000-0B00-0000FFD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00534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326</xdr:row>
      <xdr:rowOff>39688</xdr:rowOff>
    </xdr:from>
    <xdr:to>
      <xdr:col>2</xdr:col>
      <xdr:colOff>312738</xdr:colOff>
      <xdr:row>326</xdr:row>
      <xdr:rowOff>293688</xdr:rowOff>
    </xdr:to>
    <xdr:pic>
      <xdr:nvPicPr>
        <xdr:cNvPr id="54018" name="Picture 54017">
          <a:extLst>
            <a:ext uri="{FF2B5EF4-FFF2-40B4-BE49-F238E27FC236}">
              <a16:creationId xmlns:a16="http://schemas.microsoft.com/office/drawing/2014/main" id="{00000000-0008-0000-0B00-000002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03868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326</xdr:row>
      <xdr:rowOff>39688</xdr:rowOff>
    </xdr:from>
    <xdr:to>
      <xdr:col>6</xdr:col>
      <xdr:colOff>346075</xdr:colOff>
      <xdr:row>326</xdr:row>
      <xdr:rowOff>293688</xdr:rowOff>
    </xdr:to>
    <xdr:pic>
      <xdr:nvPicPr>
        <xdr:cNvPr id="54021" name="Picture 54020">
          <a:extLst>
            <a:ext uri="{FF2B5EF4-FFF2-40B4-BE49-F238E27FC236}">
              <a16:creationId xmlns:a16="http://schemas.microsoft.com/office/drawing/2014/main" id="{00000000-0008-0000-0B00-000005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03868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327</xdr:row>
      <xdr:rowOff>39688</xdr:rowOff>
    </xdr:from>
    <xdr:to>
      <xdr:col>2</xdr:col>
      <xdr:colOff>312738</xdr:colOff>
      <xdr:row>327</xdr:row>
      <xdr:rowOff>293688</xdr:rowOff>
    </xdr:to>
    <xdr:pic>
      <xdr:nvPicPr>
        <xdr:cNvPr id="54024" name="Picture 54023">
          <a:extLst>
            <a:ext uri="{FF2B5EF4-FFF2-40B4-BE49-F238E27FC236}">
              <a16:creationId xmlns:a16="http://schemas.microsoft.com/office/drawing/2014/main" id="{00000000-0008-0000-0B00-000008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07201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327</xdr:row>
      <xdr:rowOff>39688</xdr:rowOff>
    </xdr:from>
    <xdr:to>
      <xdr:col>6</xdr:col>
      <xdr:colOff>346075</xdr:colOff>
      <xdr:row>327</xdr:row>
      <xdr:rowOff>293688</xdr:rowOff>
    </xdr:to>
    <xdr:pic>
      <xdr:nvPicPr>
        <xdr:cNvPr id="54027" name="Picture 54026">
          <a:extLst>
            <a:ext uri="{FF2B5EF4-FFF2-40B4-BE49-F238E27FC236}">
              <a16:creationId xmlns:a16="http://schemas.microsoft.com/office/drawing/2014/main" id="{00000000-0008-0000-0B00-00000B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07201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328</xdr:row>
      <xdr:rowOff>39688</xdr:rowOff>
    </xdr:from>
    <xdr:to>
      <xdr:col>2</xdr:col>
      <xdr:colOff>312738</xdr:colOff>
      <xdr:row>328</xdr:row>
      <xdr:rowOff>293688</xdr:rowOff>
    </xdr:to>
    <xdr:pic>
      <xdr:nvPicPr>
        <xdr:cNvPr id="54030" name="Picture 54029">
          <a:extLst>
            <a:ext uri="{FF2B5EF4-FFF2-40B4-BE49-F238E27FC236}">
              <a16:creationId xmlns:a16="http://schemas.microsoft.com/office/drawing/2014/main" id="{00000000-0008-0000-0B00-00000E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10535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328</xdr:row>
      <xdr:rowOff>39688</xdr:rowOff>
    </xdr:from>
    <xdr:to>
      <xdr:col>6</xdr:col>
      <xdr:colOff>346075</xdr:colOff>
      <xdr:row>328</xdr:row>
      <xdr:rowOff>293688</xdr:rowOff>
    </xdr:to>
    <xdr:pic>
      <xdr:nvPicPr>
        <xdr:cNvPr id="54033" name="Picture 54032">
          <a:extLst>
            <a:ext uri="{FF2B5EF4-FFF2-40B4-BE49-F238E27FC236}">
              <a16:creationId xmlns:a16="http://schemas.microsoft.com/office/drawing/2014/main" id="{00000000-0008-0000-0B00-000011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10535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329</xdr:row>
      <xdr:rowOff>39688</xdr:rowOff>
    </xdr:from>
    <xdr:to>
      <xdr:col>2</xdr:col>
      <xdr:colOff>312738</xdr:colOff>
      <xdr:row>329</xdr:row>
      <xdr:rowOff>293688</xdr:rowOff>
    </xdr:to>
    <xdr:pic>
      <xdr:nvPicPr>
        <xdr:cNvPr id="54036" name="Picture 54035">
          <a:extLst>
            <a:ext uri="{FF2B5EF4-FFF2-40B4-BE49-F238E27FC236}">
              <a16:creationId xmlns:a16="http://schemas.microsoft.com/office/drawing/2014/main" id="{00000000-0008-0000-0B00-000014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13869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329</xdr:row>
      <xdr:rowOff>39688</xdr:rowOff>
    </xdr:from>
    <xdr:to>
      <xdr:col>6</xdr:col>
      <xdr:colOff>346075</xdr:colOff>
      <xdr:row>329</xdr:row>
      <xdr:rowOff>293688</xdr:rowOff>
    </xdr:to>
    <xdr:pic>
      <xdr:nvPicPr>
        <xdr:cNvPr id="54039" name="Picture 54038">
          <a:extLst>
            <a:ext uri="{FF2B5EF4-FFF2-40B4-BE49-F238E27FC236}">
              <a16:creationId xmlns:a16="http://schemas.microsoft.com/office/drawing/2014/main" id="{00000000-0008-0000-0B00-000017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13869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331</xdr:row>
      <xdr:rowOff>39688</xdr:rowOff>
    </xdr:from>
    <xdr:to>
      <xdr:col>2</xdr:col>
      <xdr:colOff>312738</xdr:colOff>
      <xdr:row>331</xdr:row>
      <xdr:rowOff>293688</xdr:rowOff>
    </xdr:to>
    <xdr:pic>
      <xdr:nvPicPr>
        <xdr:cNvPr id="54042" name="Picture 54041">
          <a:extLst>
            <a:ext uri="{FF2B5EF4-FFF2-40B4-BE49-F238E27FC236}">
              <a16:creationId xmlns:a16="http://schemas.microsoft.com/office/drawing/2014/main" id="{00000000-0008-0000-0B00-00001A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20536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331</xdr:row>
      <xdr:rowOff>39688</xdr:rowOff>
    </xdr:from>
    <xdr:to>
      <xdr:col>6</xdr:col>
      <xdr:colOff>346075</xdr:colOff>
      <xdr:row>331</xdr:row>
      <xdr:rowOff>293688</xdr:rowOff>
    </xdr:to>
    <xdr:pic>
      <xdr:nvPicPr>
        <xdr:cNvPr id="54045" name="Picture 54044">
          <a:extLst>
            <a:ext uri="{FF2B5EF4-FFF2-40B4-BE49-F238E27FC236}">
              <a16:creationId xmlns:a16="http://schemas.microsoft.com/office/drawing/2014/main" id="{00000000-0008-0000-0B00-00001D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20536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332</xdr:row>
      <xdr:rowOff>39688</xdr:rowOff>
    </xdr:from>
    <xdr:to>
      <xdr:col>2</xdr:col>
      <xdr:colOff>312738</xdr:colOff>
      <xdr:row>332</xdr:row>
      <xdr:rowOff>293688</xdr:rowOff>
    </xdr:to>
    <xdr:pic>
      <xdr:nvPicPr>
        <xdr:cNvPr id="54048" name="Picture 54047">
          <a:extLst>
            <a:ext uri="{FF2B5EF4-FFF2-40B4-BE49-F238E27FC236}">
              <a16:creationId xmlns:a16="http://schemas.microsoft.com/office/drawing/2014/main" id="{00000000-0008-0000-0B00-000020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23870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332</xdr:row>
      <xdr:rowOff>39688</xdr:rowOff>
    </xdr:from>
    <xdr:to>
      <xdr:col>6</xdr:col>
      <xdr:colOff>346075</xdr:colOff>
      <xdr:row>332</xdr:row>
      <xdr:rowOff>293688</xdr:rowOff>
    </xdr:to>
    <xdr:pic>
      <xdr:nvPicPr>
        <xdr:cNvPr id="54051" name="Picture 54050">
          <a:extLst>
            <a:ext uri="{FF2B5EF4-FFF2-40B4-BE49-F238E27FC236}">
              <a16:creationId xmlns:a16="http://schemas.microsoft.com/office/drawing/2014/main" id="{00000000-0008-0000-0B00-000023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23870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334</xdr:row>
      <xdr:rowOff>39688</xdr:rowOff>
    </xdr:from>
    <xdr:to>
      <xdr:col>2</xdr:col>
      <xdr:colOff>312738</xdr:colOff>
      <xdr:row>334</xdr:row>
      <xdr:rowOff>293688</xdr:rowOff>
    </xdr:to>
    <xdr:pic>
      <xdr:nvPicPr>
        <xdr:cNvPr id="54054" name="Picture 54053">
          <a:extLst>
            <a:ext uri="{FF2B5EF4-FFF2-40B4-BE49-F238E27FC236}">
              <a16:creationId xmlns:a16="http://schemas.microsoft.com/office/drawing/2014/main" id="{00000000-0008-0000-0B00-000026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30538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334</xdr:row>
      <xdr:rowOff>39688</xdr:rowOff>
    </xdr:from>
    <xdr:to>
      <xdr:col>6</xdr:col>
      <xdr:colOff>346075</xdr:colOff>
      <xdr:row>334</xdr:row>
      <xdr:rowOff>293688</xdr:rowOff>
    </xdr:to>
    <xdr:pic>
      <xdr:nvPicPr>
        <xdr:cNvPr id="54057" name="Picture 54056">
          <a:extLst>
            <a:ext uri="{FF2B5EF4-FFF2-40B4-BE49-F238E27FC236}">
              <a16:creationId xmlns:a16="http://schemas.microsoft.com/office/drawing/2014/main" id="{00000000-0008-0000-0B00-000029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30538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338</xdr:row>
      <xdr:rowOff>39688</xdr:rowOff>
    </xdr:from>
    <xdr:to>
      <xdr:col>2</xdr:col>
      <xdr:colOff>312738</xdr:colOff>
      <xdr:row>338</xdr:row>
      <xdr:rowOff>293688</xdr:rowOff>
    </xdr:to>
    <xdr:pic>
      <xdr:nvPicPr>
        <xdr:cNvPr id="54060" name="Picture 54059">
          <a:extLst>
            <a:ext uri="{FF2B5EF4-FFF2-40B4-BE49-F238E27FC236}">
              <a16:creationId xmlns:a16="http://schemas.microsoft.com/office/drawing/2014/main" id="{00000000-0008-0000-0B00-00002C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44539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338</xdr:row>
      <xdr:rowOff>39688</xdr:rowOff>
    </xdr:from>
    <xdr:to>
      <xdr:col>6</xdr:col>
      <xdr:colOff>346075</xdr:colOff>
      <xdr:row>338</xdr:row>
      <xdr:rowOff>293688</xdr:rowOff>
    </xdr:to>
    <xdr:pic>
      <xdr:nvPicPr>
        <xdr:cNvPr id="54063" name="Picture 54062">
          <a:extLst>
            <a:ext uri="{FF2B5EF4-FFF2-40B4-BE49-F238E27FC236}">
              <a16:creationId xmlns:a16="http://schemas.microsoft.com/office/drawing/2014/main" id="{00000000-0008-0000-0B00-00002F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44539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342</xdr:row>
      <xdr:rowOff>39688</xdr:rowOff>
    </xdr:from>
    <xdr:to>
      <xdr:col>2</xdr:col>
      <xdr:colOff>312738</xdr:colOff>
      <xdr:row>342</xdr:row>
      <xdr:rowOff>293688</xdr:rowOff>
    </xdr:to>
    <xdr:pic>
      <xdr:nvPicPr>
        <xdr:cNvPr id="54066" name="Picture 54065">
          <a:extLst>
            <a:ext uri="{FF2B5EF4-FFF2-40B4-BE49-F238E27FC236}">
              <a16:creationId xmlns:a16="http://schemas.microsoft.com/office/drawing/2014/main" id="{00000000-0008-0000-0B00-000032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58541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342</xdr:row>
      <xdr:rowOff>39688</xdr:rowOff>
    </xdr:from>
    <xdr:to>
      <xdr:col>6</xdr:col>
      <xdr:colOff>346075</xdr:colOff>
      <xdr:row>342</xdr:row>
      <xdr:rowOff>293688</xdr:rowOff>
    </xdr:to>
    <xdr:pic>
      <xdr:nvPicPr>
        <xdr:cNvPr id="54069" name="Picture 54068">
          <a:extLst>
            <a:ext uri="{FF2B5EF4-FFF2-40B4-BE49-F238E27FC236}">
              <a16:creationId xmlns:a16="http://schemas.microsoft.com/office/drawing/2014/main" id="{00000000-0008-0000-0B00-000035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58541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343</xdr:row>
      <xdr:rowOff>39688</xdr:rowOff>
    </xdr:from>
    <xdr:to>
      <xdr:col>2</xdr:col>
      <xdr:colOff>312738</xdr:colOff>
      <xdr:row>343</xdr:row>
      <xdr:rowOff>293688</xdr:rowOff>
    </xdr:to>
    <xdr:pic>
      <xdr:nvPicPr>
        <xdr:cNvPr id="54072" name="Picture 54071">
          <a:extLst>
            <a:ext uri="{FF2B5EF4-FFF2-40B4-BE49-F238E27FC236}">
              <a16:creationId xmlns:a16="http://schemas.microsoft.com/office/drawing/2014/main" id="{00000000-0008-0000-0B00-000038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61875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343</xdr:row>
      <xdr:rowOff>39688</xdr:rowOff>
    </xdr:from>
    <xdr:to>
      <xdr:col>6</xdr:col>
      <xdr:colOff>346075</xdr:colOff>
      <xdr:row>343</xdr:row>
      <xdr:rowOff>293688</xdr:rowOff>
    </xdr:to>
    <xdr:pic>
      <xdr:nvPicPr>
        <xdr:cNvPr id="54075" name="Picture 54074">
          <a:extLst>
            <a:ext uri="{FF2B5EF4-FFF2-40B4-BE49-F238E27FC236}">
              <a16:creationId xmlns:a16="http://schemas.microsoft.com/office/drawing/2014/main" id="{00000000-0008-0000-0B00-00003B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61875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344</xdr:row>
      <xdr:rowOff>39688</xdr:rowOff>
    </xdr:from>
    <xdr:to>
      <xdr:col>2</xdr:col>
      <xdr:colOff>312738</xdr:colOff>
      <xdr:row>344</xdr:row>
      <xdr:rowOff>293688</xdr:rowOff>
    </xdr:to>
    <xdr:pic>
      <xdr:nvPicPr>
        <xdr:cNvPr id="54078" name="Picture 54077">
          <a:extLst>
            <a:ext uri="{FF2B5EF4-FFF2-40B4-BE49-F238E27FC236}">
              <a16:creationId xmlns:a16="http://schemas.microsoft.com/office/drawing/2014/main" id="{00000000-0008-0000-0B00-00003E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65209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344</xdr:row>
      <xdr:rowOff>39688</xdr:rowOff>
    </xdr:from>
    <xdr:to>
      <xdr:col>6</xdr:col>
      <xdr:colOff>346075</xdr:colOff>
      <xdr:row>344</xdr:row>
      <xdr:rowOff>293688</xdr:rowOff>
    </xdr:to>
    <xdr:pic>
      <xdr:nvPicPr>
        <xdr:cNvPr id="54081" name="Picture 54080">
          <a:extLst>
            <a:ext uri="{FF2B5EF4-FFF2-40B4-BE49-F238E27FC236}">
              <a16:creationId xmlns:a16="http://schemas.microsoft.com/office/drawing/2014/main" id="{00000000-0008-0000-0B00-000041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65209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345</xdr:row>
      <xdr:rowOff>39688</xdr:rowOff>
    </xdr:from>
    <xdr:to>
      <xdr:col>2</xdr:col>
      <xdr:colOff>312738</xdr:colOff>
      <xdr:row>345</xdr:row>
      <xdr:rowOff>293688</xdr:rowOff>
    </xdr:to>
    <xdr:pic>
      <xdr:nvPicPr>
        <xdr:cNvPr id="54084" name="Picture 54083">
          <a:extLst>
            <a:ext uri="{FF2B5EF4-FFF2-40B4-BE49-F238E27FC236}">
              <a16:creationId xmlns:a16="http://schemas.microsoft.com/office/drawing/2014/main" id="{00000000-0008-0000-0B00-000044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68542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345</xdr:row>
      <xdr:rowOff>39688</xdr:rowOff>
    </xdr:from>
    <xdr:to>
      <xdr:col>6</xdr:col>
      <xdr:colOff>346075</xdr:colOff>
      <xdr:row>345</xdr:row>
      <xdr:rowOff>293688</xdr:rowOff>
    </xdr:to>
    <xdr:pic>
      <xdr:nvPicPr>
        <xdr:cNvPr id="54087" name="Picture 54086">
          <a:extLst>
            <a:ext uri="{FF2B5EF4-FFF2-40B4-BE49-F238E27FC236}">
              <a16:creationId xmlns:a16="http://schemas.microsoft.com/office/drawing/2014/main" id="{00000000-0008-0000-0B00-000047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68542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346</xdr:row>
      <xdr:rowOff>39688</xdr:rowOff>
    </xdr:from>
    <xdr:to>
      <xdr:col>2</xdr:col>
      <xdr:colOff>312738</xdr:colOff>
      <xdr:row>346</xdr:row>
      <xdr:rowOff>293688</xdr:rowOff>
    </xdr:to>
    <xdr:pic>
      <xdr:nvPicPr>
        <xdr:cNvPr id="54090" name="Picture 54089">
          <a:extLst>
            <a:ext uri="{FF2B5EF4-FFF2-40B4-BE49-F238E27FC236}">
              <a16:creationId xmlns:a16="http://schemas.microsoft.com/office/drawing/2014/main" id="{00000000-0008-0000-0B00-00004A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71876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346</xdr:row>
      <xdr:rowOff>39688</xdr:rowOff>
    </xdr:from>
    <xdr:to>
      <xdr:col>6</xdr:col>
      <xdr:colOff>346075</xdr:colOff>
      <xdr:row>346</xdr:row>
      <xdr:rowOff>293688</xdr:rowOff>
    </xdr:to>
    <xdr:pic>
      <xdr:nvPicPr>
        <xdr:cNvPr id="54093" name="Picture 54092">
          <a:extLst>
            <a:ext uri="{FF2B5EF4-FFF2-40B4-BE49-F238E27FC236}">
              <a16:creationId xmlns:a16="http://schemas.microsoft.com/office/drawing/2014/main" id="{00000000-0008-0000-0B00-00004D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71876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347</xdr:row>
      <xdr:rowOff>39688</xdr:rowOff>
    </xdr:from>
    <xdr:to>
      <xdr:col>2</xdr:col>
      <xdr:colOff>312738</xdr:colOff>
      <xdr:row>347</xdr:row>
      <xdr:rowOff>293688</xdr:rowOff>
    </xdr:to>
    <xdr:pic>
      <xdr:nvPicPr>
        <xdr:cNvPr id="54096" name="Picture 54095">
          <a:extLst>
            <a:ext uri="{FF2B5EF4-FFF2-40B4-BE49-F238E27FC236}">
              <a16:creationId xmlns:a16="http://schemas.microsoft.com/office/drawing/2014/main" id="{00000000-0008-0000-0B00-000050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75210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347</xdr:row>
      <xdr:rowOff>39688</xdr:rowOff>
    </xdr:from>
    <xdr:to>
      <xdr:col>6</xdr:col>
      <xdr:colOff>346075</xdr:colOff>
      <xdr:row>347</xdr:row>
      <xdr:rowOff>293688</xdr:rowOff>
    </xdr:to>
    <xdr:pic>
      <xdr:nvPicPr>
        <xdr:cNvPr id="54099" name="Picture 54098">
          <a:extLst>
            <a:ext uri="{FF2B5EF4-FFF2-40B4-BE49-F238E27FC236}">
              <a16:creationId xmlns:a16="http://schemas.microsoft.com/office/drawing/2014/main" id="{00000000-0008-0000-0B00-000053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75210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348</xdr:row>
      <xdr:rowOff>39688</xdr:rowOff>
    </xdr:from>
    <xdr:to>
      <xdr:col>2</xdr:col>
      <xdr:colOff>312738</xdr:colOff>
      <xdr:row>348</xdr:row>
      <xdr:rowOff>293688</xdr:rowOff>
    </xdr:to>
    <xdr:pic>
      <xdr:nvPicPr>
        <xdr:cNvPr id="54102" name="Picture 54101">
          <a:extLst>
            <a:ext uri="{FF2B5EF4-FFF2-40B4-BE49-F238E27FC236}">
              <a16:creationId xmlns:a16="http://schemas.microsoft.com/office/drawing/2014/main" id="{00000000-0008-0000-0B00-000056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78544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348</xdr:row>
      <xdr:rowOff>39688</xdr:rowOff>
    </xdr:from>
    <xdr:to>
      <xdr:col>6</xdr:col>
      <xdr:colOff>346075</xdr:colOff>
      <xdr:row>348</xdr:row>
      <xdr:rowOff>293688</xdr:rowOff>
    </xdr:to>
    <xdr:pic>
      <xdr:nvPicPr>
        <xdr:cNvPr id="54105" name="Picture 54104">
          <a:extLst>
            <a:ext uri="{FF2B5EF4-FFF2-40B4-BE49-F238E27FC236}">
              <a16:creationId xmlns:a16="http://schemas.microsoft.com/office/drawing/2014/main" id="{00000000-0008-0000-0B00-000059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78544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349</xdr:row>
      <xdr:rowOff>39688</xdr:rowOff>
    </xdr:from>
    <xdr:to>
      <xdr:col>2</xdr:col>
      <xdr:colOff>312738</xdr:colOff>
      <xdr:row>349</xdr:row>
      <xdr:rowOff>293688</xdr:rowOff>
    </xdr:to>
    <xdr:pic>
      <xdr:nvPicPr>
        <xdr:cNvPr id="54108" name="Picture 54107">
          <a:extLst>
            <a:ext uri="{FF2B5EF4-FFF2-40B4-BE49-F238E27FC236}">
              <a16:creationId xmlns:a16="http://schemas.microsoft.com/office/drawing/2014/main" id="{00000000-0008-0000-0B00-00005C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81877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349</xdr:row>
      <xdr:rowOff>39688</xdr:rowOff>
    </xdr:from>
    <xdr:to>
      <xdr:col>6</xdr:col>
      <xdr:colOff>346075</xdr:colOff>
      <xdr:row>349</xdr:row>
      <xdr:rowOff>293688</xdr:rowOff>
    </xdr:to>
    <xdr:pic>
      <xdr:nvPicPr>
        <xdr:cNvPr id="54111" name="Picture 54110">
          <a:extLst>
            <a:ext uri="{FF2B5EF4-FFF2-40B4-BE49-F238E27FC236}">
              <a16:creationId xmlns:a16="http://schemas.microsoft.com/office/drawing/2014/main" id="{00000000-0008-0000-0B00-00005F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81877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351</xdr:row>
      <xdr:rowOff>39688</xdr:rowOff>
    </xdr:from>
    <xdr:to>
      <xdr:col>2</xdr:col>
      <xdr:colOff>312738</xdr:colOff>
      <xdr:row>351</xdr:row>
      <xdr:rowOff>293688</xdr:rowOff>
    </xdr:to>
    <xdr:pic>
      <xdr:nvPicPr>
        <xdr:cNvPr id="54114" name="Picture 54113">
          <a:extLst>
            <a:ext uri="{FF2B5EF4-FFF2-40B4-BE49-F238E27FC236}">
              <a16:creationId xmlns:a16="http://schemas.microsoft.com/office/drawing/2014/main" id="{00000000-0008-0000-0B00-000062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88545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351</xdr:row>
      <xdr:rowOff>39688</xdr:rowOff>
    </xdr:from>
    <xdr:to>
      <xdr:col>6</xdr:col>
      <xdr:colOff>346075</xdr:colOff>
      <xdr:row>351</xdr:row>
      <xdr:rowOff>293688</xdr:rowOff>
    </xdr:to>
    <xdr:pic>
      <xdr:nvPicPr>
        <xdr:cNvPr id="54117" name="Picture 54116">
          <a:extLst>
            <a:ext uri="{FF2B5EF4-FFF2-40B4-BE49-F238E27FC236}">
              <a16:creationId xmlns:a16="http://schemas.microsoft.com/office/drawing/2014/main" id="{00000000-0008-0000-0B00-000065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88545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352</xdr:row>
      <xdr:rowOff>39688</xdr:rowOff>
    </xdr:from>
    <xdr:to>
      <xdr:col>2</xdr:col>
      <xdr:colOff>312738</xdr:colOff>
      <xdr:row>352</xdr:row>
      <xdr:rowOff>293688</xdr:rowOff>
    </xdr:to>
    <xdr:pic>
      <xdr:nvPicPr>
        <xdr:cNvPr id="54120" name="Picture 54119">
          <a:extLst>
            <a:ext uri="{FF2B5EF4-FFF2-40B4-BE49-F238E27FC236}">
              <a16:creationId xmlns:a16="http://schemas.microsoft.com/office/drawing/2014/main" id="{00000000-0008-0000-0B00-000068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191879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352</xdr:row>
      <xdr:rowOff>39688</xdr:rowOff>
    </xdr:from>
    <xdr:to>
      <xdr:col>6</xdr:col>
      <xdr:colOff>346075</xdr:colOff>
      <xdr:row>352</xdr:row>
      <xdr:rowOff>293688</xdr:rowOff>
    </xdr:to>
    <xdr:pic>
      <xdr:nvPicPr>
        <xdr:cNvPr id="54123" name="Picture 54122">
          <a:extLst>
            <a:ext uri="{FF2B5EF4-FFF2-40B4-BE49-F238E27FC236}">
              <a16:creationId xmlns:a16="http://schemas.microsoft.com/office/drawing/2014/main" id="{00000000-0008-0000-0B00-00006B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191879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356</xdr:row>
      <xdr:rowOff>39688</xdr:rowOff>
    </xdr:from>
    <xdr:to>
      <xdr:col>2</xdr:col>
      <xdr:colOff>312738</xdr:colOff>
      <xdr:row>356</xdr:row>
      <xdr:rowOff>293688</xdr:rowOff>
    </xdr:to>
    <xdr:pic>
      <xdr:nvPicPr>
        <xdr:cNvPr id="54126" name="Picture 54125">
          <a:extLst>
            <a:ext uri="{FF2B5EF4-FFF2-40B4-BE49-F238E27FC236}">
              <a16:creationId xmlns:a16="http://schemas.microsoft.com/office/drawing/2014/main" id="{00000000-0008-0000-0B00-00006E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05880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356</xdr:row>
      <xdr:rowOff>39688</xdr:rowOff>
    </xdr:from>
    <xdr:to>
      <xdr:col>6</xdr:col>
      <xdr:colOff>346075</xdr:colOff>
      <xdr:row>356</xdr:row>
      <xdr:rowOff>293688</xdr:rowOff>
    </xdr:to>
    <xdr:pic>
      <xdr:nvPicPr>
        <xdr:cNvPr id="54129" name="Picture 54128">
          <a:extLst>
            <a:ext uri="{FF2B5EF4-FFF2-40B4-BE49-F238E27FC236}">
              <a16:creationId xmlns:a16="http://schemas.microsoft.com/office/drawing/2014/main" id="{00000000-0008-0000-0B00-000071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05880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358</xdr:row>
      <xdr:rowOff>39688</xdr:rowOff>
    </xdr:from>
    <xdr:to>
      <xdr:col>2</xdr:col>
      <xdr:colOff>312738</xdr:colOff>
      <xdr:row>358</xdr:row>
      <xdr:rowOff>293688</xdr:rowOff>
    </xdr:to>
    <xdr:pic>
      <xdr:nvPicPr>
        <xdr:cNvPr id="54132" name="Picture 54131">
          <a:extLst>
            <a:ext uri="{FF2B5EF4-FFF2-40B4-BE49-F238E27FC236}">
              <a16:creationId xmlns:a16="http://schemas.microsoft.com/office/drawing/2014/main" id="{00000000-0008-0000-0B00-000074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12548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358</xdr:row>
      <xdr:rowOff>39688</xdr:rowOff>
    </xdr:from>
    <xdr:to>
      <xdr:col>6</xdr:col>
      <xdr:colOff>346075</xdr:colOff>
      <xdr:row>358</xdr:row>
      <xdr:rowOff>293688</xdr:rowOff>
    </xdr:to>
    <xdr:pic>
      <xdr:nvPicPr>
        <xdr:cNvPr id="54135" name="Picture 54134">
          <a:extLst>
            <a:ext uri="{FF2B5EF4-FFF2-40B4-BE49-F238E27FC236}">
              <a16:creationId xmlns:a16="http://schemas.microsoft.com/office/drawing/2014/main" id="{00000000-0008-0000-0B00-000077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12548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359</xdr:row>
      <xdr:rowOff>39688</xdr:rowOff>
    </xdr:from>
    <xdr:to>
      <xdr:col>2</xdr:col>
      <xdr:colOff>312738</xdr:colOff>
      <xdr:row>359</xdr:row>
      <xdr:rowOff>293688</xdr:rowOff>
    </xdr:to>
    <xdr:pic>
      <xdr:nvPicPr>
        <xdr:cNvPr id="54138" name="Picture 54137">
          <a:extLst>
            <a:ext uri="{FF2B5EF4-FFF2-40B4-BE49-F238E27FC236}">
              <a16:creationId xmlns:a16="http://schemas.microsoft.com/office/drawing/2014/main" id="{00000000-0008-0000-0B00-00007A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15882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359</xdr:row>
      <xdr:rowOff>39688</xdr:rowOff>
    </xdr:from>
    <xdr:to>
      <xdr:col>6</xdr:col>
      <xdr:colOff>346075</xdr:colOff>
      <xdr:row>359</xdr:row>
      <xdr:rowOff>293688</xdr:rowOff>
    </xdr:to>
    <xdr:pic>
      <xdr:nvPicPr>
        <xdr:cNvPr id="54141" name="Picture 54140">
          <a:extLst>
            <a:ext uri="{FF2B5EF4-FFF2-40B4-BE49-F238E27FC236}">
              <a16:creationId xmlns:a16="http://schemas.microsoft.com/office/drawing/2014/main" id="{00000000-0008-0000-0B00-00007D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15882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360</xdr:row>
      <xdr:rowOff>39688</xdr:rowOff>
    </xdr:from>
    <xdr:to>
      <xdr:col>2</xdr:col>
      <xdr:colOff>312738</xdr:colOff>
      <xdr:row>360</xdr:row>
      <xdr:rowOff>293688</xdr:rowOff>
    </xdr:to>
    <xdr:pic>
      <xdr:nvPicPr>
        <xdr:cNvPr id="54144" name="Picture 54143">
          <a:extLst>
            <a:ext uri="{FF2B5EF4-FFF2-40B4-BE49-F238E27FC236}">
              <a16:creationId xmlns:a16="http://schemas.microsoft.com/office/drawing/2014/main" id="{00000000-0008-0000-0B00-000080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19215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360</xdr:row>
      <xdr:rowOff>39688</xdr:rowOff>
    </xdr:from>
    <xdr:to>
      <xdr:col>6</xdr:col>
      <xdr:colOff>346075</xdr:colOff>
      <xdr:row>360</xdr:row>
      <xdr:rowOff>293688</xdr:rowOff>
    </xdr:to>
    <xdr:pic>
      <xdr:nvPicPr>
        <xdr:cNvPr id="54147" name="Picture 54146">
          <a:extLst>
            <a:ext uri="{FF2B5EF4-FFF2-40B4-BE49-F238E27FC236}">
              <a16:creationId xmlns:a16="http://schemas.microsoft.com/office/drawing/2014/main" id="{00000000-0008-0000-0B00-000083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19215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361</xdr:row>
      <xdr:rowOff>39688</xdr:rowOff>
    </xdr:from>
    <xdr:to>
      <xdr:col>2</xdr:col>
      <xdr:colOff>312738</xdr:colOff>
      <xdr:row>361</xdr:row>
      <xdr:rowOff>293688</xdr:rowOff>
    </xdr:to>
    <xdr:pic>
      <xdr:nvPicPr>
        <xdr:cNvPr id="54150" name="Picture 54149">
          <a:extLst>
            <a:ext uri="{FF2B5EF4-FFF2-40B4-BE49-F238E27FC236}">
              <a16:creationId xmlns:a16="http://schemas.microsoft.com/office/drawing/2014/main" id="{00000000-0008-0000-0B00-000086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22549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361</xdr:row>
      <xdr:rowOff>39688</xdr:rowOff>
    </xdr:from>
    <xdr:to>
      <xdr:col>6</xdr:col>
      <xdr:colOff>346075</xdr:colOff>
      <xdr:row>361</xdr:row>
      <xdr:rowOff>293688</xdr:rowOff>
    </xdr:to>
    <xdr:pic>
      <xdr:nvPicPr>
        <xdr:cNvPr id="54153" name="Picture 54152">
          <a:extLst>
            <a:ext uri="{FF2B5EF4-FFF2-40B4-BE49-F238E27FC236}">
              <a16:creationId xmlns:a16="http://schemas.microsoft.com/office/drawing/2014/main" id="{00000000-0008-0000-0B00-000089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22549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362</xdr:row>
      <xdr:rowOff>39688</xdr:rowOff>
    </xdr:from>
    <xdr:to>
      <xdr:col>2</xdr:col>
      <xdr:colOff>312738</xdr:colOff>
      <xdr:row>362</xdr:row>
      <xdr:rowOff>293688</xdr:rowOff>
    </xdr:to>
    <xdr:pic>
      <xdr:nvPicPr>
        <xdr:cNvPr id="54156" name="Picture 54155">
          <a:extLst>
            <a:ext uri="{FF2B5EF4-FFF2-40B4-BE49-F238E27FC236}">
              <a16:creationId xmlns:a16="http://schemas.microsoft.com/office/drawing/2014/main" id="{00000000-0008-0000-0B00-00008C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25883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362</xdr:row>
      <xdr:rowOff>39688</xdr:rowOff>
    </xdr:from>
    <xdr:to>
      <xdr:col>6</xdr:col>
      <xdr:colOff>346075</xdr:colOff>
      <xdr:row>362</xdr:row>
      <xdr:rowOff>293688</xdr:rowOff>
    </xdr:to>
    <xdr:pic>
      <xdr:nvPicPr>
        <xdr:cNvPr id="54159" name="Picture 54158">
          <a:extLst>
            <a:ext uri="{FF2B5EF4-FFF2-40B4-BE49-F238E27FC236}">
              <a16:creationId xmlns:a16="http://schemas.microsoft.com/office/drawing/2014/main" id="{00000000-0008-0000-0B00-00008F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25883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363</xdr:row>
      <xdr:rowOff>39688</xdr:rowOff>
    </xdr:from>
    <xdr:to>
      <xdr:col>2</xdr:col>
      <xdr:colOff>312738</xdr:colOff>
      <xdr:row>363</xdr:row>
      <xdr:rowOff>293688</xdr:rowOff>
    </xdr:to>
    <xdr:pic>
      <xdr:nvPicPr>
        <xdr:cNvPr id="54162" name="Picture 54161">
          <a:extLst>
            <a:ext uri="{FF2B5EF4-FFF2-40B4-BE49-F238E27FC236}">
              <a16:creationId xmlns:a16="http://schemas.microsoft.com/office/drawing/2014/main" id="{00000000-0008-0000-0B00-000092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29217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363</xdr:row>
      <xdr:rowOff>39688</xdr:rowOff>
    </xdr:from>
    <xdr:to>
      <xdr:col>6</xdr:col>
      <xdr:colOff>346075</xdr:colOff>
      <xdr:row>363</xdr:row>
      <xdr:rowOff>293688</xdr:rowOff>
    </xdr:to>
    <xdr:pic>
      <xdr:nvPicPr>
        <xdr:cNvPr id="54165" name="Picture 54164">
          <a:extLst>
            <a:ext uri="{FF2B5EF4-FFF2-40B4-BE49-F238E27FC236}">
              <a16:creationId xmlns:a16="http://schemas.microsoft.com/office/drawing/2014/main" id="{00000000-0008-0000-0B00-000095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29217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365</xdr:row>
      <xdr:rowOff>39688</xdr:rowOff>
    </xdr:from>
    <xdr:to>
      <xdr:col>2</xdr:col>
      <xdr:colOff>312738</xdr:colOff>
      <xdr:row>365</xdr:row>
      <xdr:rowOff>293688</xdr:rowOff>
    </xdr:to>
    <xdr:pic>
      <xdr:nvPicPr>
        <xdr:cNvPr id="54168" name="Picture 54167">
          <a:extLst>
            <a:ext uri="{FF2B5EF4-FFF2-40B4-BE49-F238E27FC236}">
              <a16:creationId xmlns:a16="http://schemas.microsoft.com/office/drawing/2014/main" id="{00000000-0008-0000-0B00-000098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35884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365</xdr:row>
      <xdr:rowOff>39688</xdr:rowOff>
    </xdr:from>
    <xdr:to>
      <xdr:col>6</xdr:col>
      <xdr:colOff>346075</xdr:colOff>
      <xdr:row>365</xdr:row>
      <xdr:rowOff>293688</xdr:rowOff>
    </xdr:to>
    <xdr:pic>
      <xdr:nvPicPr>
        <xdr:cNvPr id="54171" name="Picture 54170">
          <a:extLst>
            <a:ext uri="{FF2B5EF4-FFF2-40B4-BE49-F238E27FC236}">
              <a16:creationId xmlns:a16="http://schemas.microsoft.com/office/drawing/2014/main" id="{00000000-0008-0000-0B00-00009B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35884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369</xdr:row>
      <xdr:rowOff>39688</xdr:rowOff>
    </xdr:from>
    <xdr:to>
      <xdr:col>2</xdr:col>
      <xdr:colOff>312738</xdr:colOff>
      <xdr:row>369</xdr:row>
      <xdr:rowOff>293688</xdr:rowOff>
    </xdr:to>
    <xdr:pic>
      <xdr:nvPicPr>
        <xdr:cNvPr id="54174" name="Picture 54173">
          <a:extLst>
            <a:ext uri="{FF2B5EF4-FFF2-40B4-BE49-F238E27FC236}">
              <a16:creationId xmlns:a16="http://schemas.microsoft.com/office/drawing/2014/main" id="{00000000-0008-0000-0B00-00009E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49886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369</xdr:row>
      <xdr:rowOff>39688</xdr:rowOff>
    </xdr:from>
    <xdr:to>
      <xdr:col>6</xdr:col>
      <xdr:colOff>346075</xdr:colOff>
      <xdr:row>369</xdr:row>
      <xdr:rowOff>293688</xdr:rowOff>
    </xdr:to>
    <xdr:pic>
      <xdr:nvPicPr>
        <xdr:cNvPr id="54177" name="Picture 54176">
          <a:extLst>
            <a:ext uri="{FF2B5EF4-FFF2-40B4-BE49-F238E27FC236}">
              <a16:creationId xmlns:a16="http://schemas.microsoft.com/office/drawing/2014/main" id="{00000000-0008-0000-0B00-0000A1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49886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370</xdr:row>
      <xdr:rowOff>39688</xdr:rowOff>
    </xdr:from>
    <xdr:to>
      <xdr:col>2</xdr:col>
      <xdr:colOff>312738</xdr:colOff>
      <xdr:row>370</xdr:row>
      <xdr:rowOff>293688</xdr:rowOff>
    </xdr:to>
    <xdr:pic>
      <xdr:nvPicPr>
        <xdr:cNvPr id="54180" name="Picture 54179">
          <a:extLst>
            <a:ext uri="{FF2B5EF4-FFF2-40B4-BE49-F238E27FC236}">
              <a16:creationId xmlns:a16="http://schemas.microsoft.com/office/drawing/2014/main" id="{00000000-0008-0000-0B00-0000A4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53220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370</xdr:row>
      <xdr:rowOff>39688</xdr:rowOff>
    </xdr:from>
    <xdr:to>
      <xdr:col>6</xdr:col>
      <xdr:colOff>346075</xdr:colOff>
      <xdr:row>370</xdr:row>
      <xdr:rowOff>293688</xdr:rowOff>
    </xdr:to>
    <xdr:pic>
      <xdr:nvPicPr>
        <xdr:cNvPr id="54183" name="Picture 54182">
          <a:extLst>
            <a:ext uri="{FF2B5EF4-FFF2-40B4-BE49-F238E27FC236}">
              <a16:creationId xmlns:a16="http://schemas.microsoft.com/office/drawing/2014/main" id="{00000000-0008-0000-0B00-0000A7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53220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374</xdr:row>
      <xdr:rowOff>39688</xdr:rowOff>
    </xdr:from>
    <xdr:to>
      <xdr:col>2</xdr:col>
      <xdr:colOff>312738</xdr:colOff>
      <xdr:row>374</xdr:row>
      <xdr:rowOff>293688</xdr:rowOff>
    </xdr:to>
    <xdr:pic>
      <xdr:nvPicPr>
        <xdr:cNvPr id="54186" name="Picture 54185">
          <a:extLst>
            <a:ext uri="{FF2B5EF4-FFF2-40B4-BE49-F238E27FC236}">
              <a16:creationId xmlns:a16="http://schemas.microsoft.com/office/drawing/2014/main" id="{00000000-0008-0000-0B00-0000AA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67221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374</xdr:row>
      <xdr:rowOff>39688</xdr:rowOff>
    </xdr:from>
    <xdr:to>
      <xdr:col>6</xdr:col>
      <xdr:colOff>346075</xdr:colOff>
      <xdr:row>374</xdr:row>
      <xdr:rowOff>293688</xdr:rowOff>
    </xdr:to>
    <xdr:pic>
      <xdr:nvPicPr>
        <xdr:cNvPr id="54189" name="Picture 54188">
          <a:extLst>
            <a:ext uri="{FF2B5EF4-FFF2-40B4-BE49-F238E27FC236}">
              <a16:creationId xmlns:a16="http://schemas.microsoft.com/office/drawing/2014/main" id="{00000000-0008-0000-0B00-0000AD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67221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375</xdr:row>
      <xdr:rowOff>39688</xdr:rowOff>
    </xdr:from>
    <xdr:to>
      <xdr:col>2</xdr:col>
      <xdr:colOff>312738</xdr:colOff>
      <xdr:row>375</xdr:row>
      <xdr:rowOff>293688</xdr:rowOff>
    </xdr:to>
    <xdr:pic>
      <xdr:nvPicPr>
        <xdr:cNvPr id="54192" name="Picture 54191">
          <a:extLst>
            <a:ext uri="{FF2B5EF4-FFF2-40B4-BE49-F238E27FC236}">
              <a16:creationId xmlns:a16="http://schemas.microsoft.com/office/drawing/2014/main" id="{00000000-0008-0000-0B00-0000B0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70555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375</xdr:row>
      <xdr:rowOff>39688</xdr:rowOff>
    </xdr:from>
    <xdr:to>
      <xdr:col>6</xdr:col>
      <xdr:colOff>346075</xdr:colOff>
      <xdr:row>375</xdr:row>
      <xdr:rowOff>293688</xdr:rowOff>
    </xdr:to>
    <xdr:pic>
      <xdr:nvPicPr>
        <xdr:cNvPr id="54195" name="Picture 54194">
          <a:extLst>
            <a:ext uri="{FF2B5EF4-FFF2-40B4-BE49-F238E27FC236}">
              <a16:creationId xmlns:a16="http://schemas.microsoft.com/office/drawing/2014/main" id="{00000000-0008-0000-0B00-0000B3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70555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376</xdr:row>
      <xdr:rowOff>39688</xdr:rowOff>
    </xdr:from>
    <xdr:to>
      <xdr:col>2</xdr:col>
      <xdr:colOff>312738</xdr:colOff>
      <xdr:row>376</xdr:row>
      <xdr:rowOff>293688</xdr:rowOff>
    </xdr:to>
    <xdr:pic>
      <xdr:nvPicPr>
        <xdr:cNvPr id="54198" name="Picture 54197">
          <a:extLst>
            <a:ext uri="{FF2B5EF4-FFF2-40B4-BE49-F238E27FC236}">
              <a16:creationId xmlns:a16="http://schemas.microsoft.com/office/drawing/2014/main" id="{00000000-0008-0000-0B00-0000B6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73889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376</xdr:row>
      <xdr:rowOff>39688</xdr:rowOff>
    </xdr:from>
    <xdr:to>
      <xdr:col>6</xdr:col>
      <xdr:colOff>346075</xdr:colOff>
      <xdr:row>376</xdr:row>
      <xdr:rowOff>293688</xdr:rowOff>
    </xdr:to>
    <xdr:pic>
      <xdr:nvPicPr>
        <xdr:cNvPr id="54201" name="Picture 54200">
          <a:extLst>
            <a:ext uri="{FF2B5EF4-FFF2-40B4-BE49-F238E27FC236}">
              <a16:creationId xmlns:a16="http://schemas.microsoft.com/office/drawing/2014/main" id="{00000000-0008-0000-0B00-0000B9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73889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377</xdr:row>
      <xdr:rowOff>39688</xdr:rowOff>
    </xdr:from>
    <xdr:to>
      <xdr:col>2</xdr:col>
      <xdr:colOff>312738</xdr:colOff>
      <xdr:row>377</xdr:row>
      <xdr:rowOff>293688</xdr:rowOff>
    </xdr:to>
    <xdr:pic>
      <xdr:nvPicPr>
        <xdr:cNvPr id="54204" name="Picture 54203">
          <a:extLst>
            <a:ext uri="{FF2B5EF4-FFF2-40B4-BE49-F238E27FC236}">
              <a16:creationId xmlns:a16="http://schemas.microsoft.com/office/drawing/2014/main" id="{00000000-0008-0000-0B00-0000BC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77223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377</xdr:row>
      <xdr:rowOff>39688</xdr:rowOff>
    </xdr:from>
    <xdr:to>
      <xdr:col>6</xdr:col>
      <xdr:colOff>346075</xdr:colOff>
      <xdr:row>377</xdr:row>
      <xdr:rowOff>293688</xdr:rowOff>
    </xdr:to>
    <xdr:pic>
      <xdr:nvPicPr>
        <xdr:cNvPr id="54207" name="Picture 54206">
          <a:extLst>
            <a:ext uri="{FF2B5EF4-FFF2-40B4-BE49-F238E27FC236}">
              <a16:creationId xmlns:a16="http://schemas.microsoft.com/office/drawing/2014/main" id="{00000000-0008-0000-0B00-0000BF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77223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378</xdr:row>
      <xdr:rowOff>39688</xdr:rowOff>
    </xdr:from>
    <xdr:to>
      <xdr:col>2</xdr:col>
      <xdr:colOff>312738</xdr:colOff>
      <xdr:row>378</xdr:row>
      <xdr:rowOff>293688</xdr:rowOff>
    </xdr:to>
    <xdr:pic>
      <xdr:nvPicPr>
        <xdr:cNvPr id="54210" name="Picture 54209">
          <a:extLst>
            <a:ext uri="{FF2B5EF4-FFF2-40B4-BE49-F238E27FC236}">
              <a16:creationId xmlns:a16="http://schemas.microsoft.com/office/drawing/2014/main" id="{00000000-0008-0000-0B00-0000C2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80556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378</xdr:row>
      <xdr:rowOff>39688</xdr:rowOff>
    </xdr:from>
    <xdr:to>
      <xdr:col>6</xdr:col>
      <xdr:colOff>346075</xdr:colOff>
      <xdr:row>378</xdr:row>
      <xdr:rowOff>293688</xdr:rowOff>
    </xdr:to>
    <xdr:pic>
      <xdr:nvPicPr>
        <xdr:cNvPr id="54213" name="Picture 54212">
          <a:extLst>
            <a:ext uri="{FF2B5EF4-FFF2-40B4-BE49-F238E27FC236}">
              <a16:creationId xmlns:a16="http://schemas.microsoft.com/office/drawing/2014/main" id="{00000000-0008-0000-0B00-0000C5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80556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379</xdr:row>
      <xdr:rowOff>39688</xdr:rowOff>
    </xdr:from>
    <xdr:to>
      <xdr:col>2</xdr:col>
      <xdr:colOff>312738</xdr:colOff>
      <xdr:row>379</xdr:row>
      <xdr:rowOff>293688</xdr:rowOff>
    </xdr:to>
    <xdr:pic>
      <xdr:nvPicPr>
        <xdr:cNvPr id="54216" name="Picture 54215">
          <a:extLst>
            <a:ext uri="{FF2B5EF4-FFF2-40B4-BE49-F238E27FC236}">
              <a16:creationId xmlns:a16="http://schemas.microsoft.com/office/drawing/2014/main" id="{00000000-0008-0000-0B00-0000C8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83890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379</xdr:row>
      <xdr:rowOff>39688</xdr:rowOff>
    </xdr:from>
    <xdr:to>
      <xdr:col>6</xdr:col>
      <xdr:colOff>346075</xdr:colOff>
      <xdr:row>379</xdr:row>
      <xdr:rowOff>293688</xdr:rowOff>
    </xdr:to>
    <xdr:pic>
      <xdr:nvPicPr>
        <xdr:cNvPr id="54219" name="Picture 54218">
          <a:extLst>
            <a:ext uri="{FF2B5EF4-FFF2-40B4-BE49-F238E27FC236}">
              <a16:creationId xmlns:a16="http://schemas.microsoft.com/office/drawing/2014/main" id="{00000000-0008-0000-0B00-0000CB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83890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380</xdr:row>
      <xdr:rowOff>39688</xdr:rowOff>
    </xdr:from>
    <xdr:to>
      <xdr:col>2</xdr:col>
      <xdr:colOff>312738</xdr:colOff>
      <xdr:row>380</xdr:row>
      <xdr:rowOff>293688</xdr:rowOff>
    </xdr:to>
    <xdr:pic>
      <xdr:nvPicPr>
        <xdr:cNvPr id="54222" name="Picture 54221">
          <a:extLst>
            <a:ext uri="{FF2B5EF4-FFF2-40B4-BE49-F238E27FC236}">
              <a16:creationId xmlns:a16="http://schemas.microsoft.com/office/drawing/2014/main" id="{00000000-0008-0000-0B00-0000CE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87224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380</xdr:row>
      <xdr:rowOff>39688</xdr:rowOff>
    </xdr:from>
    <xdr:to>
      <xdr:col>6</xdr:col>
      <xdr:colOff>346075</xdr:colOff>
      <xdr:row>380</xdr:row>
      <xdr:rowOff>293688</xdr:rowOff>
    </xdr:to>
    <xdr:pic>
      <xdr:nvPicPr>
        <xdr:cNvPr id="54225" name="Picture 54224">
          <a:extLst>
            <a:ext uri="{FF2B5EF4-FFF2-40B4-BE49-F238E27FC236}">
              <a16:creationId xmlns:a16="http://schemas.microsoft.com/office/drawing/2014/main" id="{00000000-0008-0000-0B00-0000D1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87224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382</xdr:row>
      <xdr:rowOff>39688</xdr:rowOff>
    </xdr:from>
    <xdr:to>
      <xdr:col>2</xdr:col>
      <xdr:colOff>312738</xdr:colOff>
      <xdr:row>382</xdr:row>
      <xdr:rowOff>293688</xdr:rowOff>
    </xdr:to>
    <xdr:pic>
      <xdr:nvPicPr>
        <xdr:cNvPr id="54228" name="Picture 54227">
          <a:extLst>
            <a:ext uri="{FF2B5EF4-FFF2-40B4-BE49-F238E27FC236}">
              <a16:creationId xmlns:a16="http://schemas.microsoft.com/office/drawing/2014/main" id="{00000000-0008-0000-0B00-0000D4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93891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382</xdr:row>
      <xdr:rowOff>39688</xdr:rowOff>
    </xdr:from>
    <xdr:to>
      <xdr:col>6</xdr:col>
      <xdr:colOff>346075</xdr:colOff>
      <xdr:row>382</xdr:row>
      <xdr:rowOff>293688</xdr:rowOff>
    </xdr:to>
    <xdr:pic>
      <xdr:nvPicPr>
        <xdr:cNvPr id="54231" name="Picture 54230">
          <a:extLst>
            <a:ext uri="{FF2B5EF4-FFF2-40B4-BE49-F238E27FC236}">
              <a16:creationId xmlns:a16="http://schemas.microsoft.com/office/drawing/2014/main" id="{00000000-0008-0000-0B00-0000D7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93891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383</xdr:row>
      <xdr:rowOff>39688</xdr:rowOff>
    </xdr:from>
    <xdr:to>
      <xdr:col>2</xdr:col>
      <xdr:colOff>312738</xdr:colOff>
      <xdr:row>383</xdr:row>
      <xdr:rowOff>293688</xdr:rowOff>
    </xdr:to>
    <xdr:pic>
      <xdr:nvPicPr>
        <xdr:cNvPr id="54234" name="Picture 54233">
          <a:extLst>
            <a:ext uri="{FF2B5EF4-FFF2-40B4-BE49-F238E27FC236}">
              <a16:creationId xmlns:a16="http://schemas.microsoft.com/office/drawing/2014/main" id="{00000000-0008-0000-0B00-0000DA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297225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383</xdr:row>
      <xdr:rowOff>39688</xdr:rowOff>
    </xdr:from>
    <xdr:to>
      <xdr:col>6</xdr:col>
      <xdr:colOff>346075</xdr:colOff>
      <xdr:row>383</xdr:row>
      <xdr:rowOff>293688</xdr:rowOff>
    </xdr:to>
    <xdr:pic>
      <xdr:nvPicPr>
        <xdr:cNvPr id="54237" name="Picture 54236">
          <a:extLst>
            <a:ext uri="{FF2B5EF4-FFF2-40B4-BE49-F238E27FC236}">
              <a16:creationId xmlns:a16="http://schemas.microsoft.com/office/drawing/2014/main" id="{00000000-0008-0000-0B00-0000DD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97225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385</xdr:row>
      <xdr:rowOff>39688</xdr:rowOff>
    </xdr:from>
    <xdr:to>
      <xdr:col>2</xdr:col>
      <xdr:colOff>312738</xdr:colOff>
      <xdr:row>385</xdr:row>
      <xdr:rowOff>293688</xdr:rowOff>
    </xdr:to>
    <xdr:pic>
      <xdr:nvPicPr>
        <xdr:cNvPr id="54240" name="Picture 54239">
          <a:extLst>
            <a:ext uri="{FF2B5EF4-FFF2-40B4-BE49-F238E27FC236}">
              <a16:creationId xmlns:a16="http://schemas.microsoft.com/office/drawing/2014/main" id="{00000000-0008-0000-0B00-0000E0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03893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385</xdr:row>
      <xdr:rowOff>39688</xdr:rowOff>
    </xdr:from>
    <xdr:to>
      <xdr:col>6</xdr:col>
      <xdr:colOff>346075</xdr:colOff>
      <xdr:row>385</xdr:row>
      <xdr:rowOff>293688</xdr:rowOff>
    </xdr:to>
    <xdr:pic>
      <xdr:nvPicPr>
        <xdr:cNvPr id="54243" name="Picture 54242">
          <a:extLst>
            <a:ext uri="{FF2B5EF4-FFF2-40B4-BE49-F238E27FC236}">
              <a16:creationId xmlns:a16="http://schemas.microsoft.com/office/drawing/2014/main" id="{00000000-0008-0000-0B00-0000E3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03893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389</xdr:row>
      <xdr:rowOff>39688</xdr:rowOff>
    </xdr:from>
    <xdr:to>
      <xdr:col>2</xdr:col>
      <xdr:colOff>312738</xdr:colOff>
      <xdr:row>389</xdr:row>
      <xdr:rowOff>293688</xdr:rowOff>
    </xdr:to>
    <xdr:pic>
      <xdr:nvPicPr>
        <xdr:cNvPr id="54246" name="Picture 54245">
          <a:extLst>
            <a:ext uri="{FF2B5EF4-FFF2-40B4-BE49-F238E27FC236}">
              <a16:creationId xmlns:a16="http://schemas.microsoft.com/office/drawing/2014/main" id="{00000000-0008-0000-0B00-0000E6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17894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389</xdr:row>
      <xdr:rowOff>39688</xdr:rowOff>
    </xdr:from>
    <xdr:to>
      <xdr:col>6</xdr:col>
      <xdr:colOff>346075</xdr:colOff>
      <xdr:row>389</xdr:row>
      <xdr:rowOff>293688</xdr:rowOff>
    </xdr:to>
    <xdr:pic>
      <xdr:nvPicPr>
        <xdr:cNvPr id="54249" name="Picture 54248">
          <a:extLst>
            <a:ext uri="{FF2B5EF4-FFF2-40B4-BE49-F238E27FC236}">
              <a16:creationId xmlns:a16="http://schemas.microsoft.com/office/drawing/2014/main" id="{00000000-0008-0000-0B00-0000E9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17894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390</xdr:row>
      <xdr:rowOff>39688</xdr:rowOff>
    </xdr:from>
    <xdr:to>
      <xdr:col>2</xdr:col>
      <xdr:colOff>312738</xdr:colOff>
      <xdr:row>390</xdr:row>
      <xdr:rowOff>293688</xdr:rowOff>
    </xdr:to>
    <xdr:pic>
      <xdr:nvPicPr>
        <xdr:cNvPr id="54252" name="Picture 54251">
          <a:extLst>
            <a:ext uri="{FF2B5EF4-FFF2-40B4-BE49-F238E27FC236}">
              <a16:creationId xmlns:a16="http://schemas.microsoft.com/office/drawing/2014/main" id="{00000000-0008-0000-0B00-0000EC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21228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390</xdr:row>
      <xdr:rowOff>39688</xdr:rowOff>
    </xdr:from>
    <xdr:to>
      <xdr:col>6</xdr:col>
      <xdr:colOff>346075</xdr:colOff>
      <xdr:row>390</xdr:row>
      <xdr:rowOff>293688</xdr:rowOff>
    </xdr:to>
    <xdr:pic>
      <xdr:nvPicPr>
        <xdr:cNvPr id="54255" name="Picture 54254">
          <a:extLst>
            <a:ext uri="{FF2B5EF4-FFF2-40B4-BE49-F238E27FC236}">
              <a16:creationId xmlns:a16="http://schemas.microsoft.com/office/drawing/2014/main" id="{00000000-0008-0000-0B00-0000EF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21228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391</xdr:row>
      <xdr:rowOff>39688</xdr:rowOff>
    </xdr:from>
    <xdr:to>
      <xdr:col>2</xdr:col>
      <xdr:colOff>312738</xdr:colOff>
      <xdr:row>391</xdr:row>
      <xdr:rowOff>293688</xdr:rowOff>
    </xdr:to>
    <xdr:pic>
      <xdr:nvPicPr>
        <xdr:cNvPr id="54258" name="Picture 54257">
          <a:extLst>
            <a:ext uri="{FF2B5EF4-FFF2-40B4-BE49-F238E27FC236}">
              <a16:creationId xmlns:a16="http://schemas.microsoft.com/office/drawing/2014/main" id="{00000000-0008-0000-0B00-0000F2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24562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391</xdr:row>
      <xdr:rowOff>39688</xdr:rowOff>
    </xdr:from>
    <xdr:to>
      <xdr:col>6</xdr:col>
      <xdr:colOff>346075</xdr:colOff>
      <xdr:row>391</xdr:row>
      <xdr:rowOff>293688</xdr:rowOff>
    </xdr:to>
    <xdr:pic>
      <xdr:nvPicPr>
        <xdr:cNvPr id="54261" name="Picture 54260">
          <a:extLst>
            <a:ext uri="{FF2B5EF4-FFF2-40B4-BE49-F238E27FC236}">
              <a16:creationId xmlns:a16="http://schemas.microsoft.com/office/drawing/2014/main" id="{00000000-0008-0000-0B00-0000F5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24562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392</xdr:row>
      <xdr:rowOff>39688</xdr:rowOff>
    </xdr:from>
    <xdr:to>
      <xdr:col>2</xdr:col>
      <xdr:colOff>312738</xdr:colOff>
      <xdr:row>392</xdr:row>
      <xdr:rowOff>293688</xdr:rowOff>
    </xdr:to>
    <xdr:pic>
      <xdr:nvPicPr>
        <xdr:cNvPr id="54264" name="Picture 54263">
          <a:extLst>
            <a:ext uri="{FF2B5EF4-FFF2-40B4-BE49-F238E27FC236}">
              <a16:creationId xmlns:a16="http://schemas.microsoft.com/office/drawing/2014/main" id="{00000000-0008-0000-0B00-0000F8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27896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392</xdr:row>
      <xdr:rowOff>39688</xdr:rowOff>
    </xdr:from>
    <xdr:to>
      <xdr:col>6</xdr:col>
      <xdr:colOff>346075</xdr:colOff>
      <xdr:row>392</xdr:row>
      <xdr:rowOff>293688</xdr:rowOff>
    </xdr:to>
    <xdr:pic>
      <xdr:nvPicPr>
        <xdr:cNvPr id="54267" name="Picture 54266">
          <a:extLst>
            <a:ext uri="{FF2B5EF4-FFF2-40B4-BE49-F238E27FC236}">
              <a16:creationId xmlns:a16="http://schemas.microsoft.com/office/drawing/2014/main" id="{00000000-0008-0000-0B00-0000FB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27896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393</xdr:row>
      <xdr:rowOff>39688</xdr:rowOff>
    </xdr:from>
    <xdr:to>
      <xdr:col>2</xdr:col>
      <xdr:colOff>312738</xdr:colOff>
      <xdr:row>393</xdr:row>
      <xdr:rowOff>293688</xdr:rowOff>
    </xdr:to>
    <xdr:pic>
      <xdr:nvPicPr>
        <xdr:cNvPr id="54270" name="Picture 54269">
          <a:extLst>
            <a:ext uri="{FF2B5EF4-FFF2-40B4-BE49-F238E27FC236}">
              <a16:creationId xmlns:a16="http://schemas.microsoft.com/office/drawing/2014/main" id="{00000000-0008-0000-0B00-0000FED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31229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393</xdr:row>
      <xdr:rowOff>39688</xdr:rowOff>
    </xdr:from>
    <xdr:to>
      <xdr:col>6</xdr:col>
      <xdr:colOff>346075</xdr:colOff>
      <xdr:row>393</xdr:row>
      <xdr:rowOff>293688</xdr:rowOff>
    </xdr:to>
    <xdr:pic>
      <xdr:nvPicPr>
        <xdr:cNvPr id="54273" name="Picture 54272">
          <a:extLst>
            <a:ext uri="{FF2B5EF4-FFF2-40B4-BE49-F238E27FC236}">
              <a16:creationId xmlns:a16="http://schemas.microsoft.com/office/drawing/2014/main" id="{00000000-0008-0000-0B00-000001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31229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394</xdr:row>
      <xdr:rowOff>39688</xdr:rowOff>
    </xdr:from>
    <xdr:to>
      <xdr:col>2</xdr:col>
      <xdr:colOff>312738</xdr:colOff>
      <xdr:row>394</xdr:row>
      <xdr:rowOff>293688</xdr:rowOff>
    </xdr:to>
    <xdr:pic>
      <xdr:nvPicPr>
        <xdr:cNvPr id="54276" name="Picture 54275">
          <a:extLst>
            <a:ext uri="{FF2B5EF4-FFF2-40B4-BE49-F238E27FC236}">
              <a16:creationId xmlns:a16="http://schemas.microsoft.com/office/drawing/2014/main" id="{00000000-0008-0000-0B00-000004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34563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394</xdr:row>
      <xdr:rowOff>39688</xdr:rowOff>
    </xdr:from>
    <xdr:to>
      <xdr:col>6</xdr:col>
      <xdr:colOff>346075</xdr:colOff>
      <xdr:row>394</xdr:row>
      <xdr:rowOff>293688</xdr:rowOff>
    </xdr:to>
    <xdr:pic>
      <xdr:nvPicPr>
        <xdr:cNvPr id="54279" name="Picture 54278">
          <a:extLst>
            <a:ext uri="{FF2B5EF4-FFF2-40B4-BE49-F238E27FC236}">
              <a16:creationId xmlns:a16="http://schemas.microsoft.com/office/drawing/2014/main" id="{00000000-0008-0000-0B00-000007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34563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396</xdr:row>
      <xdr:rowOff>39688</xdr:rowOff>
    </xdr:from>
    <xdr:to>
      <xdr:col>2</xdr:col>
      <xdr:colOff>312738</xdr:colOff>
      <xdr:row>396</xdr:row>
      <xdr:rowOff>293688</xdr:rowOff>
    </xdr:to>
    <xdr:pic>
      <xdr:nvPicPr>
        <xdr:cNvPr id="54282" name="Picture 54281">
          <a:extLst>
            <a:ext uri="{FF2B5EF4-FFF2-40B4-BE49-F238E27FC236}">
              <a16:creationId xmlns:a16="http://schemas.microsoft.com/office/drawing/2014/main" id="{00000000-0008-0000-0B00-00000A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41231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396</xdr:row>
      <xdr:rowOff>39688</xdr:rowOff>
    </xdr:from>
    <xdr:to>
      <xdr:col>6</xdr:col>
      <xdr:colOff>346075</xdr:colOff>
      <xdr:row>396</xdr:row>
      <xdr:rowOff>293688</xdr:rowOff>
    </xdr:to>
    <xdr:pic>
      <xdr:nvPicPr>
        <xdr:cNvPr id="54285" name="Picture 54284">
          <a:extLst>
            <a:ext uri="{FF2B5EF4-FFF2-40B4-BE49-F238E27FC236}">
              <a16:creationId xmlns:a16="http://schemas.microsoft.com/office/drawing/2014/main" id="{00000000-0008-0000-0B00-00000D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41231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397</xdr:row>
      <xdr:rowOff>39688</xdr:rowOff>
    </xdr:from>
    <xdr:to>
      <xdr:col>2</xdr:col>
      <xdr:colOff>312738</xdr:colOff>
      <xdr:row>397</xdr:row>
      <xdr:rowOff>293688</xdr:rowOff>
    </xdr:to>
    <xdr:pic>
      <xdr:nvPicPr>
        <xdr:cNvPr id="54288" name="Picture 54287">
          <a:extLst>
            <a:ext uri="{FF2B5EF4-FFF2-40B4-BE49-F238E27FC236}">
              <a16:creationId xmlns:a16="http://schemas.microsoft.com/office/drawing/2014/main" id="{00000000-0008-0000-0B00-000010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44564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397</xdr:row>
      <xdr:rowOff>39688</xdr:rowOff>
    </xdr:from>
    <xdr:to>
      <xdr:col>6</xdr:col>
      <xdr:colOff>346075</xdr:colOff>
      <xdr:row>397</xdr:row>
      <xdr:rowOff>293688</xdr:rowOff>
    </xdr:to>
    <xdr:pic>
      <xdr:nvPicPr>
        <xdr:cNvPr id="54291" name="Picture 54290">
          <a:extLst>
            <a:ext uri="{FF2B5EF4-FFF2-40B4-BE49-F238E27FC236}">
              <a16:creationId xmlns:a16="http://schemas.microsoft.com/office/drawing/2014/main" id="{00000000-0008-0000-0B00-000013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44564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398</xdr:row>
      <xdr:rowOff>39688</xdr:rowOff>
    </xdr:from>
    <xdr:to>
      <xdr:col>2</xdr:col>
      <xdr:colOff>312738</xdr:colOff>
      <xdr:row>398</xdr:row>
      <xdr:rowOff>293688</xdr:rowOff>
    </xdr:to>
    <xdr:pic>
      <xdr:nvPicPr>
        <xdr:cNvPr id="54294" name="Picture 54293">
          <a:extLst>
            <a:ext uri="{FF2B5EF4-FFF2-40B4-BE49-F238E27FC236}">
              <a16:creationId xmlns:a16="http://schemas.microsoft.com/office/drawing/2014/main" id="{00000000-0008-0000-0B00-000016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47898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398</xdr:row>
      <xdr:rowOff>39688</xdr:rowOff>
    </xdr:from>
    <xdr:to>
      <xdr:col>6</xdr:col>
      <xdr:colOff>346075</xdr:colOff>
      <xdr:row>398</xdr:row>
      <xdr:rowOff>293688</xdr:rowOff>
    </xdr:to>
    <xdr:pic>
      <xdr:nvPicPr>
        <xdr:cNvPr id="54297" name="Picture 54296">
          <a:extLst>
            <a:ext uri="{FF2B5EF4-FFF2-40B4-BE49-F238E27FC236}">
              <a16:creationId xmlns:a16="http://schemas.microsoft.com/office/drawing/2014/main" id="{00000000-0008-0000-0B00-000019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47898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399</xdr:row>
      <xdr:rowOff>39688</xdr:rowOff>
    </xdr:from>
    <xdr:to>
      <xdr:col>2</xdr:col>
      <xdr:colOff>312738</xdr:colOff>
      <xdr:row>399</xdr:row>
      <xdr:rowOff>293688</xdr:rowOff>
    </xdr:to>
    <xdr:pic>
      <xdr:nvPicPr>
        <xdr:cNvPr id="54300" name="Picture 54299">
          <a:extLst>
            <a:ext uri="{FF2B5EF4-FFF2-40B4-BE49-F238E27FC236}">
              <a16:creationId xmlns:a16="http://schemas.microsoft.com/office/drawing/2014/main" id="{00000000-0008-0000-0B00-00001C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51232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399</xdr:row>
      <xdr:rowOff>39688</xdr:rowOff>
    </xdr:from>
    <xdr:to>
      <xdr:col>6</xdr:col>
      <xdr:colOff>346075</xdr:colOff>
      <xdr:row>399</xdr:row>
      <xdr:rowOff>293688</xdr:rowOff>
    </xdr:to>
    <xdr:pic>
      <xdr:nvPicPr>
        <xdr:cNvPr id="54303" name="Picture 54302">
          <a:extLst>
            <a:ext uri="{FF2B5EF4-FFF2-40B4-BE49-F238E27FC236}">
              <a16:creationId xmlns:a16="http://schemas.microsoft.com/office/drawing/2014/main" id="{00000000-0008-0000-0B00-00001F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51232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403</xdr:row>
      <xdr:rowOff>39688</xdr:rowOff>
    </xdr:from>
    <xdr:to>
      <xdr:col>2</xdr:col>
      <xdr:colOff>312738</xdr:colOff>
      <xdr:row>403</xdr:row>
      <xdr:rowOff>293688</xdr:rowOff>
    </xdr:to>
    <xdr:pic>
      <xdr:nvPicPr>
        <xdr:cNvPr id="54306" name="Picture 54305">
          <a:extLst>
            <a:ext uri="{FF2B5EF4-FFF2-40B4-BE49-F238E27FC236}">
              <a16:creationId xmlns:a16="http://schemas.microsoft.com/office/drawing/2014/main" id="{00000000-0008-0000-0B00-000022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65234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403</xdr:row>
      <xdr:rowOff>39688</xdr:rowOff>
    </xdr:from>
    <xdr:to>
      <xdr:col>6</xdr:col>
      <xdr:colOff>346075</xdr:colOff>
      <xdr:row>403</xdr:row>
      <xdr:rowOff>293688</xdr:rowOff>
    </xdr:to>
    <xdr:pic>
      <xdr:nvPicPr>
        <xdr:cNvPr id="54309" name="Picture 54308">
          <a:extLst>
            <a:ext uri="{FF2B5EF4-FFF2-40B4-BE49-F238E27FC236}">
              <a16:creationId xmlns:a16="http://schemas.microsoft.com/office/drawing/2014/main" id="{00000000-0008-0000-0B00-000025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65234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406</xdr:row>
      <xdr:rowOff>39688</xdr:rowOff>
    </xdr:from>
    <xdr:to>
      <xdr:col>2</xdr:col>
      <xdr:colOff>312738</xdr:colOff>
      <xdr:row>406</xdr:row>
      <xdr:rowOff>293688</xdr:rowOff>
    </xdr:to>
    <xdr:pic>
      <xdr:nvPicPr>
        <xdr:cNvPr id="54312" name="Picture 54311">
          <a:extLst>
            <a:ext uri="{FF2B5EF4-FFF2-40B4-BE49-F238E27FC236}">
              <a16:creationId xmlns:a16="http://schemas.microsoft.com/office/drawing/2014/main" id="{00000000-0008-0000-0B00-000028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75902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406</xdr:row>
      <xdr:rowOff>39688</xdr:rowOff>
    </xdr:from>
    <xdr:to>
      <xdr:col>6</xdr:col>
      <xdr:colOff>346075</xdr:colOff>
      <xdr:row>406</xdr:row>
      <xdr:rowOff>293688</xdr:rowOff>
    </xdr:to>
    <xdr:pic>
      <xdr:nvPicPr>
        <xdr:cNvPr id="54315" name="Picture 54314">
          <a:extLst>
            <a:ext uri="{FF2B5EF4-FFF2-40B4-BE49-F238E27FC236}">
              <a16:creationId xmlns:a16="http://schemas.microsoft.com/office/drawing/2014/main" id="{00000000-0008-0000-0B00-00002B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75902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410</xdr:row>
      <xdr:rowOff>39688</xdr:rowOff>
    </xdr:from>
    <xdr:to>
      <xdr:col>2</xdr:col>
      <xdr:colOff>312738</xdr:colOff>
      <xdr:row>410</xdr:row>
      <xdr:rowOff>293688</xdr:rowOff>
    </xdr:to>
    <xdr:pic>
      <xdr:nvPicPr>
        <xdr:cNvPr id="54318" name="Picture 54317">
          <a:extLst>
            <a:ext uri="{FF2B5EF4-FFF2-40B4-BE49-F238E27FC236}">
              <a16:creationId xmlns:a16="http://schemas.microsoft.com/office/drawing/2014/main" id="{00000000-0008-0000-0B00-00002E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89903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410</xdr:row>
      <xdr:rowOff>39688</xdr:rowOff>
    </xdr:from>
    <xdr:to>
      <xdr:col>6</xdr:col>
      <xdr:colOff>346075</xdr:colOff>
      <xdr:row>410</xdr:row>
      <xdr:rowOff>293688</xdr:rowOff>
    </xdr:to>
    <xdr:pic>
      <xdr:nvPicPr>
        <xdr:cNvPr id="54321" name="Picture 54320">
          <a:extLst>
            <a:ext uri="{FF2B5EF4-FFF2-40B4-BE49-F238E27FC236}">
              <a16:creationId xmlns:a16="http://schemas.microsoft.com/office/drawing/2014/main" id="{00000000-0008-0000-0B00-000031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89903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412</xdr:row>
      <xdr:rowOff>39688</xdr:rowOff>
    </xdr:from>
    <xdr:to>
      <xdr:col>2</xdr:col>
      <xdr:colOff>312738</xdr:colOff>
      <xdr:row>412</xdr:row>
      <xdr:rowOff>293688</xdr:rowOff>
    </xdr:to>
    <xdr:pic>
      <xdr:nvPicPr>
        <xdr:cNvPr id="54324" name="Picture 54323">
          <a:extLst>
            <a:ext uri="{FF2B5EF4-FFF2-40B4-BE49-F238E27FC236}">
              <a16:creationId xmlns:a16="http://schemas.microsoft.com/office/drawing/2014/main" id="{00000000-0008-0000-0B00-000034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96571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412</xdr:row>
      <xdr:rowOff>39688</xdr:rowOff>
    </xdr:from>
    <xdr:to>
      <xdr:col>6</xdr:col>
      <xdr:colOff>346075</xdr:colOff>
      <xdr:row>412</xdr:row>
      <xdr:rowOff>293688</xdr:rowOff>
    </xdr:to>
    <xdr:pic>
      <xdr:nvPicPr>
        <xdr:cNvPr id="54327" name="Picture 54326">
          <a:extLst>
            <a:ext uri="{FF2B5EF4-FFF2-40B4-BE49-F238E27FC236}">
              <a16:creationId xmlns:a16="http://schemas.microsoft.com/office/drawing/2014/main" id="{00000000-0008-0000-0B00-000037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96571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413</xdr:row>
      <xdr:rowOff>39688</xdr:rowOff>
    </xdr:from>
    <xdr:to>
      <xdr:col>2</xdr:col>
      <xdr:colOff>312738</xdr:colOff>
      <xdr:row>413</xdr:row>
      <xdr:rowOff>293688</xdr:rowOff>
    </xdr:to>
    <xdr:pic>
      <xdr:nvPicPr>
        <xdr:cNvPr id="54330" name="Picture 54329">
          <a:extLst>
            <a:ext uri="{FF2B5EF4-FFF2-40B4-BE49-F238E27FC236}">
              <a16:creationId xmlns:a16="http://schemas.microsoft.com/office/drawing/2014/main" id="{00000000-0008-0000-0B00-00003A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399905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413</xdr:row>
      <xdr:rowOff>39688</xdr:rowOff>
    </xdr:from>
    <xdr:to>
      <xdr:col>6</xdr:col>
      <xdr:colOff>346075</xdr:colOff>
      <xdr:row>413</xdr:row>
      <xdr:rowOff>293688</xdr:rowOff>
    </xdr:to>
    <xdr:pic>
      <xdr:nvPicPr>
        <xdr:cNvPr id="54333" name="Picture 54332">
          <a:extLst>
            <a:ext uri="{FF2B5EF4-FFF2-40B4-BE49-F238E27FC236}">
              <a16:creationId xmlns:a16="http://schemas.microsoft.com/office/drawing/2014/main" id="{00000000-0008-0000-0B00-00003D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399905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414</xdr:row>
      <xdr:rowOff>39688</xdr:rowOff>
    </xdr:from>
    <xdr:to>
      <xdr:col>2</xdr:col>
      <xdr:colOff>312738</xdr:colOff>
      <xdr:row>414</xdr:row>
      <xdr:rowOff>293688</xdr:rowOff>
    </xdr:to>
    <xdr:pic>
      <xdr:nvPicPr>
        <xdr:cNvPr id="54336" name="Picture 54335">
          <a:extLst>
            <a:ext uri="{FF2B5EF4-FFF2-40B4-BE49-F238E27FC236}">
              <a16:creationId xmlns:a16="http://schemas.microsoft.com/office/drawing/2014/main" id="{00000000-0008-0000-0B00-000040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03238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414</xdr:row>
      <xdr:rowOff>39688</xdr:rowOff>
    </xdr:from>
    <xdr:to>
      <xdr:col>6</xdr:col>
      <xdr:colOff>346075</xdr:colOff>
      <xdr:row>414</xdr:row>
      <xdr:rowOff>293688</xdr:rowOff>
    </xdr:to>
    <xdr:pic>
      <xdr:nvPicPr>
        <xdr:cNvPr id="54339" name="Picture 54338">
          <a:extLst>
            <a:ext uri="{FF2B5EF4-FFF2-40B4-BE49-F238E27FC236}">
              <a16:creationId xmlns:a16="http://schemas.microsoft.com/office/drawing/2014/main" id="{00000000-0008-0000-0B00-000043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03238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415</xdr:row>
      <xdr:rowOff>39688</xdr:rowOff>
    </xdr:from>
    <xdr:to>
      <xdr:col>2</xdr:col>
      <xdr:colOff>312738</xdr:colOff>
      <xdr:row>415</xdr:row>
      <xdr:rowOff>293688</xdr:rowOff>
    </xdr:to>
    <xdr:pic>
      <xdr:nvPicPr>
        <xdr:cNvPr id="54342" name="Picture 54341">
          <a:extLst>
            <a:ext uri="{FF2B5EF4-FFF2-40B4-BE49-F238E27FC236}">
              <a16:creationId xmlns:a16="http://schemas.microsoft.com/office/drawing/2014/main" id="{00000000-0008-0000-0B00-000046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06572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415</xdr:row>
      <xdr:rowOff>39688</xdr:rowOff>
    </xdr:from>
    <xdr:to>
      <xdr:col>6</xdr:col>
      <xdr:colOff>346075</xdr:colOff>
      <xdr:row>415</xdr:row>
      <xdr:rowOff>293688</xdr:rowOff>
    </xdr:to>
    <xdr:pic>
      <xdr:nvPicPr>
        <xdr:cNvPr id="54345" name="Picture 54344">
          <a:extLst>
            <a:ext uri="{FF2B5EF4-FFF2-40B4-BE49-F238E27FC236}">
              <a16:creationId xmlns:a16="http://schemas.microsoft.com/office/drawing/2014/main" id="{00000000-0008-0000-0B00-000049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06572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416</xdr:row>
      <xdr:rowOff>39688</xdr:rowOff>
    </xdr:from>
    <xdr:to>
      <xdr:col>2</xdr:col>
      <xdr:colOff>312738</xdr:colOff>
      <xdr:row>416</xdr:row>
      <xdr:rowOff>293688</xdr:rowOff>
    </xdr:to>
    <xdr:pic>
      <xdr:nvPicPr>
        <xdr:cNvPr id="54348" name="Picture 54347">
          <a:extLst>
            <a:ext uri="{FF2B5EF4-FFF2-40B4-BE49-F238E27FC236}">
              <a16:creationId xmlns:a16="http://schemas.microsoft.com/office/drawing/2014/main" id="{00000000-0008-0000-0B00-00004C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09906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416</xdr:row>
      <xdr:rowOff>39688</xdr:rowOff>
    </xdr:from>
    <xdr:to>
      <xdr:col>6</xdr:col>
      <xdr:colOff>346075</xdr:colOff>
      <xdr:row>416</xdr:row>
      <xdr:rowOff>293688</xdr:rowOff>
    </xdr:to>
    <xdr:pic>
      <xdr:nvPicPr>
        <xdr:cNvPr id="54351" name="Picture 54350">
          <a:extLst>
            <a:ext uri="{FF2B5EF4-FFF2-40B4-BE49-F238E27FC236}">
              <a16:creationId xmlns:a16="http://schemas.microsoft.com/office/drawing/2014/main" id="{00000000-0008-0000-0B00-00004F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09906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418</xdr:row>
      <xdr:rowOff>39688</xdr:rowOff>
    </xdr:from>
    <xdr:to>
      <xdr:col>2</xdr:col>
      <xdr:colOff>312738</xdr:colOff>
      <xdr:row>418</xdr:row>
      <xdr:rowOff>293688</xdr:rowOff>
    </xdr:to>
    <xdr:pic>
      <xdr:nvPicPr>
        <xdr:cNvPr id="54354" name="Picture 54353">
          <a:extLst>
            <a:ext uri="{FF2B5EF4-FFF2-40B4-BE49-F238E27FC236}">
              <a16:creationId xmlns:a16="http://schemas.microsoft.com/office/drawing/2014/main" id="{00000000-0008-0000-0B00-000052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16573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418</xdr:row>
      <xdr:rowOff>39688</xdr:rowOff>
    </xdr:from>
    <xdr:to>
      <xdr:col>6</xdr:col>
      <xdr:colOff>346075</xdr:colOff>
      <xdr:row>418</xdr:row>
      <xdr:rowOff>293688</xdr:rowOff>
    </xdr:to>
    <xdr:pic>
      <xdr:nvPicPr>
        <xdr:cNvPr id="54357" name="Picture 54356">
          <a:extLst>
            <a:ext uri="{FF2B5EF4-FFF2-40B4-BE49-F238E27FC236}">
              <a16:creationId xmlns:a16="http://schemas.microsoft.com/office/drawing/2014/main" id="{00000000-0008-0000-0B00-000055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16573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422</xdr:row>
      <xdr:rowOff>39688</xdr:rowOff>
    </xdr:from>
    <xdr:to>
      <xdr:col>2</xdr:col>
      <xdr:colOff>312738</xdr:colOff>
      <xdr:row>422</xdr:row>
      <xdr:rowOff>293688</xdr:rowOff>
    </xdr:to>
    <xdr:pic>
      <xdr:nvPicPr>
        <xdr:cNvPr id="54360" name="Picture 54359">
          <a:extLst>
            <a:ext uri="{FF2B5EF4-FFF2-40B4-BE49-F238E27FC236}">
              <a16:creationId xmlns:a16="http://schemas.microsoft.com/office/drawing/2014/main" id="{00000000-0008-0000-0B00-000058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30575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422</xdr:row>
      <xdr:rowOff>39688</xdr:rowOff>
    </xdr:from>
    <xdr:to>
      <xdr:col>6</xdr:col>
      <xdr:colOff>346075</xdr:colOff>
      <xdr:row>422</xdr:row>
      <xdr:rowOff>293688</xdr:rowOff>
    </xdr:to>
    <xdr:pic>
      <xdr:nvPicPr>
        <xdr:cNvPr id="54363" name="Picture 54362">
          <a:extLst>
            <a:ext uri="{FF2B5EF4-FFF2-40B4-BE49-F238E27FC236}">
              <a16:creationId xmlns:a16="http://schemas.microsoft.com/office/drawing/2014/main" id="{00000000-0008-0000-0B00-00005B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30575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423</xdr:row>
      <xdr:rowOff>39688</xdr:rowOff>
    </xdr:from>
    <xdr:to>
      <xdr:col>2</xdr:col>
      <xdr:colOff>312738</xdr:colOff>
      <xdr:row>423</xdr:row>
      <xdr:rowOff>293688</xdr:rowOff>
    </xdr:to>
    <xdr:pic>
      <xdr:nvPicPr>
        <xdr:cNvPr id="54366" name="Picture 54365">
          <a:extLst>
            <a:ext uri="{FF2B5EF4-FFF2-40B4-BE49-F238E27FC236}">
              <a16:creationId xmlns:a16="http://schemas.microsoft.com/office/drawing/2014/main" id="{00000000-0008-0000-0B00-00005E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33909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423</xdr:row>
      <xdr:rowOff>39688</xdr:rowOff>
    </xdr:from>
    <xdr:to>
      <xdr:col>6</xdr:col>
      <xdr:colOff>346075</xdr:colOff>
      <xdr:row>423</xdr:row>
      <xdr:rowOff>293688</xdr:rowOff>
    </xdr:to>
    <xdr:pic>
      <xdr:nvPicPr>
        <xdr:cNvPr id="54369" name="Picture 54368">
          <a:extLst>
            <a:ext uri="{FF2B5EF4-FFF2-40B4-BE49-F238E27FC236}">
              <a16:creationId xmlns:a16="http://schemas.microsoft.com/office/drawing/2014/main" id="{00000000-0008-0000-0B00-000061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33909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424</xdr:row>
      <xdr:rowOff>39688</xdr:rowOff>
    </xdr:from>
    <xdr:to>
      <xdr:col>2</xdr:col>
      <xdr:colOff>312738</xdr:colOff>
      <xdr:row>424</xdr:row>
      <xdr:rowOff>293688</xdr:rowOff>
    </xdr:to>
    <xdr:pic>
      <xdr:nvPicPr>
        <xdr:cNvPr id="54372" name="Picture 54371">
          <a:extLst>
            <a:ext uri="{FF2B5EF4-FFF2-40B4-BE49-F238E27FC236}">
              <a16:creationId xmlns:a16="http://schemas.microsoft.com/office/drawing/2014/main" id="{00000000-0008-0000-0B00-000064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37243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424</xdr:row>
      <xdr:rowOff>39688</xdr:rowOff>
    </xdr:from>
    <xdr:to>
      <xdr:col>6</xdr:col>
      <xdr:colOff>346075</xdr:colOff>
      <xdr:row>424</xdr:row>
      <xdr:rowOff>293688</xdr:rowOff>
    </xdr:to>
    <xdr:pic>
      <xdr:nvPicPr>
        <xdr:cNvPr id="54375" name="Picture 54374">
          <a:extLst>
            <a:ext uri="{FF2B5EF4-FFF2-40B4-BE49-F238E27FC236}">
              <a16:creationId xmlns:a16="http://schemas.microsoft.com/office/drawing/2014/main" id="{00000000-0008-0000-0B00-000067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37243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425</xdr:row>
      <xdr:rowOff>39688</xdr:rowOff>
    </xdr:from>
    <xdr:to>
      <xdr:col>2</xdr:col>
      <xdr:colOff>312738</xdr:colOff>
      <xdr:row>425</xdr:row>
      <xdr:rowOff>293688</xdr:rowOff>
    </xdr:to>
    <xdr:pic>
      <xdr:nvPicPr>
        <xdr:cNvPr id="54378" name="Picture 54377">
          <a:extLst>
            <a:ext uri="{FF2B5EF4-FFF2-40B4-BE49-F238E27FC236}">
              <a16:creationId xmlns:a16="http://schemas.microsoft.com/office/drawing/2014/main" id="{00000000-0008-0000-0B00-00006A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40576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425</xdr:row>
      <xdr:rowOff>39688</xdr:rowOff>
    </xdr:from>
    <xdr:to>
      <xdr:col>6</xdr:col>
      <xdr:colOff>346075</xdr:colOff>
      <xdr:row>425</xdr:row>
      <xdr:rowOff>293688</xdr:rowOff>
    </xdr:to>
    <xdr:pic>
      <xdr:nvPicPr>
        <xdr:cNvPr id="54381" name="Picture 54380">
          <a:extLst>
            <a:ext uri="{FF2B5EF4-FFF2-40B4-BE49-F238E27FC236}">
              <a16:creationId xmlns:a16="http://schemas.microsoft.com/office/drawing/2014/main" id="{00000000-0008-0000-0B00-00006D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40576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426</xdr:row>
      <xdr:rowOff>39688</xdr:rowOff>
    </xdr:from>
    <xdr:to>
      <xdr:col>2</xdr:col>
      <xdr:colOff>312738</xdr:colOff>
      <xdr:row>426</xdr:row>
      <xdr:rowOff>293688</xdr:rowOff>
    </xdr:to>
    <xdr:pic>
      <xdr:nvPicPr>
        <xdr:cNvPr id="54384" name="Picture 54383">
          <a:extLst>
            <a:ext uri="{FF2B5EF4-FFF2-40B4-BE49-F238E27FC236}">
              <a16:creationId xmlns:a16="http://schemas.microsoft.com/office/drawing/2014/main" id="{00000000-0008-0000-0B00-000070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43910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426</xdr:row>
      <xdr:rowOff>39688</xdr:rowOff>
    </xdr:from>
    <xdr:to>
      <xdr:col>6</xdr:col>
      <xdr:colOff>346075</xdr:colOff>
      <xdr:row>426</xdr:row>
      <xdr:rowOff>293688</xdr:rowOff>
    </xdr:to>
    <xdr:pic>
      <xdr:nvPicPr>
        <xdr:cNvPr id="54387" name="Picture 54386">
          <a:extLst>
            <a:ext uri="{FF2B5EF4-FFF2-40B4-BE49-F238E27FC236}">
              <a16:creationId xmlns:a16="http://schemas.microsoft.com/office/drawing/2014/main" id="{00000000-0008-0000-0B00-000073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43910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427</xdr:row>
      <xdr:rowOff>39688</xdr:rowOff>
    </xdr:from>
    <xdr:to>
      <xdr:col>2</xdr:col>
      <xdr:colOff>312738</xdr:colOff>
      <xdr:row>427</xdr:row>
      <xdr:rowOff>293688</xdr:rowOff>
    </xdr:to>
    <xdr:pic>
      <xdr:nvPicPr>
        <xdr:cNvPr id="54390" name="Picture 54389">
          <a:extLst>
            <a:ext uri="{FF2B5EF4-FFF2-40B4-BE49-F238E27FC236}">
              <a16:creationId xmlns:a16="http://schemas.microsoft.com/office/drawing/2014/main" id="{00000000-0008-0000-0B00-000076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47244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427</xdr:row>
      <xdr:rowOff>39688</xdr:rowOff>
    </xdr:from>
    <xdr:to>
      <xdr:col>6</xdr:col>
      <xdr:colOff>346075</xdr:colOff>
      <xdr:row>427</xdr:row>
      <xdr:rowOff>293688</xdr:rowOff>
    </xdr:to>
    <xdr:pic>
      <xdr:nvPicPr>
        <xdr:cNvPr id="54393" name="Picture 54392">
          <a:extLst>
            <a:ext uri="{FF2B5EF4-FFF2-40B4-BE49-F238E27FC236}">
              <a16:creationId xmlns:a16="http://schemas.microsoft.com/office/drawing/2014/main" id="{00000000-0008-0000-0B00-000079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47244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428</xdr:row>
      <xdr:rowOff>39688</xdr:rowOff>
    </xdr:from>
    <xdr:to>
      <xdr:col>2</xdr:col>
      <xdr:colOff>312738</xdr:colOff>
      <xdr:row>428</xdr:row>
      <xdr:rowOff>293688</xdr:rowOff>
    </xdr:to>
    <xdr:pic>
      <xdr:nvPicPr>
        <xdr:cNvPr id="54396" name="Picture 54395">
          <a:extLst>
            <a:ext uri="{FF2B5EF4-FFF2-40B4-BE49-F238E27FC236}">
              <a16:creationId xmlns:a16="http://schemas.microsoft.com/office/drawing/2014/main" id="{00000000-0008-0000-0B00-00007C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50578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428</xdr:row>
      <xdr:rowOff>39688</xdr:rowOff>
    </xdr:from>
    <xdr:to>
      <xdr:col>6</xdr:col>
      <xdr:colOff>346075</xdr:colOff>
      <xdr:row>428</xdr:row>
      <xdr:rowOff>293688</xdr:rowOff>
    </xdr:to>
    <xdr:pic>
      <xdr:nvPicPr>
        <xdr:cNvPr id="54399" name="Picture 54398">
          <a:extLst>
            <a:ext uri="{FF2B5EF4-FFF2-40B4-BE49-F238E27FC236}">
              <a16:creationId xmlns:a16="http://schemas.microsoft.com/office/drawing/2014/main" id="{00000000-0008-0000-0B00-00007F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50578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430</xdr:row>
      <xdr:rowOff>39688</xdr:rowOff>
    </xdr:from>
    <xdr:to>
      <xdr:col>2</xdr:col>
      <xdr:colOff>312738</xdr:colOff>
      <xdr:row>430</xdr:row>
      <xdr:rowOff>293688</xdr:rowOff>
    </xdr:to>
    <xdr:pic>
      <xdr:nvPicPr>
        <xdr:cNvPr id="54402" name="Picture 54401">
          <a:extLst>
            <a:ext uri="{FF2B5EF4-FFF2-40B4-BE49-F238E27FC236}">
              <a16:creationId xmlns:a16="http://schemas.microsoft.com/office/drawing/2014/main" id="{00000000-0008-0000-0B00-000082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57245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430</xdr:row>
      <xdr:rowOff>39688</xdr:rowOff>
    </xdr:from>
    <xdr:to>
      <xdr:col>6</xdr:col>
      <xdr:colOff>346075</xdr:colOff>
      <xdr:row>430</xdr:row>
      <xdr:rowOff>293688</xdr:rowOff>
    </xdr:to>
    <xdr:pic>
      <xdr:nvPicPr>
        <xdr:cNvPr id="54405" name="Picture 54404">
          <a:extLst>
            <a:ext uri="{FF2B5EF4-FFF2-40B4-BE49-F238E27FC236}">
              <a16:creationId xmlns:a16="http://schemas.microsoft.com/office/drawing/2014/main" id="{00000000-0008-0000-0B00-000085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57245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431</xdr:row>
      <xdr:rowOff>39688</xdr:rowOff>
    </xdr:from>
    <xdr:to>
      <xdr:col>2</xdr:col>
      <xdr:colOff>312738</xdr:colOff>
      <xdr:row>431</xdr:row>
      <xdr:rowOff>293688</xdr:rowOff>
    </xdr:to>
    <xdr:pic>
      <xdr:nvPicPr>
        <xdr:cNvPr id="54408" name="Picture 54407">
          <a:extLst>
            <a:ext uri="{FF2B5EF4-FFF2-40B4-BE49-F238E27FC236}">
              <a16:creationId xmlns:a16="http://schemas.microsoft.com/office/drawing/2014/main" id="{00000000-0008-0000-0B00-000088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60579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431</xdr:row>
      <xdr:rowOff>39688</xdr:rowOff>
    </xdr:from>
    <xdr:to>
      <xdr:col>6</xdr:col>
      <xdr:colOff>346075</xdr:colOff>
      <xdr:row>431</xdr:row>
      <xdr:rowOff>293688</xdr:rowOff>
    </xdr:to>
    <xdr:pic>
      <xdr:nvPicPr>
        <xdr:cNvPr id="54411" name="Picture 54410">
          <a:extLst>
            <a:ext uri="{FF2B5EF4-FFF2-40B4-BE49-F238E27FC236}">
              <a16:creationId xmlns:a16="http://schemas.microsoft.com/office/drawing/2014/main" id="{00000000-0008-0000-0B00-00008B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60579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433</xdr:row>
      <xdr:rowOff>39688</xdr:rowOff>
    </xdr:from>
    <xdr:to>
      <xdr:col>2</xdr:col>
      <xdr:colOff>312738</xdr:colOff>
      <xdr:row>433</xdr:row>
      <xdr:rowOff>293688</xdr:rowOff>
    </xdr:to>
    <xdr:pic>
      <xdr:nvPicPr>
        <xdr:cNvPr id="54414" name="Picture 54413">
          <a:extLst>
            <a:ext uri="{FF2B5EF4-FFF2-40B4-BE49-F238E27FC236}">
              <a16:creationId xmlns:a16="http://schemas.microsoft.com/office/drawing/2014/main" id="{00000000-0008-0000-0B00-00008E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67246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433</xdr:row>
      <xdr:rowOff>39688</xdr:rowOff>
    </xdr:from>
    <xdr:to>
      <xdr:col>6</xdr:col>
      <xdr:colOff>346075</xdr:colOff>
      <xdr:row>433</xdr:row>
      <xdr:rowOff>293688</xdr:rowOff>
    </xdr:to>
    <xdr:pic>
      <xdr:nvPicPr>
        <xdr:cNvPr id="54417" name="Picture 54416">
          <a:extLst>
            <a:ext uri="{FF2B5EF4-FFF2-40B4-BE49-F238E27FC236}">
              <a16:creationId xmlns:a16="http://schemas.microsoft.com/office/drawing/2014/main" id="{00000000-0008-0000-0B00-000091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67246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437</xdr:row>
      <xdr:rowOff>39688</xdr:rowOff>
    </xdr:from>
    <xdr:to>
      <xdr:col>2</xdr:col>
      <xdr:colOff>312738</xdr:colOff>
      <xdr:row>437</xdr:row>
      <xdr:rowOff>293688</xdr:rowOff>
    </xdr:to>
    <xdr:pic>
      <xdr:nvPicPr>
        <xdr:cNvPr id="54420" name="Picture 54419">
          <a:extLst>
            <a:ext uri="{FF2B5EF4-FFF2-40B4-BE49-F238E27FC236}">
              <a16:creationId xmlns:a16="http://schemas.microsoft.com/office/drawing/2014/main" id="{00000000-0008-0000-0B00-000094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81248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437</xdr:row>
      <xdr:rowOff>39688</xdr:rowOff>
    </xdr:from>
    <xdr:to>
      <xdr:col>6</xdr:col>
      <xdr:colOff>346075</xdr:colOff>
      <xdr:row>437</xdr:row>
      <xdr:rowOff>293688</xdr:rowOff>
    </xdr:to>
    <xdr:pic>
      <xdr:nvPicPr>
        <xdr:cNvPr id="54423" name="Picture 54422">
          <a:extLst>
            <a:ext uri="{FF2B5EF4-FFF2-40B4-BE49-F238E27FC236}">
              <a16:creationId xmlns:a16="http://schemas.microsoft.com/office/drawing/2014/main" id="{00000000-0008-0000-0B00-000097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81248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438</xdr:row>
      <xdr:rowOff>39688</xdr:rowOff>
    </xdr:from>
    <xdr:to>
      <xdr:col>2</xdr:col>
      <xdr:colOff>312738</xdr:colOff>
      <xdr:row>438</xdr:row>
      <xdr:rowOff>293688</xdr:rowOff>
    </xdr:to>
    <xdr:pic>
      <xdr:nvPicPr>
        <xdr:cNvPr id="54426" name="Picture 54425">
          <a:extLst>
            <a:ext uri="{FF2B5EF4-FFF2-40B4-BE49-F238E27FC236}">
              <a16:creationId xmlns:a16="http://schemas.microsoft.com/office/drawing/2014/main" id="{00000000-0008-0000-0B00-00009A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84582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438</xdr:row>
      <xdr:rowOff>39688</xdr:rowOff>
    </xdr:from>
    <xdr:to>
      <xdr:col>6</xdr:col>
      <xdr:colOff>346075</xdr:colOff>
      <xdr:row>438</xdr:row>
      <xdr:rowOff>293688</xdr:rowOff>
    </xdr:to>
    <xdr:pic>
      <xdr:nvPicPr>
        <xdr:cNvPr id="54429" name="Picture 54428">
          <a:extLst>
            <a:ext uri="{FF2B5EF4-FFF2-40B4-BE49-F238E27FC236}">
              <a16:creationId xmlns:a16="http://schemas.microsoft.com/office/drawing/2014/main" id="{00000000-0008-0000-0B00-00009D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84582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439</xdr:row>
      <xdr:rowOff>39688</xdr:rowOff>
    </xdr:from>
    <xdr:to>
      <xdr:col>2</xdr:col>
      <xdr:colOff>312738</xdr:colOff>
      <xdr:row>439</xdr:row>
      <xdr:rowOff>293688</xdr:rowOff>
    </xdr:to>
    <xdr:pic>
      <xdr:nvPicPr>
        <xdr:cNvPr id="54432" name="Picture 54431">
          <a:extLst>
            <a:ext uri="{FF2B5EF4-FFF2-40B4-BE49-F238E27FC236}">
              <a16:creationId xmlns:a16="http://schemas.microsoft.com/office/drawing/2014/main" id="{00000000-0008-0000-0B00-0000A0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87916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439</xdr:row>
      <xdr:rowOff>39688</xdr:rowOff>
    </xdr:from>
    <xdr:to>
      <xdr:col>6</xdr:col>
      <xdr:colOff>346075</xdr:colOff>
      <xdr:row>439</xdr:row>
      <xdr:rowOff>293688</xdr:rowOff>
    </xdr:to>
    <xdr:pic>
      <xdr:nvPicPr>
        <xdr:cNvPr id="54435" name="Picture 54434">
          <a:extLst>
            <a:ext uri="{FF2B5EF4-FFF2-40B4-BE49-F238E27FC236}">
              <a16:creationId xmlns:a16="http://schemas.microsoft.com/office/drawing/2014/main" id="{00000000-0008-0000-0B00-0000A3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87916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442</xdr:row>
      <xdr:rowOff>39688</xdr:rowOff>
    </xdr:from>
    <xdr:to>
      <xdr:col>2</xdr:col>
      <xdr:colOff>312738</xdr:colOff>
      <xdr:row>442</xdr:row>
      <xdr:rowOff>293688</xdr:rowOff>
    </xdr:to>
    <xdr:pic>
      <xdr:nvPicPr>
        <xdr:cNvPr id="54438" name="Picture 54437">
          <a:extLst>
            <a:ext uri="{FF2B5EF4-FFF2-40B4-BE49-F238E27FC236}">
              <a16:creationId xmlns:a16="http://schemas.microsoft.com/office/drawing/2014/main" id="{00000000-0008-0000-0B00-0000A6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498584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442</xdr:row>
      <xdr:rowOff>39688</xdr:rowOff>
    </xdr:from>
    <xdr:to>
      <xdr:col>6</xdr:col>
      <xdr:colOff>346075</xdr:colOff>
      <xdr:row>442</xdr:row>
      <xdr:rowOff>293688</xdr:rowOff>
    </xdr:to>
    <xdr:pic>
      <xdr:nvPicPr>
        <xdr:cNvPr id="54441" name="Picture 54440">
          <a:extLst>
            <a:ext uri="{FF2B5EF4-FFF2-40B4-BE49-F238E27FC236}">
              <a16:creationId xmlns:a16="http://schemas.microsoft.com/office/drawing/2014/main" id="{00000000-0008-0000-0B00-0000A9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498584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446</xdr:row>
      <xdr:rowOff>39688</xdr:rowOff>
    </xdr:from>
    <xdr:to>
      <xdr:col>2</xdr:col>
      <xdr:colOff>312738</xdr:colOff>
      <xdr:row>446</xdr:row>
      <xdr:rowOff>293688</xdr:rowOff>
    </xdr:to>
    <xdr:pic>
      <xdr:nvPicPr>
        <xdr:cNvPr id="54444" name="Picture 54443">
          <a:extLst>
            <a:ext uri="{FF2B5EF4-FFF2-40B4-BE49-F238E27FC236}">
              <a16:creationId xmlns:a16="http://schemas.microsoft.com/office/drawing/2014/main" id="{00000000-0008-0000-0B00-0000AC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12585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446</xdr:row>
      <xdr:rowOff>39688</xdr:rowOff>
    </xdr:from>
    <xdr:to>
      <xdr:col>6</xdr:col>
      <xdr:colOff>346075</xdr:colOff>
      <xdr:row>446</xdr:row>
      <xdr:rowOff>293688</xdr:rowOff>
    </xdr:to>
    <xdr:pic>
      <xdr:nvPicPr>
        <xdr:cNvPr id="54447" name="Picture 54446">
          <a:extLst>
            <a:ext uri="{FF2B5EF4-FFF2-40B4-BE49-F238E27FC236}">
              <a16:creationId xmlns:a16="http://schemas.microsoft.com/office/drawing/2014/main" id="{00000000-0008-0000-0B00-0000AF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12585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449</xdr:row>
      <xdr:rowOff>39688</xdr:rowOff>
    </xdr:from>
    <xdr:to>
      <xdr:col>2</xdr:col>
      <xdr:colOff>312738</xdr:colOff>
      <xdr:row>449</xdr:row>
      <xdr:rowOff>293688</xdr:rowOff>
    </xdr:to>
    <xdr:pic>
      <xdr:nvPicPr>
        <xdr:cNvPr id="54450" name="Picture 54449">
          <a:extLst>
            <a:ext uri="{FF2B5EF4-FFF2-40B4-BE49-F238E27FC236}">
              <a16:creationId xmlns:a16="http://schemas.microsoft.com/office/drawing/2014/main" id="{00000000-0008-0000-0B00-0000B2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23253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449</xdr:row>
      <xdr:rowOff>39688</xdr:rowOff>
    </xdr:from>
    <xdr:to>
      <xdr:col>6</xdr:col>
      <xdr:colOff>346075</xdr:colOff>
      <xdr:row>449</xdr:row>
      <xdr:rowOff>293688</xdr:rowOff>
    </xdr:to>
    <xdr:pic>
      <xdr:nvPicPr>
        <xdr:cNvPr id="54453" name="Picture 54452">
          <a:extLst>
            <a:ext uri="{FF2B5EF4-FFF2-40B4-BE49-F238E27FC236}">
              <a16:creationId xmlns:a16="http://schemas.microsoft.com/office/drawing/2014/main" id="{00000000-0008-0000-0B00-0000B5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23253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453</xdr:row>
      <xdr:rowOff>39688</xdr:rowOff>
    </xdr:from>
    <xdr:to>
      <xdr:col>2</xdr:col>
      <xdr:colOff>312738</xdr:colOff>
      <xdr:row>453</xdr:row>
      <xdr:rowOff>293688</xdr:rowOff>
    </xdr:to>
    <xdr:pic>
      <xdr:nvPicPr>
        <xdr:cNvPr id="54456" name="Picture 54455">
          <a:extLst>
            <a:ext uri="{FF2B5EF4-FFF2-40B4-BE49-F238E27FC236}">
              <a16:creationId xmlns:a16="http://schemas.microsoft.com/office/drawing/2014/main" id="{00000000-0008-0000-0B00-0000B8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37255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453</xdr:row>
      <xdr:rowOff>39688</xdr:rowOff>
    </xdr:from>
    <xdr:to>
      <xdr:col>6</xdr:col>
      <xdr:colOff>346075</xdr:colOff>
      <xdr:row>453</xdr:row>
      <xdr:rowOff>293688</xdr:rowOff>
    </xdr:to>
    <xdr:pic>
      <xdr:nvPicPr>
        <xdr:cNvPr id="54459" name="Picture 54458">
          <a:extLst>
            <a:ext uri="{FF2B5EF4-FFF2-40B4-BE49-F238E27FC236}">
              <a16:creationId xmlns:a16="http://schemas.microsoft.com/office/drawing/2014/main" id="{00000000-0008-0000-0B00-0000BB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37255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454</xdr:row>
      <xdr:rowOff>39688</xdr:rowOff>
    </xdr:from>
    <xdr:to>
      <xdr:col>2</xdr:col>
      <xdr:colOff>312738</xdr:colOff>
      <xdr:row>454</xdr:row>
      <xdr:rowOff>293688</xdr:rowOff>
    </xdr:to>
    <xdr:pic>
      <xdr:nvPicPr>
        <xdr:cNvPr id="54462" name="Picture 54461">
          <a:extLst>
            <a:ext uri="{FF2B5EF4-FFF2-40B4-BE49-F238E27FC236}">
              <a16:creationId xmlns:a16="http://schemas.microsoft.com/office/drawing/2014/main" id="{00000000-0008-0000-0B00-0000BE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40589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454</xdr:row>
      <xdr:rowOff>39688</xdr:rowOff>
    </xdr:from>
    <xdr:to>
      <xdr:col>6</xdr:col>
      <xdr:colOff>346075</xdr:colOff>
      <xdr:row>454</xdr:row>
      <xdr:rowOff>293688</xdr:rowOff>
    </xdr:to>
    <xdr:pic>
      <xdr:nvPicPr>
        <xdr:cNvPr id="54465" name="Picture 54464">
          <a:extLst>
            <a:ext uri="{FF2B5EF4-FFF2-40B4-BE49-F238E27FC236}">
              <a16:creationId xmlns:a16="http://schemas.microsoft.com/office/drawing/2014/main" id="{00000000-0008-0000-0B00-0000C1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40589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455</xdr:row>
      <xdr:rowOff>39688</xdr:rowOff>
    </xdr:from>
    <xdr:to>
      <xdr:col>2</xdr:col>
      <xdr:colOff>312738</xdr:colOff>
      <xdr:row>455</xdr:row>
      <xdr:rowOff>293688</xdr:rowOff>
    </xdr:to>
    <xdr:pic>
      <xdr:nvPicPr>
        <xdr:cNvPr id="54468" name="Picture 54467">
          <a:extLst>
            <a:ext uri="{FF2B5EF4-FFF2-40B4-BE49-F238E27FC236}">
              <a16:creationId xmlns:a16="http://schemas.microsoft.com/office/drawing/2014/main" id="{00000000-0008-0000-0B00-0000C4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43923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455</xdr:row>
      <xdr:rowOff>39688</xdr:rowOff>
    </xdr:from>
    <xdr:to>
      <xdr:col>6</xdr:col>
      <xdr:colOff>346075</xdr:colOff>
      <xdr:row>455</xdr:row>
      <xdr:rowOff>293688</xdr:rowOff>
    </xdr:to>
    <xdr:pic>
      <xdr:nvPicPr>
        <xdr:cNvPr id="54471" name="Picture 54470">
          <a:extLst>
            <a:ext uri="{FF2B5EF4-FFF2-40B4-BE49-F238E27FC236}">
              <a16:creationId xmlns:a16="http://schemas.microsoft.com/office/drawing/2014/main" id="{00000000-0008-0000-0B00-0000C7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43923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456</xdr:row>
      <xdr:rowOff>39688</xdr:rowOff>
    </xdr:from>
    <xdr:to>
      <xdr:col>2</xdr:col>
      <xdr:colOff>312738</xdr:colOff>
      <xdr:row>456</xdr:row>
      <xdr:rowOff>293688</xdr:rowOff>
    </xdr:to>
    <xdr:pic>
      <xdr:nvPicPr>
        <xdr:cNvPr id="54474" name="Picture 54473">
          <a:extLst>
            <a:ext uri="{FF2B5EF4-FFF2-40B4-BE49-F238E27FC236}">
              <a16:creationId xmlns:a16="http://schemas.microsoft.com/office/drawing/2014/main" id="{00000000-0008-0000-0B00-0000CA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47256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456</xdr:row>
      <xdr:rowOff>39688</xdr:rowOff>
    </xdr:from>
    <xdr:to>
      <xdr:col>6</xdr:col>
      <xdr:colOff>346075</xdr:colOff>
      <xdr:row>456</xdr:row>
      <xdr:rowOff>293688</xdr:rowOff>
    </xdr:to>
    <xdr:pic>
      <xdr:nvPicPr>
        <xdr:cNvPr id="54477" name="Picture 54476">
          <a:extLst>
            <a:ext uri="{FF2B5EF4-FFF2-40B4-BE49-F238E27FC236}">
              <a16:creationId xmlns:a16="http://schemas.microsoft.com/office/drawing/2014/main" id="{00000000-0008-0000-0B00-0000CD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47256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457</xdr:row>
      <xdr:rowOff>39688</xdr:rowOff>
    </xdr:from>
    <xdr:to>
      <xdr:col>2</xdr:col>
      <xdr:colOff>312738</xdr:colOff>
      <xdr:row>457</xdr:row>
      <xdr:rowOff>293688</xdr:rowOff>
    </xdr:to>
    <xdr:pic>
      <xdr:nvPicPr>
        <xdr:cNvPr id="54480" name="Picture 54479">
          <a:extLst>
            <a:ext uri="{FF2B5EF4-FFF2-40B4-BE49-F238E27FC236}">
              <a16:creationId xmlns:a16="http://schemas.microsoft.com/office/drawing/2014/main" id="{00000000-0008-0000-0B00-0000D0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50590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457</xdr:row>
      <xdr:rowOff>39688</xdr:rowOff>
    </xdr:from>
    <xdr:to>
      <xdr:col>6</xdr:col>
      <xdr:colOff>346075</xdr:colOff>
      <xdr:row>457</xdr:row>
      <xdr:rowOff>293688</xdr:rowOff>
    </xdr:to>
    <xdr:pic>
      <xdr:nvPicPr>
        <xdr:cNvPr id="54483" name="Picture 54482">
          <a:extLst>
            <a:ext uri="{FF2B5EF4-FFF2-40B4-BE49-F238E27FC236}">
              <a16:creationId xmlns:a16="http://schemas.microsoft.com/office/drawing/2014/main" id="{00000000-0008-0000-0B00-0000D3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50590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458</xdr:row>
      <xdr:rowOff>39688</xdr:rowOff>
    </xdr:from>
    <xdr:to>
      <xdr:col>2</xdr:col>
      <xdr:colOff>312738</xdr:colOff>
      <xdr:row>458</xdr:row>
      <xdr:rowOff>293688</xdr:rowOff>
    </xdr:to>
    <xdr:pic>
      <xdr:nvPicPr>
        <xdr:cNvPr id="54486" name="Picture 54485">
          <a:extLst>
            <a:ext uri="{FF2B5EF4-FFF2-40B4-BE49-F238E27FC236}">
              <a16:creationId xmlns:a16="http://schemas.microsoft.com/office/drawing/2014/main" id="{00000000-0008-0000-0B00-0000D6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53924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458</xdr:row>
      <xdr:rowOff>39688</xdr:rowOff>
    </xdr:from>
    <xdr:to>
      <xdr:col>6</xdr:col>
      <xdr:colOff>346075</xdr:colOff>
      <xdr:row>458</xdr:row>
      <xdr:rowOff>293688</xdr:rowOff>
    </xdr:to>
    <xdr:pic>
      <xdr:nvPicPr>
        <xdr:cNvPr id="54489" name="Picture 54488">
          <a:extLst>
            <a:ext uri="{FF2B5EF4-FFF2-40B4-BE49-F238E27FC236}">
              <a16:creationId xmlns:a16="http://schemas.microsoft.com/office/drawing/2014/main" id="{00000000-0008-0000-0B00-0000D9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53924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459</xdr:row>
      <xdr:rowOff>39688</xdr:rowOff>
    </xdr:from>
    <xdr:to>
      <xdr:col>2</xdr:col>
      <xdr:colOff>312738</xdr:colOff>
      <xdr:row>459</xdr:row>
      <xdr:rowOff>293688</xdr:rowOff>
    </xdr:to>
    <xdr:pic>
      <xdr:nvPicPr>
        <xdr:cNvPr id="54492" name="Picture 54491">
          <a:extLst>
            <a:ext uri="{FF2B5EF4-FFF2-40B4-BE49-F238E27FC236}">
              <a16:creationId xmlns:a16="http://schemas.microsoft.com/office/drawing/2014/main" id="{00000000-0008-0000-0B00-0000DC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57258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459</xdr:row>
      <xdr:rowOff>39688</xdr:rowOff>
    </xdr:from>
    <xdr:to>
      <xdr:col>6</xdr:col>
      <xdr:colOff>346075</xdr:colOff>
      <xdr:row>459</xdr:row>
      <xdr:rowOff>293688</xdr:rowOff>
    </xdr:to>
    <xdr:pic>
      <xdr:nvPicPr>
        <xdr:cNvPr id="54495" name="Picture 54494">
          <a:extLst>
            <a:ext uri="{FF2B5EF4-FFF2-40B4-BE49-F238E27FC236}">
              <a16:creationId xmlns:a16="http://schemas.microsoft.com/office/drawing/2014/main" id="{00000000-0008-0000-0B00-0000DF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57258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460</xdr:row>
      <xdr:rowOff>39688</xdr:rowOff>
    </xdr:from>
    <xdr:to>
      <xdr:col>2</xdr:col>
      <xdr:colOff>312738</xdr:colOff>
      <xdr:row>460</xdr:row>
      <xdr:rowOff>293688</xdr:rowOff>
    </xdr:to>
    <xdr:pic>
      <xdr:nvPicPr>
        <xdr:cNvPr id="54498" name="Picture 54497">
          <a:extLst>
            <a:ext uri="{FF2B5EF4-FFF2-40B4-BE49-F238E27FC236}">
              <a16:creationId xmlns:a16="http://schemas.microsoft.com/office/drawing/2014/main" id="{00000000-0008-0000-0B00-0000E2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60591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460</xdr:row>
      <xdr:rowOff>39688</xdr:rowOff>
    </xdr:from>
    <xdr:to>
      <xdr:col>6</xdr:col>
      <xdr:colOff>346075</xdr:colOff>
      <xdr:row>460</xdr:row>
      <xdr:rowOff>293688</xdr:rowOff>
    </xdr:to>
    <xdr:pic>
      <xdr:nvPicPr>
        <xdr:cNvPr id="54501" name="Picture 54500">
          <a:extLst>
            <a:ext uri="{FF2B5EF4-FFF2-40B4-BE49-F238E27FC236}">
              <a16:creationId xmlns:a16="http://schemas.microsoft.com/office/drawing/2014/main" id="{00000000-0008-0000-0B00-0000E5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60591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462</xdr:row>
      <xdr:rowOff>39688</xdr:rowOff>
    </xdr:from>
    <xdr:to>
      <xdr:col>2</xdr:col>
      <xdr:colOff>312738</xdr:colOff>
      <xdr:row>462</xdr:row>
      <xdr:rowOff>293688</xdr:rowOff>
    </xdr:to>
    <xdr:pic>
      <xdr:nvPicPr>
        <xdr:cNvPr id="54504" name="Picture 54503">
          <a:extLst>
            <a:ext uri="{FF2B5EF4-FFF2-40B4-BE49-F238E27FC236}">
              <a16:creationId xmlns:a16="http://schemas.microsoft.com/office/drawing/2014/main" id="{00000000-0008-0000-0B00-0000E8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67259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462</xdr:row>
      <xdr:rowOff>39688</xdr:rowOff>
    </xdr:from>
    <xdr:to>
      <xdr:col>6</xdr:col>
      <xdr:colOff>346075</xdr:colOff>
      <xdr:row>462</xdr:row>
      <xdr:rowOff>293688</xdr:rowOff>
    </xdr:to>
    <xdr:pic>
      <xdr:nvPicPr>
        <xdr:cNvPr id="54507" name="Picture 54506">
          <a:extLst>
            <a:ext uri="{FF2B5EF4-FFF2-40B4-BE49-F238E27FC236}">
              <a16:creationId xmlns:a16="http://schemas.microsoft.com/office/drawing/2014/main" id="{00000000-0008-0000-0B00-0000EB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67259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463</xdr:row>
      <xdr:rowOff>39688</xdr:rowOff>
    </xdr:from>
    <xdr:to>
      <xdr:col>2</xdr:col>
      <xdr:colOff>312738</xdr:colOff>
      <xdr:row>463</xdr:row>
      <xdr:rowOff>293688</xdr:rowOff>
    </xdr:to>
    <xdr:pic>
      <xdr:nvPicPr>
        <xdr:cNvPr id="54510" name="Picture 54509">
          <a:extLst>
            <a:ext uri="{FF2B5EF4-FFF2-40B4-BE49-F238E27FC236}">
              <a16:creationId xmlns:a16="http://schemas.microsoft.com/office/drawing/2014/main" id="{00000000-0008-0000-0B00-0000EE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70593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463</xdr:row>
      <xdr:rowOff>39688</xdr:rowOff>
    </xdr:from>
    <xdr:to>
      <xdr:col>6</xdr:col>
      <xdr:colOff>346075</xdr:colOff>
      <xdr:row>463</xdr:row>
      <xdr:rowOff>293688</xdr:rowOff>
    </xdr:to>
    <xdr:pic>
      <xdr:nvPicPr>
        <xdr:cNvPr id="54513" name="Picture 54512">
          <a:extLst>
            <a:ext uri="{FF2B5EF4-FFF2-40B4-BE49-F238E27FC236}">
              <a16:creationId xmlns:a16="http://schemas.microsoft.com/office/drawing/2014/main" id="{00000000-0008-0000-0B00-0000F1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70593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467</xdr:row>
      <xdr:rowOff>39688</xdr:rowOff>
    </xdr:from>
    <xdr:to>
      <xdr:col>2</xdr:col>
      <xdr:colOff>312738</xdr:colOff>
      <xdr:row>467</xdr:row>
      <xdr:rowOff>293688</xdr:rowOff>
    </xdr:to>
    <xdr:pic>
      <xdr:nvPicPr>
        <xdr:cNvPr id="54516" name="Picture 54515">
          <a:extLst>
            <a:ext uri="{FF2B5EF4-FFF2-40B4-BE49-F238E27FC236}">
              <a16:creationId xmlns:a16="http://schemas.microsoft.com/office/drawing/2014/main" id="{00000000-0008-0000-0B00-0000F4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84594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467</xdr:row>
      <xdr:rowOff>39688</xdr:rowOff>
    </xdr:from>
    <xdr:to>
      <xdr:col>6</xdr:col>
      <xdr:colOff>346075</xdr:colOff>
      <xdr:row>467</xdr:row>
      <xdr:rowOff>293688</xdr:rowOff>
    </xdr:to>
    <xdr:pic>
      <xdr:nvPicPr>
        <xdr:cNvPr id="54519" name="Picture 54518">
          <a:extLst>
            <a:ext uri="{FF2B5EF4-FFF2-40B4-BE49-F238E27FC236}">
              <a16:creationId xmlns:a16="http://schemas.microsoft.com/office/drawing/2014/main" id="{00000000-0008-0000-0B00-0000F7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84594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468</xdr:row>
      <xdr:rowOff>39688</xdr:rowOff>
    </xdr:from>
    <xdr:to>
      <xdr:col>2</xdr:col>
      <xdr:colOff>312738</xdr:colOff>
      <xdr:row>468</xdr:row>
      <xdr:rowOff>293688</xdr:rowOff>
    </xdr:to>
    <xdr:pic>
      <xdr:nvPicPr>
        <xdr:cNvPr id="54522" name="Picture 54521">
          <a:extLst>
            <a:ext uri="{FF2B5EF4-FFF2-40B4-BE49-F238E27FC236}">
              <a16:creationId xmlns:a16="http://schemas.microsoft.com/office/drawing/2014/main" id="{00000000-0008-0000-0B00-0000FA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87928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468</xdr:row>
      <xdr:rowOff>39688</xdr:rowOff>
    </xdr:from>
    <xdr:to>
      <xdr:col>6</xdr:col>
      <xdr:colOff>346075</xdr:colOff>
      <xdr:row>468</xdr:row>
      <xdr:rowOff>293688</xdr:rowOff>
    </xdr:to>
    <xdr:pic>
      <xdr:nvPicPr>
        <xdr:cNvPr id="54525" name="Picture 54524">
          <a:extLst>
            <a:ext uri="{FF2B5EF4-FFF2-40B4-BE49-F238E27FC236}">
              <a16:creationId xmlns:a16="http://schemas.microsoft.com/office/drawing/2014/main" id="{00000000-0008-0000-0B00-0000FDD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87928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469</xdr:row>
      <xdr:rowOff>39688</xdr:rowOff>
    </xdr:from>
    <xdr:to>
      <xdr:col>2</xdr:col>
      <xdr:colOff>312738</xdr:colOff>
      <xdr:row>469</xdr:row>
      <xdr:rowOff>293688</xdr:rowOff>
    </xdr:to>
    <xdr:pic>
      <xdr:nvPicPr>
        <xdr:cNvPr id="54528" name="Picture 54527">
          <a:extLst>
            <a:ext uri="{FF2B5EF4-FFF2-40B4-BE49-F238E27FC236}">
              <a16:creationId xmlns:a16="http://schemas.microsoft.com/office/drawing/2014/main" id="{00000000-0008-0000-0B00-000000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91262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469</xdr:row>
      <xdr:rowOff>39688</xdr:rowOff>
    </xdr:from>
    <xdr:to>
      <xdr:col>6</xdr:col>
      <xdr:colOff>346075</xdr:colOff>
      <xdr:row>469</xdr:row>
      <xdr:rowOff>293688</xdr:rowOff>
    </xdr:to>
    <xdr:pic>
      <xdr:nvPicPr>
        <xdr:cNvPr id="54531" name="Picture 54530">
          <a:extLst>
            <a:ext uri="{FF2B5EF4-FFF2-40B4-BE49-F238E27FC236}">
              <a16:creationId xmlns:a16="http://schemas.microsoft.com/office/drawing/2014/main" id="{00000000-0008-0000-0B00-000003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91262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470</xdr:row>
      <xdr:rowOff>39688</xdr:rowOff>
    </xdr:from>
    <xdr:to>
      <xdr:col>2</xdr:col>
      <xdr:colOff>312738</xdr:colOff>
      <xdr:row>470</xdr:row>
      <xdr:rowOff>293688</xdr:rowOff>
    </xdr:to>
    <xdr:pic>
      <xdr:nvPicPr>
        <xdr:cNvPr id="54534" name="Picture 54533">
          <a:extLst>
            <a:ext uri="{FF2B5EF4-FFF2-40B4-BE49-F238E27FC236}">
              <a16:creationId xmlns:a16="http://schemas.microsoft.com/office/drawing/2014/main" id="{00000000-0008-0000-0B00-000006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94596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470</xdr:row>
      <xdr:rowOff>39688</xdr:rowOff>
    </xdr:from>
    <xdr:to>
      <xdr:col>6</xdr:col>
      <xdr:colOff>346075</xdr:colOff>
      <xdr:row>470</xdr:row>
      <xdr:rowOff>293688</xdr:rowOff>
    </xdr:to>
    <xdr:pic>
      <xdr:nvPicPr>
        <xdr:cNvPr id="54537" name="Picture 54536">
          <a:extLst>
            <a:ext uri="{FF2B5EF4-FFF2-40B4-BE49-F238E27FC236}">
              <a16:creationId xmlns:a16="http://schemas.microsoft.com/office/drawing/2014/main" id="{00000000-0008-0000-0B00-000009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94596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471</xdr:row>
      <xdr:rowOff>39688</xdr:rowOff>
    </xdr:from>
    <xdr:to>
      <xdr:col>2</xdr:col>
      <xdr:colOff>312738</xdr:colOff>
      <xdr:row>471</xdr:row>
      <xdr:rowOff>293688</xdr:rowOff>
    </xdr:to>
    <xdr:pic>
      <xdr:nvPicPr>
        <xdr:cNvPr id="54540" name="Picture 54539">
          <a:extLst>
            <a:ext uri="{FF2B5EF4-FFF2-40B4-BE49-F238E27FC236}">
              <a16:creationId xmlns:a16="http://schemas.microsoft.com/office/drawing/2014/main" id="{00000000-0008-0000-0B00-00000C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597929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471</xdr:row>
      <xdr:rowOff>39688</xdr:rowOff>
    </xdr:from>
    <xdr:to>
      <xdr:col>6</xdr:col>
      <xdr:colOff>346075</xdr:colOff>
      <xdr:row>471</xdr:row>
      <xdr:rowOff>293688</xdr:rowOff>
    </xdr:to>
    <xdr:pic>
      <xdr:nvPicPr>
        <xdr:cNvPr id="54543" name="Picture 54542">
          <a:extLst>
            <a:ext uri="{FF2B5EF4-FFF2-40B4-BE49-F238E27FC236}">
              <a16:creationId xmlns:a16="http://schemas.microsoft.com/office/drawing/2014/main" id="{00000000-0008-0000-0B00-00000F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597929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472</xdr:row>
      <xdr:rowOff>39688</xdr:rowOff>
    </xdr:from>
    <xdr:to>
      <xdr:col>2</xdr:col>
      <xdr:colOff>312738</xdr:colOff>
      <xdr:row>472</xdr:row>
      <xdr:rowOff>293688</xdr:rowOff>
    </xdr:to>
    <xdr:pic>
      <xdr:nvPicPr>
        <xdr:cNvPr id="54546" name="Picture 54545">
          <a:extLst>
            <a:ext uri="{FF2B5EF4-FFF2-40B4-BE49-F238E27FC236}">
              <a16:creationId xmlns:a16="http://schemas.microsoft.com/office/drawing/2014/main" id="{00000000-0008-0000-0B00-000012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01263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472</xdr:row>
      <xdr:rowOff>39688</xdr:rowOff>
    </xdr:from>
    <xdr:to>
      <xdr:col>6</xdr:col>
      <xdr:colOff>346075</xdr:colOff>
      <xdr:row>472</xdr:row>
      <xdr:rowOff>293688</xdr:rowOff>
    </xdr:to>
    <xdr:pic>
      <xdr:nvPicPr>
        <xdr:cNvPr id="54549" name="Picture 54548">
          <a:extLst>
            <a:ext uri="{FF2B5EF4-FFF2-40B4-BE49-F238E27FC236}">
              <a16:creationId xmlns:a16="http://schemas.microsoft.com/office/drawing/2014/main" id="{00000000-0008-0000-0B00-000015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01263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473</xdr:row>
      <xdr:rowOff>39688</xdr:rowOff>
    </xdr:from>
    <xdr:to>
      <xdr:col>2</xdr:col>
      <xdr:colOff>312738</xdr:colOff>
      <xdr:row>473</xdr:row>
      <xdr:rowOff>293688</xdr:rowOff>
    </xdr:to>
    <xdr:pic>
      <xdr:nvPicPr>
        <xdr:cNvPr id="54552" name="Picture 54551">
          <a:extLst>
            <a:ext uri="{FF2B5EF4-FFF2-40B4-BE49-F238E27FC236}">
              <a16:creationId xmlns:a16="http://schemas.microsoft.com/office/drawing/2014/main" id="{00000000-0008-0000-0B00-000018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04597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473</xdr:row>
      <xdr:rowOff>39688</xdr:rowOff>
    </xdr:from>
    <xdr:to>
      <xdr:col>6</xdr:col>
      <xdr:colOff>346075</xdr:colOff>
      <xdr:row>473</xdr:row>
      <xdr:rowOff>293688</xdr:rowOff>
    </xdr:to>
    <xdr:pic>
      <xdr:nvPicPr>
        <xdr:cNvPr id="54555" name="Picture 54554">
          <a:extLst>
            <a:ext uri="{FF2B5EF4-FFF2-40B4-BE49-F238E27FC236}">
              <a16:creationId xmlns:a16="http://schemas.microsoft.com/office/drawing/2014/main" id="{00000000-0008-0000-0B00-00001B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04597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475</xdr:row>
      <xdr:rowOff>39688</xdr:rowOff>
    </xdr:from>
    <xdr:to>
      <xdr:col>2</xdr:col>
      <xdr:colOff>312738</xdr:colOff>
      <xdr:row>475</xdr:row>
      <xdr:rowOff>293688</xdr:rowOff>
    </xdr:to>
    <xdr:pic>
      <xdr:nvPicPr>
        <xdr:cNvPr id="54558" name="Picture 54557">
          <a:extLst>
            <a:ext uri="{FF2B5EF4-FFF2-40B4-BE49-F238E27FC236}">
              <a16:creationId xmlns:a16="http://schemas.microsoft.com/office/drawing/2014/main" id="{00000000-0008-0000-0B00-00001E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11264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475</xdr:row>
      <xdr:rowOff>39688</xdr:rowOff>
    </xdr:from>
    <xdr:to>
      <xdr:col>6</xdr:col>
      <xdr:colOff>346075</xdr:colOff>
      <xdr:row>475</xdr:row>
      <xdr:rowOff>293688</xdr:rowOff>
    </xdr:to>
    <xdr:pic>
      <xdr:nvPicPr>
        <xdr:cNvPr id="54561" name="Picture 54560">
          <a:extLst>
            <a:ext uri="{FF2B5EF4-FFF2-40B4-BE49-F238E27FC236}">
              <a16:creationId xmlns:a16="http://schemas.microsoft.com/office/drawing/2014/main" id="{00000000-0008-0000-0B00-000021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11264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476</xdr:row>
      <xdr:rowOff>39688</xdr:rowOff>
    </xdr:from>
    <xdr:to>
      <xdr:col>2</xdr:col>
      <xdr:colOff>312738</xdr:colOff>
      <xdr:row>476</xdr:row>
      <xdr:rowOff>293688</xdr:rowOff>
    </xdr:to>
    <xdr:pic>
      <xdr:nvPicPr>
        <xdr:cNvPr id="54564" name="Picture 54563">
          <a:extLst>
            <a:ext uri="{FF2B5EF4-FFF2-40B4-BE49-F238E27FC236}">
              <a16:creationId xmlns:a16="http://schemas.microsoft.com/office/drawing/2014/main" id="{00000000-0008-0000-0B00-000024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14598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476</xdr:row>
      <xdr:rowOff>39688</xdr:rowOff>
    </xdr:from>
    <xdr:to>
      <xdr:col>6</xdr:col>
      <xdr:colOff>346075</xdr:colOff>
      <xdr:row>476</xdr:row>
      <xdr:rowOff>293688</xdr:rowOff>
    </xdr:to>
    <xdr:pic>
      <xdr:nvPicPr>
        <xdr:cNvPr id="54567" name="Picture 54566">
          <a:extLst>
            <a:ext uri="{FF2B5EF4-FFF2-40B4-BE49-F238E27FC236}">
              <a16:creationId xmlns:a16="http://schemas.microsoft.com/office/drawing/2014/main" id="{00000000-0008-0000-0B00-000027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14598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478</xdr:row>
      <xdr:rowOff>39688</xdr:rowOff>
    </xdr:from>
    <xdr:to>
      <xdr:col>2</xdr:col>
      <xdr:colOff>312738</xdr:colOff>
      <xdr:row>478</xdr:row>
      <xdr:rowOff>293688</xdr:rowOff>
    </xdr:to>
    <xdr:pic>
      <xdr:nvPicPr>
        <xdr:cNvPr id="54570" name="Picture 54569">
          <a:extLst>
            <a:ext uri="{FF2B5EF4-FFF2-40B4-BE49-F238E27FC236}">
              <a16:creationId xmlns:a16="http://schemas.microsoft.com/office/drawing/2014/main" id="{00000000-0008-0000-0B00-00002A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21266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478</xdr:row>
      <xdr:rowOff>39688</xdr:rowOff>
    </xdr:from>
    <xdr:to>
      <xdr:col>6</xdr:col>
      <xdr:colOff>346075</xdr:colOff>
      <xdr:row>478</xdr:row>
      <xdr:rowOff>293688</xdr:rowOff>
    </xdr:to>
    <xdr:pic>
      <xdr:nvPicPr>
        <xdr:cNvPr id="54573" name="Picture 54572">
          <a:extLst>
            <a:ext uri="{FF2B5EF4-FFF2-40B4-BE49-F238E27FC236}">
              <a16:creationId xmlns:a16="http://schemas.microsoft.com/office/drawing/2014/main" id="{00000000-0008-0000-0B00-00002D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21266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482</xdr:row>
      <xdr:rowOff>39688</xdr:rowOff>
    </xdr:from>
    <xdr:to>
      <xdr:col>2</xdr:col>
      <xdr:colOff>312738</xdr:colOff>
      <xdr:row>482</xdr:row>
      <xdr:rowOff>293688</xdr:rowOff>
    </xdr:to>
    <xdr:pic>
      <xdr:nvPicPr>
        <xdr:cNvPr id="54576" name="Picture 54575">
          <a:extLst>
            <a:ext uri="{FF2B5EF4-FFF2-40B4-BE49-F238E27FC236}">
              <a16:creationId xmlns:a16="http://schemas.microsoft.com/office/drawing/2014/main" id="{00000000-0008-0000-0B00-000030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35267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482</xdr:row>
      <xdr:rowOff>39688</xdr:rowOff>
    </xdr:from>
    <xdr:to>
      <xdr:col>6</xdr:col>
      <xdr:colOff>346075</xdr:colOff>
      <xdr:row>482</xdr:row>
      <xdr:rowOff>293688</xdr:rowOff>
    </xdr:to>
    <xdr:pic>
      <xdr:nvPicPr>
        <xdr:cNvPr id="54579" name="Picture 54578">
          <a:extLst>
            <a:ext uri="{FF2B5EF4-FFF2-40B4-BE49-F238E27FC236}">
              <a16:creationId xmlns:a16="http://schemas.microsoft.com/office/drawing/2014/main" id="{00000000-0008-0000-0B00-000033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35267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484</xdr:row>
      <xdr:rowOff>39688</xdr:rowOff>
    </xdr:from>
    <xdr:to>
      <xdr:col>2</xdr:col>
      <xdr:colOff>312738</xdr:colOff>
      <xdr:row>484</xdr:row>
      <xdr:rowOff>293688</xdr:rowOff>
    </xdr:to>
    <xdr:pic>
      <xdr:nvPicPr>
        <xdr:cNvPr id="54582" name="Picture 54581">
          <a:extLst>
            <a:ext uri="{FF2B5EF4-FFF2-40B4-BE49-F238E27FC236}">
              <a16:creationId xmlns:a16="http://schemas.microsoft.com/office/drawing/2014/main" id="{00000000-0008-0000-0B00-000036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41935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484</xdr:row>
      <xdr:rowOff>39688</xdr:rowOff>
    </xdr:from>
    <xdr:to>
      <xdr:col>6</xdr:col>
      <xdr:colOff>346075</xdr:colOff>
      <xdr:row>484</xdr:row>
      <xdr:rowOff>293688</xdr:rowOff>
    </xdr:to>
    <xdr:pic>
      <xdr:nvPicPr>
        <xdr:cNvPr id="54585" name="Picture 54584">
          <a:extLst>
            <a:ext uri="{FF2B5EF4-FFF2-40B4-BE49-F238E27FC236}">
              <a16:creationId xmlns:a16="http://schemas.microsoft.com/office/drawing/2014/main" id="{00000000-0008-0000-0B00-000039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41935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485</xdr:row>
      <xdr:rowOff>39688</xdr:rowOff>
    </xdr:from>
    <xdr:to>
      <xdr:col>2</xdr:col>
      <xdr:colOff>312738</xdr:colOff>
      <xdr:row>485</xdr:row>
      <xdr:rowOff>293688</xdr:rowOff>
    </xdr:to>
    <xdr:pic>
      <xdr:nvPicPr>
        <xdr:cNvPr id="54588" name="Picture 54587">
          <a:extLst>
            <a:ext uri="{FF2B5EF4-FFF2-40B4-BE49-F238E27FC236}">
              <a16:creationId xmlns:a16="http://schemas.microsoft.com/office/drawing/2014/main" id="{00000000-0008-0000-0B00-00003C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45269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485</xdr:row>
      <xdr:rowOff>39688</xdr:rowOff>
    </xdr:from>
    <xdr:to>
      <xdr:col>6</xdr:col>
      <xdr:colOff>346075</xdr:colOff>
      <xdr:row>485</xdr:row>
      <xdr:rowOff>293688</xdr:rowOff>
    </xdr:to>
    <xdr:pic>
      <xdr:nvPicPr>
        <xdr:cNvPr id="54591" name="Picture 54590">
          <a:extLst>
            <a:ext uri="{FF2B5EF4-FFF2-40B4-BE49-F238E27FC236}">
              <a16:creationId xmlns:a16="http://schemas.microsoft.com/office/drawing/2014/main" id="{00000000-0008-0000-0B00-00003F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45269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486</xdr:row>
      <xdr:rowOff>39688</xdr:rowOff>
    </xdr:from>
    <xdr:to>
      <xdr:col>2</xdr:col>
      <xdr:colOff>312738</xdr:colOff>
      <xdr:row>486</xdr:row>
      <xdr:rowOff>293688</xdr:rowOff>
    </xdr:to>
    <xdr:pic>
      <xdr:nvPicPr>
        <xdr:cNvPr id="54594" name="Picture 54593">
          <a:extLst>
            <a:ext uri="{FF2B5EF4-FFF2-40B4-BE49-F238E27FC236}">
              <a16:creationId xmlns:a16="http://schemas.microsoft.com/office/drawing/2014/main" id="{00000000-0008-0000-0B00-000042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48602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486</xdr:row>
      <xdr:rowOff>39688</xdr:rowOff>
    </xdr:from>
    <xdr:to>
      <xdr:col>6</xdr:col>
      <xdr:colOff>346075</xdr:colOff>
      <xdr:row>486</xdr:row>
      <xdr:rowOff>293688</xdr:rowOff>
    </xdr:to>
    <xdr:pic>
      <xdr:nvPicPr>
        <xdr:cNvPr id="54597" name="Picture 54596">
          <a:extLst>
            <a:ext uri="{FF2B5EF4-FFF2-40B4-BE49-F238E27FC236}">
              <a16:creationId xmlns:a16="http://schemas.microsoft.com/office/drawing/2014/main" id="{00000000-0008-0000-0B00-000045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48602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487</xdr:row>
      <xdr:rowOff>39688</xdr:rowOff>
    </xdr:from>
    <xdr:to>
      <xdr:col>2</xdr:col>
      <xdr:colOff>312738</xdr:colOff>
      <xdr:row>487</xdr:row>
      <xdr:rowOff>293688</xdr:rowOff>
    </xdr:to>
    <xdr:pic>
      <xdr:nvPicPr>
        <xdr:cNvPr id="54600" name="Picture 54599">
          <a:extLst>
            <a:ext uri="{FF2B5EF4-FFF2-40B4-BE49-F238E27FC236}">
              <a16:creationId xmlns:a16="http://schemas.microsoft.com/office/drawing/2014/main" id="{00000000-0008-0000-0B00-000048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51936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487</xdr:row>
      <xdr:rowOff>39688</xdr:rowOff>
    </xdr:from>
    <xdr:to>
      <xdr:col>6</xdr:col>
      <xdr:colOff>346075</xdr:colOff>
      <xdr:row>487</xdr:row>
      <xdr:rowOff>293688</xdr:rowOff>
    </xdr:to>
    <xdr:pic>
      <xdr:nvPicPr>
        <xdr:cNvPr id="54603" name="Picture 54602">
          <a:extLst>
            <a:ext uri="{FF2B5EF4-FFF2-40B4-BE49-F238E27FC236}">
              <a16:creationId xmlns:a16="http://schemas.microsoft.com/office/drawing/2014/main" id="{00000000-0008-0000-0B00-00004B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51936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488</xdr:row>
      <xdr:rowOff>39688</xdr:rowOff>
    </xdr:from>
    <xdr:to>
      <xdr:col>2</xdr:col>
      <xdr:colOff>312738</xdr:colOff>
      <xdr:row>488</xdr:row>
      <xdr:rowOff>293688</xdr:rowOff>
    </xdr:to>
    <xdr:pic>
      <xdr:nvPicPr>
        <xdr:cNvPr id="54606" name="Picture 54605">
          <a:extLst>
            <a:ext uri="{FF2B5EF4-FFF2-40B4-BE49-F238E27FC236}">
              <a16:creationId xmlns:a16="http://schemas.microsoft.com/office/drawing/2014/main" id="{00000000-0008-0000-0B00-00004E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55270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488</xdr:row>
      <xdr:rowOff>39688</xdr:rowOff>
    </xdr:from>
    <xdr:to>
      <xdr:col>6</xdr:col>
      <xdr:colOff>346075</xdr:colOff>
      <xdr:row>488</xdr:row>
      <xdr:rowOff>293688</xdr:rowOff>
    </xdr:to>
    <xdr:pic>
      <xdr:nvPicPr>
        <xdr:cNvPr id="54609" name="Picture 54608">
          <a:extLst>
            <a:ext uri="{FF2B5EF4-FFF2-40B4-BE49-F238E27FC236}">
              <a16:creationId xmlns:a16="http://schemas.microsoft.com/office/drawing/2014/main" id="{00000000-0008-0000-0B00-000051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55270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490</xdr:row>
      <xdr:rowOff>39688</xdr:rowOff>
    </xdr:from>
    <xdr:to>
      <xdr:col>2</xdr:col>
      <xdr:colOff>312738</xdr:colOff>
      <xdr:row>490</xdr:row>
      <xdr:rowOff>293688</xdr:rowOff>
    </xdr:to>
    <xdr:pic>
      <xdr:nvPicPr>
        <xdr:cNvPr id="54612" name="Picture 54611">
          <a:extLst>
            <a:ext uri="{FF2B5EF4-FFF2-40B4-BE49-F238E27FC236}">
              <a16:creationId xmlns:a16="http://schemas.microsoft.com/office/drawing/2014/main" id="{00000000-0008-0000-0B00-000054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61937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490</xdr:row>
      <xdr:rowOff>39688</xdr:rowOff>
    </xdr:from>
    <xdr:to>
      <xdr:col>6</xdr:col>
      <xdr:colOff>346075</xdr:colOff>
      <xdr:row>490</xdr:row>
      <xdr:rowOff>293688</xdr:rowOff>
    </xdr:to>
    <xdr:pic>
      <xdr:nvPicPr>
        <xdr:cNvPr id="54615" name="Picture 54614">
          <a:extLst>
            <a:ext uri="{FF2B5EF4-FFF2-40B4-BE49-F238E27FC236}">
              <a16:creationId xmlns:a16="http://schemas.microsoft.com/office/drawing/2014/main" id="{00000000-0008-0000-0B00-000057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61937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491</xdr:row>
      <xdr:rowOff>39688</xdr:rowOff>
    </xdr:from>
    <xdr:to>
      <xdr:col>2</xdr:col>
      <xdr:colOff>312738</xdr:colOff>
      <xdr:row>491</xdr:row>
      <xdr:rowOff>293688</xdr:rowOff>
    </xdr:to>
    <xdr:pic>
      <xdr:nvPicPr>
        <xdr:cNvPr id="54618" name="Picture 54617">
          <a:extLst>
            <a:ext uri="{FF2B5EF4-FFF2-40B4-BE49-F238E27FC236}">
              <a16:creationId xmlns:a16="http://schemas.microsoft.com/office/drawing/2014/main" id="{00000000-0008-0000-0B00-00005A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65271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491</xdr:row>
      <xdr:rowOff>39688</xdr:rowOff>
    </xdr:from>
    <xdr:to>
      <xdr:col>6</xdr:col>
      <xdr:colOff>346075</xdr:colOff>
      <xdr:row>491</xdr:row>
      <xdr:rowOff>293688</xdr:rowOff>
    </xdr:to>
    <xdr:pic>
      <xdr:nvPicPr>
        <xdr:cNvPr id="54621" name="Picture 54620">
          <a:extLst>
            <a:ext uri="{FF2B5EF4-FFF2-40B4-BE49-F238E27FC236}">
              <a16:creationId xmlns:a16="http://schemas.microsoft.com/office/drawing/2014/main" id="{00000000-0008-0000-0B00-00005D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65271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495</xdr:row>
      <xdr:rowOff>39688</xdr:rowOff>
    </xdr:from>
    <xdr:to>
      <xdr:col>2</xdr:col>
      <xdr:colOff>312738</xdr:colOff>
      <xdr:row>495</xdr:row>
      <xdr:rowOff>293688</xdr:rowOff>
    </xdr:to>
    <xdr:pic>
      <xdr:nvPicPr>
        <xdr:cNvPr id="54624" name="Picture 54623">
          <a:extLst>
            <a:ext uri="{FF2B5EF4-FFF2-40B4-BE49-F238E27FC236}">
              <a16:creationId xmlns:a16="http://schemas.microsoft.com/office/drawing/2014/main" id="{00000000-0008-0000-0B00-000060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79273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495</xdr:row>
      <xdr:rowOff>39688</xdr:rowOff>
    </xdr:from>
    <xdr:to>
      <xdr:col>6</xdr:col>
      <xdr:colOff>346075</xdr:colOff>
      <xdr:row>495</xdr:row>
      <xdr:rowOff>293688</xdr:rowOff>
    </xdr:to>
    <xdr:pic>
      <xdr:nvPicPr>
        <xdr:cNvPr id="54627" name="Picture 54626">
          <a:extLst>
            <a:ext uri="{FF2B5EF4-FFF2-40B4-BE49-F238E27FC236}">
              <a16:creationId xmlns:a16="http://schemas.microsoft.com/office/drawing/2014/main" id="{00000000-0008-0000-0B00-000063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79273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496</xdr:row>
      <xdr:rowOff>39688</xdr:rowOff>
    </xdr:from>
    <xdr:to>
      <xdr:col>2</xdr:col>
      <xdr:colOff>312738</xdr:colOff>
      <xdr:row>496</xdr:row>
      <xdr:rowOff>293688</xdr:rowOff>
    </xdr:to>
    <xdr:pic>
      <xdr:nvPicPr>
        <xdr:cNvPr id="54630" name="Picture 54629">
          <a:extLst>
            <a:ext uri="{FF2B5EF4-FFF2-40B4-BE49-F238E27FC236}">
              <a16:creationId xmlns:a16="http://schemas.microsoft.com/office/drawing/2014/main" id="{00000000-0008-0000-0B00-000066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82607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496</xdr:row>
      <xdr:rowOff>39688</xdr:rowOff>
    </xdr:from>
    <xdr:to>
      <xdr:col>6</xdr:col>
      <xdr:colOff>346075</xdr:colOff>
      <xdr:row>496</xdr:row>
      <xdr:rowOff>293688</xdr:rowOff>
    </xdr:to>
    <xdr:pic>
      <xdr:nvPicPr>
        <xdr:cNvPr id="54633" name="Picture 54632">
          <a:extLst>
            <a:ext uri="{FF2B5EF4-FFF2-40B4-BE49-F238E27FC236}">
              <a16:creationId xmlns:a16="http://schemas.microsoft.com/office/drawing/2014/main" id="{00000000-0008-0000-0B00-000069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82607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497</xdr:row>
      <xdr:rowOff>39688</xdr:rowOff>
    </xdr:from>
    <xdr:to>
      <xdr:col>2</xdr:col>
      <xdr:colOff>312738</xdr:colOff>
      <xdr:row>497</xdr:row>
      <xdr:rowOff>293688</xdr:rowOff>
    </xdr:to>
    <xdr:pic>
      <xdr:nvPicPr>
        <xdr:cNvPr id="54636" name="Picture 54635">
          <a:extLst>
            <a:ext uri="{FF2B5EF4-FFF2-40B4-BE49-F238E27FC236}">
              <a16:creationId xmlns:a16="http://schemas.microsoft.com/office/drawing/2014/main" id="{00000000-0008-0000-0B00-00006C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85940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497</xdr:row>
      <xdr:rowOff>39688</xdr:rowOff>
    </xdr:from>
    <xdr:to>
      <xdr:col>6</xdr:col>
      <xdr:colOff>346075</xdr:colOff>
      <xdr:row>497</xdr:row>
      <xdr:rowOff>293688</xdr:rowOff>
    </xdr:to>
    <xdr:pic>
      <xdr:nvPicPr>
        <xdr:cNvPr id="54639" name="Picture 54638">
          <a:extLst>
            <a:ext uri="{FF2B5EF4-FFF2-40B4-BE49-F238E27FC236}">
              <a16:creationId xmlns:a16="http://schemas.microsoft.com/office/drawing/2014/main" id="{00000000-0008-0000-0B00-00006F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85940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499</xdr:row>
      <xdr:rowOff>39688</xdr:rowOff>
    </xdr:from>
    <xdr:to>
      <xdr:col>2</xdr:col>
      <xdr:colOff>312738</xdr:colOff>
      <xdr:row>499</xdr:row>
      <xdr:rowOff>293688</xdr:rowOff>
    </xdr:to>
    <xdr:pic>
      <xdr:nvPicPr>
        <xdr:cNvPr id="54642" name="Picture 54641">
          <a:extLst>
            <a:ext uri="{FF2B5EF4-FFF2-40B4-BE49-F238E27FC236}">
              <a16:creationId xmlns:a16="http://schemas.microsoft.com/office/drawing/2014/main" id="{00000000-0008-0000-0B00-000072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92608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499</xdr:row>
      <xdr:rowOff>39688</xdr:rowOff>
    </xdr:from>
    <xdr:to>
      <xdr:col>6</xdr:col>
      <xdr:colOff>346075</xdr:colOff>
      <xdr:row>499</xdr:row>
      <xdr:rowOff>293688</xdr:rowOff>
    </xdr:to>
    <xdr:pic>
      <xdr:nvPicPr>
        <xdr:cNvPr id="54645" name="Picture 54644">
          <a:extLst>
            <a:ext uri="{FF2B5EF4-FFF2-40B4-BE49-F238E27FC236}">
              <a16:creationId xmlns:a16="http://schemas.microsoft.com/office/drawing/2014/main" id="{00000000-0008-0000-0B00-000075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92608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500</xdr:row>
      <xdr:rowOff>39688</xdr:rowOff>
    </xdr:from>
    <xdr:to>
      <xdr:col>2</xdr:col>
      <xdr:colOff>312738</xdr:colOff>
      <xdr:row>500</xdr:row>
      <xdr:rowOff>293688</xdr:rowOff>
    </xdr:to>
    <xdr:pic>
      <xdr:nvPicPr>
        <xdr:cNvPr id="54648" name="Picture 54647">
          <a:extLst>
            <a:ext uri="{FF2B5EF4-FFF2-40B4-BE49-F238E27FC236}">
              <a16:creationId xmlns:a16="http://schemas.microsoft.com/office/drawing/2014/main" id="{00000000-0008-0000-0B00-000078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95942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500</xdr:row>
      <xdr:rowOff>39688</xdr:rowOff>
    </xdr:from>
    <xdr:to>
      <xdr:col>6</xdr:col>
      <xdr:colOff>346075</xdr:colOff>
      <xdr:row>500</xdr:row>
      <xdr:rowOff>293688</xdr:rowOff>
    </xdr:to>
    <xdr:pic>
      <xdr:nvPicPr>
        <xdr:cNvPr id="54651" name="Picture 54650">
          <a:extLst>
            <a:ext uri="{FF2B5EF4-FFF2-40B4-BE49-F238E27FC236}">
              <a16:creationId xmlns:a16="http://schemas.microsoft.com/office/drawing/2014/main" id="{00000000-0008-0000-0B00-00007B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95942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501</xdr:row>
      <xdr:rowOff>39688</xdr:rowOff>
    </xdr:from>
    <xdr:to>
      <xdr:col>2</xdr:col>
      <xdr:colOff>312738</xdr:colOff>
      <xdr:row>501</xdr:row>
      <xdr:rowOff>293688</xdr:rowOff>
    </xdr:to>
    <xdr:pic>
      <xdr:nvPicPr>
        <xdr:cNvPr id="54654" name="Picture 54653">
          <a:extLst>
            <a:ext uri="{FF2B5EF4-FFF2-40B4-BE49-F238E27FC236}">
              <a16:creationId xmlns:a16="http://schemas.microsoft.com/office/drawing/2014/main" id="{00000000-0008-0000-0B00-00007E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699275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501</xdr:row>
      <xdr:rowOff>39688</xdr:rowOff>
    </xdr:from>
    <xdr:to>
      <xdr:col>6</xdr:col>
      <xdr:colOff>346075</xdr:colOff>
      <xdr:row>501</xdr:row>
      <xdr:rowOff>293688</xdr:rowOff>
    </xdr:to>
    <xdr:pic>
      <xdr:nvPicPr>
        <xdr:cNvPr id="54657" name="Picture 54656">
          <a:extLst>
            <a:ext uri="{FF2B5EF4-FFF2-40B4-BE49-F238E27FC236}">
              <a16:creationId xmlns:a16="http://schemas.microsoft.com/office/drawing/2014/main" id="{00000000-0008-0000-0B00-000081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699275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502</xdr:row>
      <xdr:rowOff>39688</xdr:rowOff>
    </xdr:from>
    <xdr:to>
      <xdr:col>2</xdr:col>
      <xdr:colOff>312738</xdr:colOff>
      <xdr:row>502</xdr:row>
      <xdr:rowOff>293688</xdr:rowOff>
    </xdr:to>
    <xdr:pic>
      <xdr:nvPicPr>
        <xdr:cNvPr id="54660" name="Picture 54659">
          <a:extLst>
            <a:ext uri="{FF2B5EF4-FFF2-40B4-BE49-F238E27FC236}">
              <a16:creationId xmlns:a16="http://schemas.microsoft.com/office/drawing/2014/main" id="{00000000-0008-0000-0B00-000084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02609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502</xdr:row>
      <xdr:rowOff>39688</xdr:rowOff>
    </xdr:from>
    <xdr:to>
      <xdr:col>6</xdr:col>
      <xdr:colOff>346075</xdr:colOff>
      <xdr:row>502</xdr:row>
      <xdr:rowOff>293688</xdr:rowOff>
    </xdr:to>
    <xdr:pic>
      <xdr:nvPicPr>
        <xdr:cNvPr id="54663" name="Picture 54662">
          <a:extLst>
            <a:ext uri="{FF2B5EF4-FFF2-40B4-BE49-F238E27FC236}">
              <a16:creationId xmlns:a16="http://schemas.microsoft.com/office/drawing/2014/main" id="{00000000-0008-0000-0B00-000087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02609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504</xdr:row>
      <xdr:rowOff>39688</xdr:rowOff>
    </xdr:from>
    <xdr:to>
      <xdr:col>2</xdr:col>
      <xdr:colOff>312738</xdr:colOff>
      <xdr:row>504</xdr:row>
      <xdr:rowOff>293688</xdr:rowOff>
    </xdr:to>
    <xdr:pic>
      <xdr:nvPicPr>
        <xdr:cNvPr id="54666" name="Picture 54665">
          <a:extLst>
            <a:ext uri="{FF2B5EF4-FFF2-40B4-BE49-F238E27FC236}">
              <a16:creationId xmlns:a16="http://schemas.microsoft.com/office/drawing/2014/main" id="{00000000-0008-0000-0B00-00008A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09277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504</xdr:row>
      <xdr:rowOff>39688</xdr:rowOff>
    </xdr:from>
    <xdr:to>
      <xdr:col>6</xdr:col>
      <xdr:colOff>346075</xdr:colOff>
      <xdr:row>504</xdr:row>
      <xdr:rowOff>293688</xdr:rowOff>
    </xdr:to>
    <xdr:pic>
      <xdr:nvPicPr>
        <xdr:cNvPr id="54669" name="Picture 54668">
          <a:extLst>
            <a:ext uri="{FF2B5EF4-FFF2-40B4-BE49-F238E27FC236}">
              <a16:creationId xmlns:a16="http://schemas.microsoft.com/office/drawing/2014/main" id="{00000000-0008-0000-0B00-00008D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09277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505</xdr:row>
      <xdr:rowOff>39688</xdr:rowOff>
    </xdr:from>
    <xdr:to>
      <xdr:col>2</xdr:col>
      <xdr:colOff>312738</xdr:colOff>
      <xdr:row>505</xdr:row>
      <xdr:rowOff>293688</xdr:rowOff>
    </xdr:to>
    <xdr:pic>
      <xdr:nvPicPr>
        <xdr:cNvPr id="54672" name="Picture 54671">
          <a:extLst>
            <a:ext uri="{FF2B5EF4-FFF2-40B4-BE49-F238E27FC236}">
              <a16:creationId xmlns:a16="http://schemas.microsoft.com/office/drawing/2014/main" id="{00000000-0008-0000-0B00-000090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12610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505</xdr:row>
      <xdr:rowOff>39688</xdr:rowOff>
    </xdr:from>
    <xdr:to>
      <xdr:col>6</xdr:col>
      <xdr:colOff>346075</xdr:colOff>
      <xdr:row>505</xdr:row>
      <xdr:rowOff>293688</xdr:rowOff>
    </xdr:to>
    <xdr:pic>
      <xdr:nvPicPr>
        <xdr:cNvPr id="54675" name="Picture 54674">
          <a:extLst>
            <a:ext uri="{FF2B5EF4-FFF2-40B4-BE49-F238E27FC236}">
              <a16:creationId xmlns:a16="http://schemas.microsoft.com/office/drawing/2014/main" id="{00000000-0008-0000-0B00-000093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12610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506</xdr:row>
      <xdr:rowOff>39688</xdr:rowOff>
    </xdr:from>
    <xdr:to>
      <xdr:col>2</xdr:col>
      <xdr:colOff>312738</xdr:colOff>
      <xdr:row>506</xdr:row>
      <xdr:rowOff>293688</xdr:rowOff>
    </xdr:to>
    <xdr:pic>
      <xdr:nvPicPr>
        <xdr:cNvPr id="54678" name="Picture 54677">
          <a:extLst>
            <a:ext uri="{FF2B5EF4-FFF2-40B4-BE49-F238E27FC236}">
              <a16:creationId xmlns:a16="http://schemas.microsoft.com/office/drawing/2014/main" id="{00000000-0008-0000-0B00-000096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15944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506</xdr:row>
      <xdr:rowOff>39688</xdr:rowOff>
    </xdr:from>
    <xdr:to>
      <xdr:col>6</xdr:col>
      <xdr:colOff>346075</xdr:colOff>
      <xdr:row>506</xdr:row>
      <xdr:rowOff>293688</xdr:rowOff>
    </xdr:to>
    <xdr:pic>
      <xdr:nvPicPr>
        <xdr:cNvPr id="54681" name="Picture 54680">
          <a:extLst>
            <a:ext uri="{FF2B5EF4-FFF2-40B4-BE49-F238E27FC236}">
              <a16:creationId xmlns:a16="http://schemas.microsoft.com/office/drawing/2014/main" id="{00000000-0008-0000-0B00-000099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15944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510</xdr:row>
      <xdr:rowOff>39688</xdr:rowOff>
    </xdr:from>
    <xdr:to>
      <xdr:col>2</xdr:col>
      <xdr:colOff>312738</xdr:colOff>
      <xdr:row>510</xdr:row>
      <xdr:rowOff>293688</xdr:rowOff>
    </xdr:to>
    <xdr:pic>
      <xdr:nvPicPr>
        <xdr:cNvPr id="54684" name="Picture 54683">
          <a:extLst>
            <a:ext uri="{FF2B5EF4-FFF2-40B4-BE49-F238E27FC236}">
              <a16:creationId xmlns:a16="http://schemas.microsoft.com/office/drawing/2014/main" id="{00000000-0008-0000-0B00-00009C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29946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510</xdr:row>
      <xdr:rowOff>39688</xdr:rowOff>
    </xdr:from>
    <xdr:to>
      <xdr:col>6</xdr:col>
      <xdr:colOff>346075</xdr:colOff>
      <xdr:row>510</xdr:row>
      <xdr:rowOff>293688</xdr:rowOff>
    </xdr:to>
    <xdr:pic>
      <xdr:nvPicPr>
        <xdr:cNvPr id="54687" name="Picture 54686">
          <a:extLst>
            <a:ext uri="{FF2B5EF4-FFF2-40B4-BE49-F238E27FC236}">
              <a16:creationId xmlns:a16="http://schemas.microsoft.com/office/drawing/2014/main" id="{00000000-0008-0000-0B00-00009F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29946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511</xdr:row>
      <xdr:rowOff>39688</xdr:rowOff>
    </xdr:from>
    <xdr:to>
      <xdr:col>2</xdr:col>
      <xdr:colOff>312738</xdr:colOff>
      <xdr:row>511</xdr:row>
      <xdr:rowOff>293688</xdr:rowOff>
    </xdr:to>
    <xdr:pic>
      <xdr:nvPicPr>
        <xdr:cNvPr id="54690" name="Picture 54689">
          <a:extLst>
            <a:ext uri="{FF2B5EF4-FFF2-40B4-BE49-F238E27FC236}">
              <a16:creationId xmlns:a16="http://schemas.microsoft.com/office/drawing/2014/main" id="{00000000-0008-0000-0B00-0000A2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33280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511</xdr:row>
      <xdr:rowOff>39688</xdr:rowOff>
    </xdr:from>
    <xdr:to>
      <xdr:col>6</xdr:col>
      <xdr:colOff>346075</xdr:colOff>
      <xdr:row>511</xdr:row>
      <xdr:rowOff>293688</xdr:rowOff>
    </xdr:to>
    <xdr:pic>
      <xdr:nvPicPr>
        <xdr:cNvPr id="54693" name="Picture 54692">
          <a:extLst>
            <a:ext uri="{FF2B5EF4-FFF2-40B4-BE49-F238E27FC236}">
              <a16:creationId xmlns:a16="http://schemas.microsoft.com/office/drawing/2014/main" id="{00000000-0008-0000-0B00-0000A5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33280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512</xdr:row>
      <xdr:rowOff>39688</xdr:rowOff>
    </xdr:from>
    <xdr:to>
      <xdr:col>2</xdr:col>
      <xdr:colOff>312738</xdr:colOff>
      <xdr:row>512</xdr:row>
      <xdr:rowOff>293688</xdr:rowOff>
    </xdr:to>
    <xdr:pic>
      <xdr:nvPicPr>
        <xdr:cNvPr id="54696" name="Picture 54695">
          <a:extLst>
            <a:ext uri="{FF2B5EF4-FFF2-40B4-BE49-F238E27FC236}">
              <a16:creationId xmlns:a16="http://schemas.microsoft.com/office/drawing/2014/main" id="{00000000-0008-0000-0B00-0000A8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36613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512</xdr:row>
      <xdr:rowOff>39688</xdr:rowOff>
    </xdr:from>
    <xdr:to>
      <xdr:col>6</xdr:col>
      <xdr:colOff>346075</xdr:colOff>
      <xdr:row>512</xdr:row>
      <xdr:rowOff>293688</xdr:rowOff>
    </xdr:to>
    <xdr:pic>
      <xdr:nvPicPr>
        <xdr:cNvPr id="54699" name="Picture 54698">
          <a:extLst>
            <a:ext uri="{FF2B5EF4-FFF2-40B4-BE49-F238E27FC236}">
              <a16:creationId xmlns:a16="http://schemas.microsoft.com/office/drawing/2014/main" id="{00000000-0008-0000-0B00-0000AB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36613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514</xdr:row>
      <xdr:rowOff>39688</xdr:rowOff>
    </xdr:from>
    <xdr:to>
      <xdr:col>2</xdr:col>
      <xdr:colOff>312738</xdr:colOff>
      <xdr:row>514</xdr:row>
      <xdr:rowOff>293688</xdr:rowOff>
    </xdr:to>
    <xdr:pic>
      <xdr:nvPicPr>
        <xdr:cNvPr id="54702" name="Picture 54701">
          <a:extLst>
            <a:ext uri="{FF2B5EF4-FFF2-40B4-BE49-F238E27FC236}">
              <a16:creationId xmlns:a16="http://schemas.microsoft.com/office/drawing/2014/main" id="{00000000-0008-0000-0B00-0000AE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43281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514</xdr:row>
      <xdr:rowOff>39688</xdr:rowOff>
    </xdr:from>
    <xdr:to>
      <xdr:col>6</xdr:col>
      <xdr:colOff>346075</xdr:colOff>
      <xdr:row>514</xdr:row>
      <xdr:rowOff>293688</xdr:rowOff>
    </xdr:to>
    <xdr:pic>
      <xdr:nvPicPr>
        <xdr:cNvPr id="54705" name="Picture 54704">
          <a:extLst>
            <a:ext uri="{FF2B5EF4-FFF2-40B4-BE49-F238E27FC236}">
              <a16:creationId xmlns:a16="http://schemas.microsoft.com/office/drawing/2014/main" id="{00000000-0008-0000-0B00-0000B1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43281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515</xdr:row>
      <xdr:rowOff>39688</xdr:rowOff>
    </xdr:from>
    <xdr:to>
      <xdr:col>2</xdr:col>
      <xdr:colOff>312738</xdr:colOff>
      <xdr:row>515</xdr:row>
      <xdr:rowOff>293688</xdr:rowOff>
    </xdr:to>
    <xdr:pic>
      <xdr:nvPicPr>
        <xdr:cNvPr id="54708" name="Picture 54707">
          <a:extLst>
            <a:ext uri="{FF2B5EF4-FFF2-40B4-BE49-F238E27FC236}">
              <a16:creationId xmlns:a16="http://schemas.microsoft.com/office/drawing/2014/main" id="{00000000-0008-0000-0B00-0000B4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46615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515</xdr:row>
      <xdr:rowOff>39688</xdr:rowOff>
    </xdr:from>
    <xdr:to>
      <xdr:col>6</xdr:col>
      <xdr:colOff>346075</xdr:colOff>
      <xdr:row>515</xdr:row>
      <xdr:rowOff>293688</xdr:rowOff>
    </xdr:to>
    <xdr:pic>
      <xdr:nvPicPr>
        <xdr:cNvPr id="54711" name="Picture 54710">
          <a:extLst>
            <a:ext uri="{FF2B5EF4-FFF2-40B4-BE49-F238E27FC236}">
              <a16:creationId xmlns:a16="http://schemas.microsoft.com/office/drawing/2014/main" id="{00000000-0008-0000-0B00-0000B7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46615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516</xdr:row>
      <xdr:rowOff>39688</xdr:rowOff>
    </xdr:from>
    <xdr:to>
      <xdr:col>2</xdr:col>
      <xdr:colOff>312738</xdr:colOff>
      <xdr:row>516</xdr:row>
      <xdr:rowOff>293688</xdr:rowOff>
    </xdr:to>
    <xdr:pic>
      <xdr:nvPicPr>
        <xdr:cNvPr id="54714" name="Picture 54713">
          <a:extLst>
            <a:ext uri="{FF2B5EF4-FFF2-40B4-BE49-F238E27FC236}">
              <a16:creationId xmlns:a16="http://schemas.microsoft.com/office/drawing/2014/main" id="{00000000-0008-0000-0B00-0000BA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49948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516</xdr:row>
      <xdr:rowOff>39688</xdr:rowOff>
    </xdr:from>
    <xdr:to>
      <xdr:col>6</xdr:col>
      <xdr:colOff>346075</xdr:colOff>
      <xdr:row>516</xdr:row>
      <xdr:rowOff>293688</xdr:rowOff>
    </xdr:to>
    <xdr:pic>
      <xdr:nvPicPr>
        <xdr:cNvPr id="54717" name="Picture 54716">
          <a:extLst>
            <a:ext uri="{FF2B5EF4-FFF2-40B4-BE49-F238E27FC236}">
              <a16:creationId xmlns:a16="http://schemas.microsoft.com/office/drawing/2014/main" id="{00000000-0008-0000-0B00-0000BD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49948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517</xdr:row>
      <xdr:rowOff>39688</xdr:rowOff>
    </xdr:from>
    <xdr:to>
      <xdr:col>2</xdr:col>
      <xdr:colOff>312738</xdr:colOff>
      <xdr:row>517</xdr:row>
      <xdr:rowOff>293688</xdr:rowOff>
    </xdr:to>
    <xdr:pic>
      <xdr:nvPicPr>
        <xdr:cNvPr id="54720" name="Picture 54719">
          <a:extLst>
            <a:ext uri="{FF2B5EF4-FFF2-40B4-BE49-F238E27FC236}">
              <a16:creationId xmlns:a16="http://schemas.microsoft.com/office/drawing/2014/main" id="{00000000-0008-0000-0B00-0000C0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53282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517</xdr:row>
      <xdr:rowOff>39688</xdr:rowOff>
    </xdr:from>
    <xdr:to>
      <xdr:col>6</xdr:col>
      <xdr:colOff>346075</xdr:colOff>
      <xdr:row>517</xdr:row>
      <xdr:rowOff>293688</xdr:rowOff>
    </xdr:to>
    <xdr:pic>
      <xdr:nvPicPr>
        <xdr:cNvPr id="54723" name="Picture 54722">
          <a:extLst>
            <a:ext uri="{FF2B5EF4-FFF2-40B4-BE49-F238E27FC236}">
              <a16:creationId xmlns:a16="http://schemas.microsoft.com/office/drawing/2014/main" id="{00000000-0008-0000-0B00-0000C3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53282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518</xdr:row>
      <xdr:rowOff>39688</xdr:rowOff>
    </xdr:from>
    <xdr:to>
      <xdr:col>2</xdr:col>
      <xdr:colOff>312738</xdr:colOff>
      <xdr:row>518</xdr:row>
      <xdr:rowOff>293688</xdr:rowOff>
    </xdr:to>
    <xdr:pic>
      <xdr:nvPicPr>
        <xdr:cNvPr id="54726" name="Picture 54725">
          <a:extLst>
            <a:ext uri="{FF2B5EF4-FFF2-40B4-BE49-F238E27FC236}">
              <a16:creationId xmlns:a16="http://schemas.microsoft.com/office/drawing/2014/main" id="{00000000-0008-0000-0B00-0000C6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56616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518</xdr:row>
      <xdr:rowOff>39688</xdr:rowOff>
    </xdr:from>
    <xdr:to>
      <xdr:col>6</xdr:col>
      <xdr:colOff>346075</xdr:colOff>
      <xdr:row>518</xdr:row>
      <xdr:rowOff>293688</xdr:rowOff>
    </xdr:to>
    <xdr:pic>
      <xdr:nvPicPr>
        <xdr:cNvPr id="54729" name="Picture 54728">
          <a:extLst>
            <a:ext uri="{FF2B5EF4-FFF2-40B4-BE49-F238E27FC236}">
              <a16:creationId xmlns:a16="http://schemas.microsoft.com/office/drawing/2014/main" id="{00000000-0008-0000-0B00-0000C9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56616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520</xdr:row>
      <xdr:rowOff>39688</xdr:rowOff>
    </xdr:from>
    <xdr:to>
      <xdr:col>2</xdr:col>
      <xdr:colOff>312738</xdr:colOff>
      <xdr:row>520</xdr:row>
      <xdr:rowOff>293688</xdr:rowOff>
    </xdr:to>
    <xdr:pic>
      <xdr:nvPicPr>
        <xdr:cNvPr id="54732" name="Picture 54731">
          <a:extLst>
            <a:ext uri="{FF2B5EF4-FFF2-40B4-BE49-F238E27FC236}">
              <a16:creationId xmlns:a16="http://schemas.microsoft.com/office/drawing/2014/main" id="{00000000-0008-0000-0B00-0000CC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63283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520</xdr:row>
      <xdr:rowOff>39688</xdr:rowOff>
    </xdr:from>
    <xdr:to>
      <xdr:col>6</xdr:col>
      <xdr:colOff>346075</xdr:colOff>
      <xdr:row>520</xdr:row>
      <xdr:rowOff>293688</xdr:rowOff>
    </xdr:to>
    <xdr:pic>
      <xdr:nvPicPr>
        <xdr:cNvPr id="54735" name="Picture 54734">
          <a:extLst>
            <a:ext uri="{FF2B5EF4-FFF2-40B4-BE49-F238E27FC236}">
              <a16:creationId xmlns:a16="http://schemas.microsoft.com/office/drawing/2014/main" id="{00000000-0008-0000-0B00-0000CF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63283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522</xdr:row>
      <xdr:rowOff>39688</xdr:rowOff>
    </xdr:from>
    <xdr:to>
      <xdr:col>2</xdr:col>
      <xdr:colOff>312738</xdr:colOff>
      <xdr:row>522</xdr:row>
      <xdr:rowOff>293688</xdr:rowOff>
    </xdr:to>
    <xdr:pic>
      <xdr:nvPicPr>
        <xdr:cNvPr id="54738" name="Picture 54737">
          <a:extLst>
            <a:ext uri="{FF2B5EF4-FFF2-40B4-BE49-F238E27FC236}">
              <a16:creationId xmlns:a16="http://schemas.microsoft.com/office/drawing/2014/main" id="{00000000-0008-0000-0B00-0000D2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69951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522</xdr:row>
      <xdr:rowOff>39688</xdr:rowOff>
    </xdr:from>
    <xdr:to>
      <xdr:col>6</xdr:col>
      <xdr:colOff>346075</xdr:colOff>
      <xdr:row>522</xdr:row>
      <xdr:rowOff>293688</xdr:rowOff>
    </xdr:to>
    <xdr:pic>
      <xdr:nvPicPr>
        <xdr:cNvPr id="54741" name="Picture 54740">
          <a:extLst>
            <a:ext uri="{FF2B5EF4-FFF2-40B4-BE49-F238E27FC236}">
              <a16:creationId xmlns:a16="http://schemas.microsoft.com/office/drawing/2014/main" id="{00000000-0008-0000-0B00-0000D5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69951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526</xdr:row>
      <xdr:rowOff>39688</xdr:rowOff>
    </xdr:from>
    <xdr:to>
      <xdr:col>2</xdr:col>
      <xdr:colOff>312738</xdr:colOff>
      <xdr:row>526</xdr:row>
      <xdr:rowOff>293688</xdr:rowOff>
    </xdr:to>
    <xdr:pic>
      <xdr:nvPicPr>
        <xdr:cNvPr id="54744" name="Picture 54743">
          <a:extLst>
            <a:ext uri="{FF2B5EF4-FFF2-40B4-BE49-F238E27FC236}">
              <a16:creationId xmlns:a16="http://schemas.microsoft.com/office/drawing/2014/main" id="{00000000-0008-0000-0B00-0000D8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83953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526</xdr:row>
      <xdr:rowOff>39688</xdr:rowOff>
    </xdr:from>
    <xdr:to>
      <xdr:col>6</xdr:col>
      <xdr:colOff>346075</xdr:colOff>
      <xdr:row>526</xdr:row>
      <xdr:rowOff>293688</xdr:rowOff>
    </xdr:to>
    <xdr:pic>
      <xdr:nvPicPr>
        <xdr:cNvPr id="54747" name="Picture 54746">
          <a:extLst>
            <a:ext uri="{FF2B5EF4-FFF2-40B4-BE49-F238E27FC236}">
              <a16:creationId xmlns:a16="http://schemas.microsoft.com/office/drawing/2014/main" id="{00000000-0008-0000-0B00-0000DB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83953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527</xdr:row>
      <xdr:rowOff>39688</xdr:rowOff>
    </xdr:from>
    <xdr:to>
      <xdr:col>2</xdr:col>
      <xdr:colOff>312738</xdr:colOff>
      <xdr:row>527</xdr:row>
      <xdr:rowOff>293688</xdr:rowOff>
    </xdr:to>
    <xdr:pic>
      <xdr:nvPicPr>
        <xdr:cNvPr id="54750" name="Picture 54749">
          <a:extLst>
            <a:ext uri="{FF2B5EF4-FFF2-40B4-BE49-F238E27FC236}">
              <a16:creationId xmlns:a16="http://schemas.microsoft.com/office/drawing/2014/main" id="{00000000-0008-0000-0B00-0000DE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87286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527</xdr:row>
      <xdr:rowOff>39688</xdr:rowOff>
    </xdr:from>
    <xdr:to>
      <xdr:col>6</xdr:col>
      <xdr:colOff>346075</xdr:colOff>
      <xdr:row>527</xdr:row>
      <xdr:rowOff>293688</xdr:rowOff>
    </xdr:to>
    <xdr:pic>
      <xdr:nvPicPr>
        <xdr:cNvPr id="54753" name="Picture 54752">
          <a:extLst>
            <a:ext uri="{FF2B5EF4-FFF2-40B4-BE49-F238E27FC236}">
              <a16:creationId xmlns:a16="http://schemas.microsoft.com/office/drawing/2014/main" id="{00000000-0008-0000-0B00-0000E1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87286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529</xdr:row>
      <xdr:rowOff>39688</xdr:rowOff>
    </xdr:from>
    <xdr:to>
      <xdr:col>2</xdr:col>
      <xdr:colOff>312738</xdr:colOff>
      <xdr:row>529</xdr:row>
      <xdr:rowOff>293688</xdr:rowOff>
    </xdr:to>
    <xdr:pic>
      <xdr:nvPicPr>
        <xdr:cNvPr id="54756" name="Picture 54755">
          <a:extLst>
            <a:ext uri="{FF2B5EF4-FFF2-40B4-BE49-F238E27FC236}">
              <a16:creationId xmlns:a16="http://schemas.microsoft.com/office/drawing/2014/main" id="{00000000-0008-0000-0B00-0000E4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793954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529</xdr:row>
      <xdr:rowOff>39688</xdr:rowOff>
    </xdr:from>
    <xdr:to>
      <xdr:col>6</xdr:col>
      <xdr:colOff>346075</xdr:colOff>
      <xdr:row>529</xdr:row>
      <xdr:rowOff>293688</xdr:rowOff>
    </xdr:to>
    <xdr:pic>
      <xdr:nvPicPr>
        <xdr:cNvPr id="54759" name="Picture 54758">
          <a:extLst>
            <a:ext uri="{FF2B5EF4-FFF2-40B4-BE49-F238E27FC236}">
              <a16:creationId xmlns:a16="http://schemas.microsoft.com/office/drawing/2014/main" id="{00000000-0008-0000-0B00-0000E7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793954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533</xdr:row>
      <xdr:rowOff>39688</xdr:rowOff>
    </xdr:from>
    <xdr:to>
      <xdr:col>2</xdr:col>
      <xdr:colOff>312738</xdr:colOff>
      <xdr:row>533</xdr:row>
      <xdr:rowOff>293688</xdr:rowOff>
    </xdr:to>
    <xdr:pic>
      <xdr:nvPicPr>
        <xdr:cNvPr id="54762" name="Picture 54761">
          <a:extLst>
            <a:ext uri="{FF2B5EF4-FFF2-40B4-BE49-F238E27FC236}">
              <a16:creationId xmlns:a16="http://schemas.microsoft.com/office/drawing/2014/main" id="{00000000-0008-0000-0B00-0000EA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07956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533</xdr:row>
      <xdr:rowOff>39688</xdr:rowOff>
    </xdr:from>
    <xdr:to>
      <xdr:col>6</xdr:col>
      <xdr:colOff>346075</xdr:colOff>
      <xdr:row>533</xdr:row>
      <xdr:rowOff>293688</xdr:rowOff>
    </xdr:to>
    <xdr:pic>
      <xdr:nvPicPr>
        <xdr:cNvPr id="54765" name="Picture 54764">
          <a:extLst>
            <a:ext uri="{FF2B5EF4-FFF2-40B4-BE49-F238E27FC236}">
              <a16:creationId xmlns:a16="http://schemas.microsoft.com/office/drawing/2014/main" id="{00000000-0008-0000-0B00-0000ED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07956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534</xdr:row>
      <xdr:rowOff>39688</xdr:rowOff>
    </xdr:from>
    <xdr:to>
      <xdr:col>2</xdr:col>
      <xdr:colOff>312738</xdr:colOff>
      <xdr:row>534</xdr:row>
      <xdr:rowOff>293688</xdr:rowOff>
    </xdr:to>
    <xdr:pic>
      <xdr:nvPicPr>
        <xdr:cNvPr id="54768" name="Picture 54767">
          <a:extLst>
            <a:ext uri="{FF2B5EF4-FFF2-40B4-BE49-F238E27FC236}">
              <a16:creationId xmlns:a16="http://schemas.microsoft.com/office/drawing/2014/main" id="{00000000-0008-0000-0B00-0000F0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11289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534</xdr:row>
      <xdr:rowOff>39688</xdr:rowOff>
    </xdr:from>
    <xdr:to>
      <xdr:col>6</xdr:col>
      <xdr:colOff>346075</xdr:colOff>
      <xdr:row>534</xdr:row>
      <xdr:rowOff>293688</xdr:rowOff>
    </xdr:to>
    <xdr:pic>
      <xdr:nvPicPr>
        <xdr:cNvPr id="54771" name="Picture 54770">
          <a:extLst>
            <a:ext uri="{FF2B5EF4-FFF2-40B4-BE49-F238E27FC236}">
              <a16:creationId xmlns:a16="http://schemas.microsoft.com/office/drawing/2014/main" id="{00000000-0008-0000-0B00-0000F3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11289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535</xdr:row>
      <xdr:rowOff>39688</xdr:rowOff>
    </xdr:from>
    <xdr:to>
      <xdr:col>2</xdr:col>
      <xdr:colOff>312738</xdr:colOff>
      <xdr:row>535</xdr:row>
      <xdr:rowOff>293688</xdr:rowOff>
    </xdr:to>
    <xdr:pic>
      <xdr:nvPicPr>
        <xdr:cNvPr id="54774" name="Picture 54773">
          <a:extLst>
            <a:ext uri="{FF2B5EF4-FFF2-40B4-BE49-F238E27FC236}">
              <a16:creationId xmlns:a16="http://schemas.microsoft.com/office/drawing/2014/main" id="{00000000-0008-0000-0B00-0000F6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14623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535</xdr:row>
      <xdr:rowOff>39688</xdr:rowOff>
    </xdr:from>
    <xdr:to>
      <xdr:col>6</xdr:col>
      <xdr:colOff>346075</xdr:colOff>
      <xdr:row>535</xdr:row>
      <xdr:rowOff>293688</xdr:rowOff>
    </xdr:to>
    <xdr:pic>
      <xdr:nvPicPr>
        <xdr:cNvPr id="54777" name="Picture 54776">
          <a:extLst>
            <a:ext uri="{FF2B5EF4-FFF2-40B4-BE49-F238E27FC236}">
              <a16:creationId xmlns:a16="http://schemas.microsoft.com/office/drawing/2014/main" id="{00000000-0008-0000-0B00-0000F9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14623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536</xdr:row>
      <xdr:rowOff>39688</xdr:rowOff>
    </xdr:from>
    <xdr:to>
      <xdr:col>2</xdr:col>
      <xdr:colOff>312738</xdr:colOff>
      <xdr:row>536</xdr:row>
      <xdr:rowOff>293688</xdr:rowOff>
    </xdr:to>
    <xdr:pic>
      <xdr:nvPicPr>
        <xdr:cNvPr id="54780" name="Picture 54779">
          <a:extLst>
            <a:ext uri="{FF2B5EF4-FFF2-40B4-BE49-F238E27FC236}">
              <a16:creationId xmlns:a16="http://schemas.microsoft.com/office/drawing/2014/main" id="{00000000-0008-0000-0B00-0000FC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17957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536</xdr:row>
      <xdr:rowOff>39688</xdr:rowOff>
    </xdr:from>
    <xdr:to>
      <xdr:col>6</xdr:col>
      <xdr:colOff>346075</xdr:colOff>
      <xdr:row>536</xdr:row>
      <xdr:rowOff>293688</xdr:rowOff>
    </xdr:to>
    <xdr:pic>
      <xdr:nvPicPr>
        <xdr:cNvPr id="54783" name="Picture 54782">
          <a:extLst>
            <a:ext uri="{FF2B5EF4-FFF2-40B4-BE49-F238E27FC236}">
              <a16:creationId xmlns:a16="http://schemas.microsoft.com/office/drawing/2014/main" id="{00000000-0008-0000-0B00-0000FFD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17957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537</xdr:row>
      <xdr:rowOff>39688</xdr:rowOff>
    </xdr:from>
    <xdr:to>
      <xdr:col>2</xdr:col>
      <xdr:colOff>312738</xdr:colOff>
      <xdr:row>537</xdr:row>
      <xdr:rowOff>293688</xdr:rowOff>
    </xdr:to>
    <xdr:pic>
      <xdr:nvPicPr>
        <xdr:cNvPr id="54786" name="Picture 54785">
          <a:extLst>
            <a:ext uri="{FF2B5EF4-FFF2-40B4-BE49-F238E27FC236}">
              <a16:creationId xmlns:a16="http://schemas.microsoft.com/office/drawing/2014/main" id="{00000000-0008-0000-0B00-000002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21291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537</xdr:row>
      <xdr:rowOff>39688</xdr:rowOff>
    </xdr:from>
    <xdr:to>
      <xdr:col>6</xdr:col>
      <xdr:colOff>346075</xdr:colOff>
      <xdr:row>537</xdr:row>
      <xdr:rowOff>293688</xdr:rowOff>
    </xdr:to>
    <xdr:pic>
      <xdr:nvPicPr>
        <xdr:cNvPr id="54789" name="Picture 54788">
          <a:extLst>
            <a:ext uri="{FF2B5EF4-FFF2-40B4-BE49-F238E27FC236}">
              <a16:creationId xmlns:a16="http://schemas.microsoft.com/office/drawing/2014/main" id="{00000000-0008-0000-0B00-000005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21291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539</xdr:row>
      <xdr:rowOff>39688</xdr:rowOff>
    </xdr:from>
    <xdr:to>
      <xdr:col>2</xdr:col>
      <xdr:colOff>312738</xdr:colOff>
      <xdr:row>539</xdr:row>
      <xdr:rowOff>293688</xdr:rowOff>
    </xdr:to>
    <xdr:pic>
      <xdr:nvPicPr>
        <xdr:cNvPr id="54792" name="Picture 54791">
          <a:extLst>
            <a:ext uri="{FF2B5EF4-FFF2-40B4-BE49-F238E27FC236}">
              <a16:creationId xmlns:a16="http://schemas.microsoft.com/office/drawing/2014/main" id="{00000000-0008-0000-0B00-000008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27958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539</xdr:row>
      <xdr:rowOff>39688</xdr:rowOff>
    </xdr:from>
    <xdr:to>
      <xdr:col>6</xdr:col>
      <xdr:colOff>346075</xdr:colOff>
      <xdr:row>539</xdr:row>
      <xdr:rowOff>293688</xdr:rowOff>
    </xdr:to>
    <xdr:pic>
      <xdr:nvPicPr>
        <xdr:cNvPr id="54795" name="Picture 54794">
          <a:extLst>
            <a:ext uri="{FF2B5EF4-FFF2-40B4-BE49-F238E27FC236}">
              <a16:creationId xmlns:a16="http://schemas.microsoft.com/office/drawing/2014/main" id="{00000000-0008-0000-0B00-00000B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27958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540</xdr:row>
      <xdr:rowOff>39688</xdr:rowOff>
    </xdr:from>
    <xdr:to>
      <xdr:col>2</xdr:col>
      <xdr:colOff>312738</xdr:colOff>
      <xdr:row>540</xdr:row>
      <xdr:rowOff>293688</xdr:rowOff>
    </xdr:to>
    <xdr:pic>
      <xdr:nvPicPr>
        <xdr:cNvPr id="54798" name="Picture 54797">
          <a:extLst>
            <a:ext uri="{FF2B5EF4-FFF2-40B4-BE49-F238E27FC236}">
              <a16:creationId xmlns:a16="http://schemas.microsoft.com/office/drawing/2014/main" id="{00000000-0008-0000-0B00-00000E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31292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540</xdr:row>
      <xdr:rowOff>39688</xdr:rowOff>
    </xdr:from>
    <xdr:to>
      <xdr:col>6</xdr:col>
      <xdr:colOff>346075</xdr:colOff>
      <xdr:row>540</xdr:row>
      <xdr:rowOff>293688</xdr:rowOff>
    </xdr:to>
    <xdr:pic>
      <xdr:nvPicPr>
        <xdr:cNvPr id="54801" name="Picture 54800">
          <a:extLst>
            <a:ext uri="{FF2B5EF4-FFF2-40B4-BE49-F238E27FC236}">
              <a16:creationId xmlns:a16="http://schemas.microsoft.com/office/drawing/2014/main" id="{00000000-0008-0000-0B00-000011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31292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542</xdr:row>
      <xdr:rowOff>39688</xdr:rowOff>
    </xdr:from>
    <xdr:to>
      <xdr:col>2</xdr:col>
      <xdr:colOff>312738</xdr:colOff>
      <xdr:row>542</xdr:row>
      <xdr:rowOff>293688</xdr:rowOff>
    </xdr:to>
    <xdr:pic>
      <xdr:nvPicPr>
        <xdr:cNvPr id="54804" name="Picture 54803">
          <a:extLst>
            <a:ext uri="{FF2B5EF4-FFF2-40B4-BE49-F238E27FC236}">
              <a16:creationId xmlns:a16="http://schemas.microsoft.com/office/drawing/2014/main" id="{00000000-0008-0000-0B00-000014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37959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542</xdr:row>
      <xdr:rowOff>39688</xdr:rowOff>
    </xdr:from>
    <xdr:to>
      <xdr:col>6</xdr:col>
      <xdr:colOff>346075</xdr:colOff>
      <xdr:row>542</xdr:row>
      <xdr:rowOff>293688</xdr:rowOff>
    </xdr:to>
    <xdr:pic>
      <xdr:nvPicPr>
        <xdr:cNvPr id="54807" name="Picture 54806">
          <a:extLst>
            <a:ext uri="{FF2B5EF4-FFF2-40B4-BE49-F238E27FC236}">
              <a16:creationId xmlns:a16="http://schemas.microsoft.com/office/drawing/2014/main" id="{00000000-0008-0000-0B00-000017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37959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543</xdr:row>
      <xdr:rowOff>39688</xdr:rowOff>
    </xdr:from>
    <xdr:to>
      <xdr:col>2</xdr:col>
      <xdr:colOff>312738</xdr:colOff>
      <xdr:row>543</xdr:row>
      <xdr:rowOff>293688</xdr:rowOff>
    </xdr:to>
    <xdr:pic>
      <xdr:nvPicPr>
        <xdr:cNvPr id="54810" name="Picture 54809">
          <a:extLst>
            <a:ext uri="{FF2B5EF4-FFF2-40B4-BE49-F238E27FC236}">
              <a16:creationId xmlns:a16="http://schemas.microsoft.com/office/drawing/2014/main" id="{00000000-0008-0000-0B00-00001A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41293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543</xdr:row>
      <xdr:rowOff>39688</xdr:rowOff>
    </xdr:from>
    <xdr:to>
      <xdr:col>6</xdr:col>
      <xdr:colOff>346075</xdr:colOff>
      <xdr:row>543</xdr:row>
      <xdr:rowOff>293688</xdr:rowOff>
    </xdr:to>
    <xdr:pic>
      <xdr:nvPicPr>
        <xdr:cNvPr id="54813" name="Picture 54812">
          <a:extLst>
            <a:ext uri="{FF2B5EF4-FFF2-40B4-BE49-F238E27FC236}">
              <a16:creationId xmlns:a16="http://schemas.microsoft.com/office/drawing/2014/main" id="{00000000-0008-0000-0B00-00001D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41293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544</xdr:row>
      <xdr:rowOff>39688</xdr:rowOff>
    </xdr:from>
    <xdr:to>
      <xdr:col>2</xdr:col>
      <xdr:colOff>312738</xdr:colOff>
      <xdr:row>544</xdr:row>
      <xdr:rowOff>293688</xdr:rowOff>
    </xdr:to>
    <xdr:pic>
      <xdr:nvPicPr>
        <xdr:cNvPr id="54816" name="Picture 54815">
          <a:extLst>
            <a:ext uri="{FF2B5EF4-FFF2-40B4-BE49-F238E27FC236}">
              <a16:creationId xmlns:a16="http://schemas.microsoft.com/office/drawing/2014/main" id="{00000000-0008-0000-0B00-000020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44627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544</xdr:row>
      <xdr:rowOff>39688</xdr:rowOff>
    </xdr:from>
    <xdr:to>
      <xdr:col>6</xdr:col>
      <xdr:colOff>346075</xdr:colOff>
      <xdr:row>544</xdr:row>
      <xdr:rowOff>293688</xdr:rowOff>
    </xdr:to>
    <xdr:pic>
      <xdr:nvPicPr>
        <xdr:cNvPr id="54819" name="Picture 54818">
          <a:extLst>
            <a:ext uri="{FF2B5EF4-FFF2-40B4-BE49-F238E27FC236}">
              <a16:creationId xmlns:a16="http://schemas.microsoft.com/office/drawing/2014/main" id="{00000000-0008-0000-0B00-000023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44627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548</xdr:row>
      <xdr:rowOff>39688</xdr:rowOff>
    </xdr:from>
    <xdr:to>
      <xdr:col>2</xdr:col>
      <xdr:colOff>312738</xdr:colOff>
      <xdr:row>548</xdr:row>
      <xdr:rowOff>293688</xdr:rowOff>
    </xdr:to>
    <xdr:pic>
      <xdr:nvPicPr>
        <xdr:cNvPr id="54822" name="Picture 54821">
          <a:extLst>
            <a:ext uri="{FF2B5EF4-FFF2-40B4-BE49-F238E27FC236}">
              <a16:creationId xmlns:a16="http://schemas.microsoft.com/office/drawing/2014/main" id="{00000000-0008-0000-0B00-000026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58629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548</xdr:row>
      <xdr:rowOff>39688</xdr:rowOff>
    </xdr:from>
    <xdr:to>
      <xdr:col>6</xdr:col>
      <xdr:colOff>346075</xdr:colOff>
      <xdr:row>548</xdr:row>
      <xdr:rowOff>293688</xdr:rowOff>
    </xdr:to>
    <xdr:pic>
      <xdr:nvPicPr>
        <xdr:cNvPr id="54825" name="Picture 54824">
          <a:extLst>
            <a:ext uri="{FF2B5EF4-FFF2-40B4-BE49-F238E27FC236}">
              <a16:creationId xmlns:a16="http://schemas.microsoft.com/office/drawing/2014/main" id="{00000000-0008-0000-0B00-000029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58629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549</xdr:row>
      <xdr:rowOff>39688</xdr:rowOff>
    </xdr:from>
    <xdr:to>
      <xdr:col>2</xdr:col>
      <xdr:colOff>312738</xdr:colOff>
      <xdr:row>549</xdr:row>
      <xdr:rowOff>293688</xdr:rowOff>
    </xdr:to>
    <xdr:pic>
      <xdr:nvPicPr>
        <xdr:cNvPr id="54828" name="Picture 54827">
          <a:extLst>
            <a:ext uri="{FF2B5EF4-FFF2-40B4-BE49-F238E27FC236}">
              <a16:creationId xmlns:a16="http://schemas.microsoft.com/office/drawing/2014/main" id="{00000000-0008-0000-0B00-00002C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61962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549</xdr:row>
      <xdr:rowOff>39688</xdr:rowOff>
    </xdr:from>
    <xdr:to>
      <xdr:col>6</xdr:col>
      <xdr:colOff>346075</xdr:colOff>
      <xdr:row>549</xdr:row>
      <xdr:rowOff>293688</xdr:rowOff>
    </xdr:to>
    <xdr:pic>
      <xdr:nvPicPr>
        <xdr:cNvPr id="54831" name="Picture 54830">
          <a:extLst>
            <a:ext uri="{FF2B5EF4-FFF2-40B4-BE49-F238E27FC236}">
              <a16:creationId xmlns:a16="http://schemas.microsoft.com/office/drawing/2014/main" id="{00000000-0008-0000-0B00-00002F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61962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550</xdr:row>
      <xdr:rowOff>39688</xdr:rowOff>
    </xdr:from>
    <xdr:to>
      <xdr:col>2</xdr:col>
      <xdr:colOff>312738</xdr:colOff>
      <xdr:row>550</xdr:row>
      <xdr:rowOff>293688</xdr:rowOff>
    </xdr:to>
    <xdr:pic>
      <xdr:nvPicPr>
        <xdr:cNvPr id="54834" name="Picture 54833">
          <a:extLst>
            <a:ext uri="{FF2B5EF4-FFF2-40B4-BE49-F238E27FC236}">
              <a16:creationId xmlns:a16="http://schemas.microsoft.com/office/drawing/2014/main" id="{00000000-0008-0000-0B00-000032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65296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550</xdr:row>
      <xdr:rowOff>39688</xdr:rowOff>
    </xdr:from>
    <xdr:to>
      <xdr:col>6</xdr:col>
      <xdr:colOff>346075</xdr:colOff>
      <xdr:row>550</xdr:row>
      <xdr:rowOff>293688</xdr:rowOff>
    </xdr:to>
    <xdr:pic>
      <xdr:nvPicPr>
        <xdr:cNvPr id="54837" name="Picture 54836">
          <a:extLst>
            <a:ext uri="{FF2B5EF4-FFF2-40B4-BE49-F238E27FC236}">
              <a16:creationId xmlns:a16="http://schemas.microsoft.com/office/drawing/2014/main" id="{00000000-0008-0000-0B00-000035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65296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551</xdr:row>
      <xdr:rowOff>39688</xdr:rowOff>
    </xdr:from>
    <xdr:to>
      <xdr:col>2</xdr:col>
      <xdr:colOff>312738</xdr:colOff>
      <xdr:row>551</xdr:row>
      <xdr:rowOff>293688</xdr:rowOff>
    </xdr:to>
    <xdr:pic>
      <xdr:nvPicPr>
        <xdr:cNvPr id="54840" name="Picture 54839">
          <a:extLst>
            <a:ext uri="{FF2B5EF4-FFF2-40B4-BE49-F238E27FC236}">
              <a16:creationId xmlns:a16="http://schemas.microsoft.com/office/drawing/2014/main" id="{00000000-0008-0000-0B00-000038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68630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551</xdr:row>
      <xdr:rowOff>39688</xdr:rowOff>
    </xdr:from>
    <xdr:to>
      <xdr:col>6</xdr:col>
      <xdr:colOff>346075</xdr:colOff>
      <xdr:row>551</xdr:row>
      <xdr:rowOff>293688</xdr:rowOff>
    </xdr:to>
    <xdr:pic>
      <xdr:nvPicPr>
        <xdr:cNvPr id="54843" name="Picture 54842">
          <a:extLst>
            <a:ext uri="{FF2B5EF4-FFF2-40B4-BE49-F238E27FC236}">
              <a16:creationId xmlns:a16="http://schemas.microsoft.com/office/drawing/2014/main" id="{00000000-0008-0000-0B00-00003B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68630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552</xdr:row>
      <xdr:rowOff>39688</xdr:rowOff>
    </xdr:from>
    <xdr:to>
      <xdr:col>2</xdr:col>
      <xdr:colOff>312738</xdr:colOff>
      <xdr:row>552</xdr:row>
      <xdr:rowOff>293688</xdr:rowOff>
    </xdr:to>
    <xdr:pic>
      <xdr:nvPicPr>
        <xdr:cNvPr id="54846" name="Picture 54845">
          <a:extLst>
            <a:ext uri="{FF2B5EF4-FFF2-40B4-BE49-F238E27FC236}">
              <a16:creationId xmlns:a16="http://schemas.microsoft.com/office/drawing/2014/main" id="{00000000-0008-0000-0B00-00003E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71964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552</xdr:row>
      <xdr:rowOff>39688</xdr:rowOff>
    </xdr:from>
    <xdr:to>
      <xdr:col>6</xdr:col>
      <xdr:colOff>346075</xdr:colOff>
      <xdr:row>552</xdr:row>
      <xdr:rowOff>293688</xdr:rowOff>
    </xdr:to>
    <xdr:pic>
      <xdr:nvPicPr>
        <xdr:cNvPr id="54849" name="Picture 54848">
          <a:extLst>
            <a:ext uri="{FF2B5EF4-FFF2-40B4-BE49-F238E27FC236}">
              <a16:creationId xmlns:a16="http://schemas.microsoft.com/office/drawing/2014/main" id="{00000000-0008-0000-0B00-000041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71964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553</xdr:row>
      <xdr:rowOff>39688</xdr:rowOff>
    </xdr:from>
    <xdr:to>
      <xdr:col>2</xdr:col>
      <xdr:colOff>312738</xdr:colOff>
      <xdr:row>553</xdr:row>
      <xdr:rowOff>293688</xdr:rowOff>
    </xdr:to>
    <xdr:pic>
      <xdr:nvPicPr>
        <xdr:cNvPr id="54852" name="Picture 54851">
          <a:extLst>
            <a:ext uri="{FF2B5EF4-FFF2-40B4-BE49-F238E27FC236}">
              <a16:creationId xmlns:a16="http://schemas.microsoft.com/office/drawing/2014/main" id="{00000000-0008-0000-0B00-000044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75297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553</xdr:row>
      <xdr:rowOff>39688</xdr:rowOff>
    </xdr:from>
    <xdr:to>
      <xdr:col>6</xdr:col>
      <xdr:colOff>346075</xdr:colOff>
      <xdr:row>553</xdr:row>
      <xdr:rowOff>293688</xdr:rowOff>
    </xdr:to>
    <xdr:pic>
      <xdr:nvPicPr>
        <xdr:cNvPr id="54855" name="Picture 54854">
          <a:extLst>
            <a:ext uri="{FF2B5EF4-FFF2-40B4-BE49-F238E27FC236}">
              <a16:creationId xmlns:a16="http://schemas.microsoft.com/office/drawing/2014/main" id="{00000000-0008-0000-0B00-000047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75297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555</xdr:row>
      <xdr:rowOff>39688</xdr:rowOff>
    </xdr:from>
    <xdr:to>
      <xdr:col>2</xdr:col>
      <xdr:colOff>312738</xdr:colOff>
      <xdr:row>555</xdr:row>
      <xdr:rowOff>293688</xdr:rowOff>
    </xdr:to>
    <xdr:pic>
      <xdr:nvPicPr>
        <xdr:cNvPr id="54858" name="Picture 54857">
          <a:extLst>
            <a:ext uri="{FF2B5EF4-FFF2-40B4-BE49-F238E27FC236}">
              <a16:creationId xmlns:a16="http://schemas.microsoft.com/office/drawing/2014/main" id="{00000000-0008-0000-0B00-00004A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81965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555</xdr:row>
      <xdr:rowOff>39688</xdr:rowOff>
    </xdr:from>
    <xdr:to>
      <xdr:col>6</xdr:col>
      <xdr:colOff>346075</xdr:colOff>
      <xdr:row>555</xdr:row>
      <xdr:rowOff>293688</xdr:rowOff>
    </xdr:to>
    <xdr:pic>
      <xdr:nvPicPr>
        <xdr:cNvPr id="54861" name="Picture 54860">
          <a:extLst>
            <a:ext uri="{FF2B5EF4-FFF2-40B4-BE49-F238E27FC236}">
              <a16:creationId xmlns:a16="http://schemas.microsoft.com/office/drawing/2014/main" id="{00000000-0008-0000-0B00-00004D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81965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556</xdr:row>
      <xdr:rowOff>39688</xdr:rowOff>
    </xdr:from>
    <xdr:to>
      <xdr:col>2</xdr:col>
      <xdr:colOff>312738</xdr:colOff>
      <xdr:row>556</xdr:row>
      <xdr:rowOff>293688</xdr:rowOff>
    </xdr:to>
    <xdr:pic>
      <xdr:nvPicPr>
        <xdr:cNvPr id="54864" name="Picture 54863">
          <a:extLst>
            <a:ext uri="{FF2B5EF4-FFF2-40B4-BE49-F238E27FC236}">
              <a16:creationId xmlns:a16="http://schemas.microsoft.com/office/drawing/2014/main" id="{00000000-0008-0000-0B00-000050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85299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556</xdr:row>
      <xdr:rowOff>39688</xdr:rowOff>
    </xdr:from>
    <xdr:to>
      <xdr:col>6</xdr:col>
      <xdr:colOff>346075</xdr:colOff>
      <xdr:row>556</xdr:row>
      <xdr:rowOff>293688</xdr:rowOff>
    </xdr:to>
    <xdr:pic>
      <xdr:nvPicPr>
        <xdr:cNvPr id="54867" name="Picture 54866">
          <a:extLst>
            <a:ext uri="{FF2B5EF4-FFF2-40B4-BE49-F238E27FC236}">
              <a16:creationId xmlns:a16="http://schemas.microsoft.com/office/drawing/2014/main" id="{00000000-0008-0000-0B00-000053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85299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557</xdr:row>
      <xdr:rowOff>39688</xdr:rowOff>
    </xdr:from>
    <xdr:to>
      <xdr:col>2</xdr:col>
      <xdr:colOff>312738</xdr:colOff>
      <xdr:row>557</xdr:row>
      <xdr:rowOff>293688</xdr:rowOff>
    </xdr:to>
    <xdr:pic>
      <xdr:nvPicPr>
        <xdr:cNvPr id="54870" name="Picture 54869">
          <a:extLst>
            <a:ext uri="{FF2B5EF4-FFF2-40B4-BE49-F238E27FC236}">
              <a16:creationId xmlns:a16="http://schemas.microsoft.com/office/drawing/2014/main" id="{00000000-0008-0000-0B00-000056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88632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557</xdr:row>
      <xdr:rowOff>39688</xdr:rowOff>
    </xdr:from>
    <xdr:to>
      <xdr:col>6</xdr:col>
      <xdr:colOff>346075</xdr:colOff>
      <xdr:row>557</xdr:row>
      <xdr:rowOff>293688</xdr:rowOff>
    </xdr:to>
    <xdr:pic>
      <xdr:nvPicPr>
        <xdr:cNvPr id="54873" name="Picture 54872">
          <a:extLst>
            <a:ext uri="{FF2B5EF4-FFF2-40B4-BE49-F238E27FC236}">
              <a16:creationId xmlns:a16="http://schemas.microsoft.com/office/drawing/2014/main" id="{00000000-0008-0000-0B00-000059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88632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559</xdr:row>
      <xdr:rowOff>39688</xdr:rowOff>
    </xdr:from>
    <xdr:to>
      <xdr:col>2</xdr:col>
      <xdr:colOff>312738</xdr:colOff>
      <xdr:row>559</xdr:row>
      <xdr:rowOff>293688</xdr:rowOff>
    </xdr:to>
    <xdr:pic>
      <xdr:nvPicPr>
        <xdr:cNvPr id="54876" name="Picture 54875">
          <a:extLst>
            <a:ext uri="{FF2B5EF4-FFF2-40B4-BE49-F238E27FC236}">
              <a16:creationId xmlns:a16="http://schemas.microsoft.com/office/drawing/2014/main" id="{00000000-0008-0000-0B00-00005C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895300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559</xdr:row>
      <xdr:rowOff>39688</xdr:rowOff>
    </xdr:from>
    <xdr:to>
      <xdr:col>6</xdr:col>
      <xdr:colOff>346075</xdr:colOff>
      <xdr:row>559</xdr:row>
      <xdr:rowOff>293688</xdr:rowOff>
    </xdr:to>
    <xdr:pic>
      <xdr:nvPicPr>
        <xdr:cNvPr id="54879" name="Picture 54878">
          <a:extLst>
            <a:ext uri="{FF2B5EF4-FFF2-40B4-BE49-F238E27FC236}">
              <a16:creationId xmlns:a16="http://schemas.microsoft.com/office/drawing/2014/main" id="{00000000-0008-0000-0B00-00005F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895300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563</xdr:row>
      <xdr:rowOff>39688</xdr:rowOff>
    </xdr:from>
    <xdr:to>
      <xdr:col>2</xdr:col>
      <xdr:colOff>312738</xdr:colOff>
      <xdr:row>563</xdr:row>
      <xdr:rowOff>293688</xdr:rowOff>
    </xdr:to>
    <xdr:pic>
      <xdr:nvPicPr>
        <xdr:cNvPr id="54882" name="Picture 54881">
          <a:extLst>
            <a:ext uri="{FF2B5EF4-FFF2-40B4-BE49-F238E27FC236}">
              <a16:creationId xmlns:a16="http://schemas.microsoft.com/office/drawing/2014/main" id="{00000000-0008-0000-0B00-000062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909302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563</xdr:row>
      <xdr:rowOff>39688</xdr:rowOff>
    </xdr:from>
    <xdr:to>
      <xdr:col>6</xdr:col>
      <xdr:colOff>346075</xdr:colOff>
      <xdr:row>563</xdr:row>
      <xdr:rowOff>293688</xdr:rowOff>
    </xdr:to>
    <xdr:pic>
      <xdr:nvPicPr>
        <xdr:cNvPr id="54885" name="Picture 54884">
          <a:extLst>
            <a:ext uri="{FF2B5EF4-FFF2-40B4-BE49-F238E27FC236}">
              <a16:creationId xmlns:a16="http://schemas.microsoft.com/office/drawing/2014/main" id="{00000000-0008-0000-0B00-000065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909302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567</xdr:row>
      <xdr:rowOff>39688</xdr:rowOff>
    </xdr:from>
    <xdr:to>
      <xdr:col>2</xdr:col>
      <xdr:colOff>312738</xdr:colOff>
      <xdr:row>567</xdr:row>
      <xdr:rowOff>293688</xdr:rowOff>
    </xdr:to>
    <xdr:pic>
      <xdr:nvPicPr>
        <xdr:cNvPr id="54888" name="Picture 54887">
          <a:extLst>
            <a:ext uri="{FF2B5EF4-FFF2-40B4-BE49-F238E27FC236}">
              <a16:creationId xmlns:a16="http://schemas.microsoft.com/office/drawing/2014/main" id="{00000000-0008-0000-0B00-000068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923303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567</xdr:row>
      <xdr:rowOff>39688</xdr:rowOff>
    </xdr:from>
    <xdr:to>
      <xdr:col>6</xdr:col>
      <xdr:colOff>346075</xdr:colOff>
      <xdr:row>567</xdr:row>
      <xdr:rowOff>293688</xdr:rowOff>
    </xdr:to>
    <xdr:pic>
      <xdr:nvPicPr>
        <xdr:cNvPr id="54891" name="Picture 54890">
          <a:extLst>
            <a:ext uri="{FF2B5EF4-FFF2-40B4-BE49-F238E27FC236}">
              <a16:creationId xmlns:a16="http://schemas.microsoft.com/office/drawing/2014/main" id="{00000000-0008-0000-0B00-00006B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923303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568</xdr:row>
      <xdr:rowOff>39688</xdr:rowOff>
    </xdr:from>
    <xdr:to>
      <xdr:col>2</xdr:col>
      <xdr:colOff>312738</xdr:colOff>
      <xdr:row>568</xdr:row>
      <xdr:rowOff>293688</xdr:rowOff>
    </xdr:to>
    <xdr:pic>
      <xdr:nvPicPr>
        <xdr:cNvPr id="54894" name="Picture 54893">
          <a:extLst>
            <a:ext uri="{FF2B5EF4-FFF2-40B4-BE49-F238E27FC236}">
              <a16:creationId xmlns:a16="http://schemas.microsoft.com/office/drawing/2014/main" id="{00000000-0008-0000-0B00-00006E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926637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568</xdr:row>
      <xdr:rowOff>39688</xdr:rowOff>
    </xdr:from>
    <xdr:to>
      <xdr:col>6</xdr:col>
      <xdr:colOff>346075</xdr:colOff>
      <xdr:row>568</xdr:row>
      <xdr:rowOff>293688</xdr:rowOff>
    </xdr:to>
    <xdr:pic>
      <xdr:nvPicPr>
        <xdr:cNvPr id="54897" name="Picture 54896">
          <a:extLst>
            <a:ext uri="{FF2B5EF4-FFF2-40B4-BE49-F238E27FC236}">
              <a16:creationId xmlns:a16="http://schemas.microsoft.com/office/drawing/2014/main" id="{00000000-0008-0000-0B00-000071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926637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569</xdr:row>
      <xdr:rowOff>39688</xdr:rowOff>
    </xdr:from>
    <xdr:to>
      <xdr:col>2</xdr:col>
      <xdr:colOff>312738</xdr:colOff>
      <xdr:row>569</xdr:row>
      <xdr:rowOff>293688</xdr:rowOff>
    </xdr:to>
    <xdr:pic>
      <xdr:nvPicPr>
        <xdr:cNvPr id="54900" name="Picture 54899">
          <a:extLst>
            <a:ext uri="{FF2B5EF4-FFF2-40B4-BE49-F238E27FC236}">
              <a16:creationId xmlns:a16="http://schemas.microsoft.com/office/drawing/2014/main" id="{00000000-0008-0000-0B00-000074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929971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569</xdr:row>
      <xdr:rowOff>39688</xdr:rowOff>
    </xdr:from>
    <xdr:to>
      <xdr:col>6</xdr:col>
      <xdr:colOff>346075</xdr:colOff>
      <xdr:row>569</xdr:row>
      <xdr:rowOff>293688</xdr:rowOff>
    </xdr:to>
    <xdr:pic>
      <xdr:nvPicPr>
        <xdr:cNvPr id="54903" name="Picture 54902">
          <a:extLst>
            <a:ext uri="{FF2B5EF4-FFF2-40B4-BE49-F238E27FC236}">
              <a16:creationId xmlns:a16="http://schemas.microsoft.com/office/drawing/2014/main" id="{00000000-0008-0000-0B00-000077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929971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570</xdr:row>
      <xdr:rowOff>39688</xdr:rowOff>
    </xdr:from>
    <xdr:to>
      <xdr:col>2</xdr:col>
      <xdr:colOff>312738</xdr:colOff>
      <xdr:row>570</xdr:row>
      <xdr:rowOff>293688</xdr:rowOff>
    </xdr:to>
    <xdr:pic>
      <xdr:nvPicPr>
        <xdr:cNvPr id="54906" name="Picture 54905">
          <a:extLst>
            <a:ext uri="{FF2B5EF4-FFF2-40B4-BE49-F238E27FC236}">
              <a16:creationId xmlns:a16="http://schemas.microsoft.com/office/drawing/2014/main" id="{00000000-0008-0000-0B00-00007A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933305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570</xdr:row>
      <xdr:rowOff>39688</xdr:rowOff>
    </xdr:from>
    <xdr:to>
      <xdr:col>6</xdr:col>
      <xdr:colOff>346075</xdr:colOff>
      <xdr:row>570</xdr:row>
      <xdr:rowOff>293688</xdr:rowOff>
    </xdr:to>
    <xdr:pic>
      <xdr:nvPicPr>
        <xdr:cNvPr id="54909" name="Picture 54908">
          <a:extLst>
            <a:ext uri="{FF2B5EF4-FFF2-40B4-BE49-F238E27FC236}">
              <a16:creationId xmlns:a16="http://schemas.microsoft.com/office/drawing/2014/main" id="{00000000-0008-0000-0B00-00007D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933305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571</xdr:row>
      <xdr:rowOff>39688</xdr:rowOff>
    </xdr:from>
    <xdr:to>
      <xdr:col>2</xdr:col>
      <xdr:colOff>312738</xdr:colOff>
      <xdr:row>571</xdr:row>
      <xdr:rowOff>293688</xdr:rowOff>
    </xdr:to>
    <xdr:pic>
      <xdr:nvPicPr>
        <xdr:cNvPr id="54912" name="Picture 54911">
          <a:extLst>
            <a:ext uri="{FF2B5EF4-FFF2-40B4-BE49-F238E27FC236}">
              <a16:creationId xmlns:a16="http://schemas.microsoft.com/office/drawing/2014/main" id="{00000000-0008-0000-0B00-000080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936638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571</xdr:row>
      <xdr:rowOff>39688</xdr:rowOff>
    </xdr:from>
    <xdr:to>
      <xdr:col>6</xdr:col>
      <xdr:colOff>346075</xdr:colOff>
      <xdr:row>571</xdr:row>
      <xdr:rowOff>293688</xdr:rowOff>
    </xdr:to>
    <xdr:pic>
      <xdr:nvPicPr>
        <xdr:cNvPr id="54915" name="Picture 54914">
          <a:extLst>
            <a:ext uri="{FF2B5EF4-FFF2-40B4-BE49-F238E27FC236}">
              <a16:creationId xmlns:a16="http://schemas.microsoft.com/office/drawing/2014/main" id="{00000000-0008-0000-0B00-000083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936638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572</xdr:row>
      <xdr:rowOff>39688</xdr:rowOff>
    </xdr:from>
    <xdr:to>
      <xdr:col>2</xdr:col>
      <xdr:colOff>312738</xdr:colOff>
      <xdr:row>572</xdr:row>
      <xdr:rowOff>293688</xdr:rowOff>
    </xdr:to>
    <xdr:pic>
      <xdr:nvPicPr>
        <xdr:cNvPr id="54918" name="Picture 54917">
          <a:extLst>
            <a:ext uri="{FF2B5EF4-FFF2-40B4-BE49-F238E27FC236}">
              <a16:creationId xmlns:a16="http://schemas.microsoft.com/office/drawing/2014/main" id="{00000000-0008-0000-0B00-000086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939972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572</xdr:row>
      <xdr:rowOff>39688</xdr:rowOff>
    </xdr:from>
    <xdr:to>
      <xdr:col>6</xdr:col>
      <xdr:colOff>346075</xdr:colOff>
      <xdr:row>572</xdr:row>
      <xdr:rowOff>293688</xdr:rowOff>
    </xdr:to>
    <xdr:pic>
      <xdr:nvPicPr>
        <xdr:cNvPr id="54921" name="Picture 54920">
          <a:extLst>
            <a:ext uri="{FF2B5EF4-FFF2-40B4-BE49-F238E27FC236}">
              <a16:creationId xmlns:a16="http://schemas.microsoft.com/office/drawing/2014/main" id="{00000000-0008-0000-0B00-000089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939972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574</xdr:row>
      <xdr:rowOff>39688</xdr:rowOff>
    </xdr:from>
    <xdr:to>
      <xdr:col>2</xdr:col>
      <xdr:colOff>312738</xdr:colOff>
      <xdr:row>574</xdr:row>
      <xdr:rowOff>293688</xdr:rowOff>
    </xdr:to>
    <xdr:pic>
      <xdr:nvPicPr>
        <xdr:cNvPr id="54924" name="Picture 54923">
          <a:extLst>
            <a:ext uri="{FF2B5EF4-FFF2-40B4-BE49-F238E27FC236}">
              <a16:creationId xmlns:a16="http://schemas.microsoft.com/office/drawing/2014/main" id="{00000000-0008-0000-0B00-00008C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946640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574</xdr:row>
      <xdr:rowOff>39688</xdr:rowOff>
    </xdr:from>
    <xdr:to>
      <xdr:col>6</xdr:col>
      <xdr:colOff>346075</xdr:colOff>
      <xdr:row>574</xdr:row>
      <xdr:rowOff>293688</xdr:rowOff>
    </xdr:to>
    <xdr:pic>
      <xdr:nvPicPr>
        <xdr:cNvPr id="54927" name="Picture 54926">
          <a:extLst>
            <a:ext uri="{FF2B5EF4-FFF2-40B4-BE49-F238E27FC236}">
              <a16:creationId xmlns:a16="http://schemas.microsoft.com/office/drawing/2014/main" id="{00000000-0008-0000-0B00-00008F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946640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575</xdr:row>
      <xdr:rowOff>39688</xdr:rowOff>
    </xdr:from>
    <xdr:to>
      <xdr:col>2</xdr:col>
      <xdr:colOff>312738</xdr:colOff>
      <xdr:row>575</xdr:row>
      <xdr:rowOff>293688</xdr:rowOff>
    </xdr:to>
    <xdr:pic>
      <xdr:nvPicPr>
        <xdr:cNvPr id="54930" name="Picture 54929">
          <a:extLst>
            <a:ext uri="{FF2B5EF4-FFF2-40B4-BE49-F238E27FC236}">
              <a16:creationId xmlns:a16="http://schemas.microsoft.com/office/drawing/2014/main" id="{00000000-0008-0000-0B00-000092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949973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575</xdr:row>
      <xdr:rowOff>39688</xdr:rowOff>
    </xdr:from>
    <xdr:to>
      <xdr:col>6</xdr:col>
      <xdr:colOff>346075</xdr:colOff>
      <xdr:row>575</xdr:row>
      <xdr:rowOff>293688</xdr:rowOff>
    </xdr:to>
    <xdr:pic>
      <xdr:nvPicPr>
        <xdr:cNvPr id="54933" name="Picture 54932">
          <a:extLst>
            <a:ext uri="{FF2B5EF4-FFF2-40B4-BE49-F238E27FC236}">
              <a16:creationId xmlns:a16="http://schemas.microsoft.com/office/drawing/2014/main" id="{00000000-0008-0000-0B00-000095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949973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576</xdr:row>
      <xdr:rowOff>39688</xdr:rowOff>
    </xdr:from>
    <xdr:to>
      <xdr:col>2</xdr:col>
      <xdr:colOff>312738</xdr:colOff>
      <xdr:row>576</xdr:row>
      <xdr:rowOff>293688</xdr:rowOff>
    </xdr:to>
    <xdr:pic>
      <xdr:nvPicPr>
        <xdr:cNvPr id="54936" name="Picture 54935">
          <a:extLst>
            <a:ext uri="{FF2B5EF4-FFF2-40B4-BE49-F238E27FC236}">
              <a16:creationId xmlns:a16="http://schemas.microsoft.com/office/drawing/2014/main" id="{00000000-0008-0000-0B00-000098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953307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576</xdr:row>
      <xdr:rowOff>39688</xdr:rowOff>
    </xdr:from>
    <xdr:to>
      <xdr:col>6</xdr:col>
      <xdr:colOff>346075</xdr:colOff>
      <xdr:row>576</xdr:row>
      <xdr:rowOff>293688</xdr:rowOff>
    </xdr:to>
    <xdr:pic>
      <xdr:nvPicPr>
        <xdr:cNvPr id="54939" name="Picture 54938">
          <a:extLst>
            <a:ext uri="{FF2B5EF4-FFF2-40B4-BE49-F238E27FC236}">
              <a16:creationId xmlns:a16="http://schemas.microsoft.com/office/drawing/2014/main" id="{00000000-0008-0000-0B00-00009B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953307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578</xdr:row>
      <xdr:rowOff>39688</xdr:rowOff>
    </xdr:from>
    <xdr:to>
      <xdr:col>2</xdr:col>
      <xdr:colOff>312738</xdr:colOff>
      <xdr:row>578</xdr:row>
      <xdr:rowOff>293688</xdr:rowOff>
    </xdr:to>
    <xdr:pic>
      <xdr:nvPicPr>
        <xdr:cNvPr id="54942" name="Picture 54941">
          <a:extLst>
            <a:ext uri="{FF2B5EF4-FFF2-40B4-BE49-F238E27FC236}">
              <a16:creationId xmlns:a16="http://schemas.microsoft.com/office/drawing/2014/main" id="{00000000-0008-0000-0B00-00009E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959975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578</xdr:row>
      <xdr:rowOff>39688</xdr:rowOff>
    </xdr:from>
    <xdr:to>
      <xdr:col>6</xdr:col>
      <xdr:colOff>346075</xdr:colOff>
      <xdr:row>578</xdr:row>
      <xdr:rowOff>293688</xdr:rowOff>
    </xdr:to>
    <xdr:pic>
      <xdr:nvPicPr>
        <xdr:cNvPr id="54945" name="Picture 54944">
          <a:extLst>
            <a:ext uri="{FF2B5EF4-FFF2-40B4-BE49-F238E27FC236}">
              <a16:creationId xmlns:a16="http://schemas.microsoft.com/office/drawing/2014/main" id="{00000000-0008-0000-0B00-0000A1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959975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582</xdr:row>
      <xdr:rowOff>39688</xdr:rowOff>
    </xdr:from>
    <xdr:to>
      <xdr:col>2</xdr:col>
      <xdr:colOff>312738</xdr:colOff>
      <xdr:row>582</xdr:row>
      <xdr:rowOff>293688</xdr:rowOff>
    </xdr:to>
    <xdr:pic>
      <xdr:nvPicPr>
        <xdr:cNvPr id="54948" name="Picture 54947">
          <a:extLst>
            <a:ext uri="{FF2B5EF4-FFF2-40B4-BE49-F238E27FC236}">
              <a16:creationId xmlns:a16="http://schemas.microsoft.com/office/drawing/2014/main" id="{00000000-0008-0000-0B00-0000A4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973976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582</xdr:row>
      <xdr:rowOff>39688</xdr:rowOff>
    </xdr:from>
    <xdr:to>
      <xdr:col>6</xdr:col>
      <xdr:colOff>346075</xdr:colOff>
      <xdr:row>582</xdr:row>
      <xdr:rowOff>293688</xdr:rowOff>
    </xdr:to>
    <xdr:pic>
      <xdr:nvPicPr>
        <xdr:cNvPr id="54951" name="Picture 54950">
          <a:extLst>
            <a:ext uri="{FF2B5EF4-FFF2-40B4-BE49-F238E27FC236}">
              <a16:creationId xmlns:a16="http://schemas.microsoft.com/office/drawing/2014/main" id="{00000000-0008-0000-0B00-0000A7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973976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584</xdr:row>
      <xdr:rowOff>39688</xdr:rowOff>
    </xdr:from>
    <xdr:to>
      <xdr:col>2</xdr:col>
      <xdr:colOff>312738</xdr:colOff>
      <xdr:row>584</xdr:row>
      <xdr:rowOff>293688</xdr:rowOff>
    </xdr:to>
    <xdr:pic>
      <xdr:nvPicPr>
        <xdr:cNvPr id="54953" name="Picture 54952">
          <a:extLst>
            <a:ext uri="{FF2B5EF4-FFF2-40B4-BE49-F238E27FC236}">
              <a16:creationId xmlns:a16="http://schemas.microsoft.com/office/drawing/2014/main" id="{00000000-0008-0000-0B00-0000A9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980644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584</xdr:row>
      <xdr:rowOff>39688</xdr:rowOff>
    </xdr:from>
    <xdr:to>
      <xdr:col>6</xdr:col>
      <xdr:colOff>346075</xdr:colOff>
      <xdr:row>584</xdr:row>
      <xdr:rowOff>293688</xdr:rowOff>
    </xdr:to>
    <xdr:pic>
      <xdr:nvPicPr>
        <xdr:cNvPr id="54956" name="Picture 54955">
          <a:extLst>
            <a:ext uri="{FF2B5EF4-FFF2-40B4-BE49-F238E27FC236}">
              <a16:creationId xmlns:a16="http://schemas.microsoft.com/office/drawing/2014/main" id="{00000000-0008-0000-0B00-0000AC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980644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588</xdr:row>
      <xdr:rowOff>39688</xdr:rowOff>
    </xdr:from>
    <xdr:to>
      <xdr:col>2</xdr:col>
      <xdr:colOff>312738</xdr:colOff>
      <xdr:row>588</xdr:row>
      <xdr:rowOff>293688</xdr:rowOff>
    </xdr:to>
    <xdr:pic>
      <xdr:nvPicPr>
        <xdr:cNvPr id="54959" name="Picture 54958">
          <a:extLst>
            <a:ext uri="{FF2B5EF4-FFF2-40B4-BE49-F238E27FC236}">
              <a16:creationId xmlns:a16="http://schemas.microsoft.com/office/drawing/2014/main" id="{00000000-0008-0000-0B00-0000AF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994646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588</xdr:row>
      <xdr:rowOff>39688</xdr:rowOff>
    </xdr:from>
    <xdr:to>
      <xdr:col>6</xdr:col>
      <xdr:colOff>346075</xdr:colOff>
      <xdr:row>588</xdr:row>
      <xdr:rowOff>293688</xdr:rowOff>
    </xdr:to>
    <xdr:pic>
      <xdr:nvPicPr>
        <xdr:cNvPr id="54962" name="Picture 54961">
          <a:extLst>
            <a:ext uri="{FF2B5EF4-FFF2-40B4-BE49-F238E27FC236}">
              <a16:creationId xmlns:a16="http://schemas.microsoft.com/office/drawing/2014/main" id="{00000000-0008-0000-0B00-0000B2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994646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589</xdr:row>
      <xdr:rowOff>39688</xdr:rowOff>
    </xdr:from>
    <xdr:to>
      <xdr:col>2</xdr:col>
      <xdr:colOff>312738</xdr:colOff>
      <xdr:row>589</xdr:row>
      <xdr:rowOff>293688</xdr:rowOff>
    </xdr:to>
    <xdr:pic>
      <xdr:nvPicPr>
        <xdr:cNvPr id="54965" name="Picture 54964">
          <a:extLst>
            <a:ext uri="{FF2B5EF4-FFF2-40B4-BE49-F238E27FC236}">
              <a16:creationId xmlns:a16="http://schemas.microsoft.com/office/drawing/2014/main" id="{00000000-0008-0000-0B00-0000B5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1997979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589</xdr:row>
      <xdr:rowOff>39688</xdr:rowOff>
    </xdr:from>
    <xdr:to>
      <xdr:col>6</xdr:col>
      <xdr:colOff>346075</xdr:colOff>
      <xdr:row>589</xdr:row>
      <xdr:rowOff>293688</xdr:rowOff>
    </xdr:to>
    <xdr:pic>
      <xdr:nvPicPr>
        <xdr:cNvPr id="54968" name="Picture 54967">
          <a:extLst>
            <a:ext uri="{FF2B5EF4-FFF2-40B4-BE49-F238E27FC236}">
              <a16:creationId xmlns:a16="http://schemas.microsoft.com/office/drawing/2014/main" id="{00000000-0008-0000-0B00-0000B8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997979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590</xdr:row>
      <xdr:rowOff>39688</xdr:rowOff>
    </xdr:from>
    <xdr:to>
      <xdr:col>2</xdr:col>
      <xdr:colOff>312738</xdr:colOff>
      <xdr:row>590</xdr:row>
      <xdr:rowOff>293688</xdr:rowOff>
    </xdr:to>
    <xdr:pic>
      <xdr:nvPicPr>
        <xdr:cNvPr id="54971" name="Picture 54970">
          <a:extLst>
            <a:ext uri="{FF2B5EF4-FFF2-40B4-BE49-F238E27FC236}">
              <a16:creationId xmlns:a16="http://schemas.microsoft.com/office/drawing/2014/main" id="{00000000-0008-0000-0B00-0000BB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001313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590</xdr:row>
      <xdr:rowOff>39688</xdr:rowOff>
    </xdr:from>
    <xdr:to>
      <xdr:col>6</xdr:col>
      <xdr:colOff>346075</xdr:colOff>
      <xdr:row>590</xdr:row>
      <xdr:rowOff>293688</xdr:rowOff>
    </xdr:to>
    <xdr:pic>
      <xdr:nvPicPr>
        <xdr:cNvPr id="54974" name="Picture 54973">
          <a:extLst>
            <a:ext uri="{FF2B5EF4-FFF2-40B4-BE49-F238E27FC236}">
              <a16:creationId xmlns:a16="http://schemas.microsoft.com/office/drawing/2014/main" id="{00000000-0008-0000-0B00-0000BE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001313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591</xdr:row>
      <xdr:rowOff>39688</xdr:rowOff>
    </xdr:from>
    <xdr:to>
      <xdr:col>2</xdr:col>
      <xdr:colOff>312738</xdr:colOff>
      <xdr:row>591</xdr:row>
      <xdr:rowOff>293688</xdr:rowOff>
    </xdr:to>
    <xdr:pic>
      <xdr:nvPicPr>
        <xdr:cNvPr id="54977" name="Picture 54976">
          <a:extLst>
            <a:ext uri="{FF2B5EF4-FFF2-40B4-BE49-F238E27FC236}">
              <a16:creationId xmlns:a16="http://schemas.microsoft.com/office/drawing/2014/main" id="{00000000-0008-0000-0B00-0000C1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004647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591</xdr:row>
      <xdr:rowOff>39688</xdr:rowOff>
    </xdr:from>
    <xdr:to>
      <xdr:col>6</xdr:col>
      <xdr:colOff>346075</xdr:colOff>
      <xdr:row>591</xdr:row>
      <xdr:rowOff>293688</xdr:rowOff>
    </xdr:to>
    <xdr:pic>
      <xdr:nvPicPr>
        <xdr:cNvPr id="54980" name="Picture 54979">
          <a:extLst>
            <a:ext uri="{FF2B5EF4-FFF2-40B4-BE49-F238E27FC236}">
              <a16:creationId xmlns:a16="http://schemas.microsoft.com/office/drawing/2014/main" id="{00000000-0008-0000-0B00-0000C4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004647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592</xdr:row>
      <xdr:rowOff>39688</xdr:rowOff>
    </xdr:from>
    <xdr:to>
      <xdr:col>2</xdr:col>
      <xdr:colOff>312738</xdr:colOff>
      <xdr:row>592</xdr:row>
      <xdr:rowOff>293688</xdr:rowOff>
    </xdr:to>
    <xdr:pic>
      <xdr:nvPicPr>
        <xdr:cNvPr id="54983" name="Picture 54982">
          <a:extLst>
            <a:ext uri="{FF2B5EF4-FFF2-40B4-BE49-F238E27FC236}">
              <a16:creationId xmlns:a16="http://schemas.microsoft.com/office/drawing/2014/main" id="{00000000-0008-0000-0B00-0000C7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007981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592</xdr:row>
      <xdr:rowOff>39688</xdr:rowOff>
    </xdr:from>
    <xdr:to>
      <xdr:col>6</xdr:col>
      <xdr:colOff>346075</xdr:colOff>
      <xdr:row>592</xdr:row>
      <xdr:rowOff>293688</xdr:rowOff>
    </xdr:to>
    <xdr:pic>
      <xdr:nvPicPr>
        <xdr:cNvPr id="54986" name="Picture 54985">
          <a:extLst>
            <a:ext uri="{FF2B5EF4-FFF2-40B4-BE49-F238E27FC236}">
              <a16:creationId xmlns:a16="http://schemas.microsoft.com/office/drawing/2014/main" id="{00000000-0008-0000-0B00-0000CA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007981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593</xdr:row>
      <xdr:rowOff>39688</xdr:rowOff>
    </xdr:from>
    <xdr:to>
      <xdr:col>2</xdr:col>
      <xdr:colOff>312738</xdr:colOff>
      <xdr:row>593</xdr:row>
      <xdr:rowOff>293688</xdr:rowOff>
    </xdr:to>
    <xdr:pic>
      <xdr:nvPicPr>
        <xdr:cNvPr id="54989" name="Picture 54988">
          <a:extLst>
            <a:ext uri="{FF2B5EF4-FFF2-40B4-BE49-F238E27FC236}">
              <a16:creationId xmlns:a16="http://schemas.microsoft.com/office/drawing/2014/main" id="{00000000-0008-0000-0B00-0000CD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011314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593</xdr:row>
      <xdr:rowOff>39688</xdr:rowOff>
    </xdr:from>
    <xdr:to>
      <xdr:col>6</xdr:col>
      <xdr:colOff>346075</xdr:colOff>
      <xdr:row>593</xdr:row>
      <xdr:rowOff>293688</xdr:rowOff>
    </xdr:to>
    <xdr:pic>
      <xdr:nvPicPr>
        <xdr:cNvPr id="54992" name="Picture 54991">
          <a:extLst>
            <a:ext uri="{FF2B5EF4-FFF2-40B4-BE49-F238E27FC236}">
              <a16:creationId xmlns:a16="http://schemas.microsoft.com/office/drawing/2014/main" id="{00000000-0008-0000-0B00-0000D0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0113148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594</xdr:row>
      <xdr:rowOff>39688</xdr:rowOff>
    </xdr:from>
    <xdr:to>
      <xdr:col>2</xdr:col>
      <xdr:colOff>312738</xdr:colOff>
      <xdr:row>594</xdr:row>
      <xdr:rowOff>293688</xdr:rowOff>
    </xdr:to>
    <xdr:pic>
      <xdr:nvPicPr>
        <xdr:cNvPr id="54995" name="Picture 54994">
          <a:extLst>
            <a:ext uri="{FF2B5EF4-FFF2-40B4-BE49-F238E27FC236}">
              <a16:creationId xmlns:a16="http://schemas.microsoft.com/office/drawing/2014/main" id="{00000000-0008-0000-0B00-0000D3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0146486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594</xdr:row>
      <xdr:rowOff>39688</xdr:rowOff>
    </xdr:from>
    <xdr:to>
      <xdr:col>6</xdr:col>
      <xdr:colOff>346075</xdr:colOff>
      <xdr:row>594</xdr:row>
      <xdr:rowOff>293688</xdr:rowOff>
    </xdr:to>
    <xdr:pic>
      <xdr:nvPicPr>
        <xdr:cNvPr id="54998" name="Picture 54997">
          <a:extLst>
            <a:ext uri="{FF2B5EF4-FFF2-40B4-BE49-F238E27FC236}">
              <a16:creationId xmlns:a16="http://schemas.microsoft.com/office/drawing/2014/main" id="{00000000-0008-0000-0B00-0000D6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0146486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595</xdr:row>
      <xdr:rowOff>39688</xdr:rowOff>
    </xdr:from>
    <xdr:to>
      <xdr:col>2</xdr:col>
      <xdr:colOff>312738</xdr:colOff>
      <xdr:row>595</xdr:row>
      <xdr:rowOff>293688</xdr:rowOff>
    </xdr:to>
    <xdr:pic>
      <xdr:nvPicPr>
        <xdr:cNvPr id="55001" name="Picture 55000">
          <a:extLst>
            <a:ext uri="{FF2B5EF4-FFF2-40B4-BE49-F238E27FC236}">
              <a16:creationId xmlns:a16="http://schemas.microsoft.com/office/drawing/2014/main" id="{00000000-0008-0000-0B00-0000D9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0179823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595</xdr:row>
      <xdr:rowOff>39688</xdr:rowOff>
    </xdr:from>
    <xdr:to>
      <xdr:col>6</xdr:col>
      <xdr:colOff>346075</xdr:colOff>
      <xdr:row>595</xdr:row>
      <xdr:rowOff>293688</xdr:rowOff>
    </xdr:to>
    <xdr:pic>
      <xdr:nvPicPr>
        <xdr:cNvPr id="55004" name="Picture 55003">
          <a:extLst>
            <a:ext uri="{FF2B5EF4-FFF2-40B4-BE49-F238E27FC236}">
              <a16:creationId xmlns:a16="http://schemas.microsoft.com/office/drawing/2014/main" id="{00000000-0008-0000-0B00-0000DC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01798238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596</xdr:row>
      <xdr:rowOff>39688</xdr:rowOff>
    </xdr:from>
    <xdr:to>
      <xdr:col>2</xdr:col>
      <xdr:colOff>312738</xdr:colOff>
      <xdr:row>596</xdr:row>
      <xdr:rowOff>293688</xdr:rowOff>
    </xdr:to>
    <xdr:pic>
      <xdr:nvPicPr>
        <xdr:cNvPr id="55007" name="Picture 55006">
          <a:extLst>
            <a:ext uri="{FF2B5EF4-FFF2-40B4-BE49-F238E27FC236}">
              <a16:creationId xmlns:a16="http://schemas.microsoft.com/office/drawing/2014/main" id="{00000000-0008-0000-0B00-0000DF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02131613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596</xdr:row>
      <xdr:rowOff>39688</xdr:rowOff>
    </xdr:from>
    <xdr:to>
      <xdr:col>6</xdr:col>
      <xdr:colOff>346075</xdr:colOff>
      <xdr:row>596</xdr:row>
      <xdr:rowOff>293688</xdr:rowOff>
    </xdr:to>
    <xdr:pic>
      <xdr:nvPicPr>
        <xdr:cNvPr id="55010" name="Picture 55009">
          <a:extLst>
            <a:ext uri="{FF2B5EF4-FFF2-40B4-BE49-F238E27FC236}">
              <a16:creationId xmlns:a16="http://schemas.microsoft.com/office/drawing/2014/main" id="{00000000-0008-0000-0B00-0000E2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02131613"/>
          <a:ext cx="254000" cy="254000"/>
        </a:xfrm>
        <a:prstGeom prst="rect">
          <a:avLst/>
        </a:prstGeom>
      </xdr:spPr>
    </xdr:pic>
    <xdr:clientData/>
  </xdr:twoCellAnchor>
  <xdr:twoCellAnchor>
    <xdr:from>
      <xdr:col>2</xdr:col>
      <xdr:colOff>58738</xdr:colOff>
      <xdr:row>597</xdr:row>
      <xdr:rowOff>39688</xdr:rowOff>
    </xdr:from>
    <xdr:to>
      <xdr:col>2</xdr:col>
      <xdr:colOff>312738</xdr:colOff>
      <xdr:row>597</xdr:row>
      <xdr:rowOff>293688</xdr:rowOff>
    </xdr:to>
    <xdr:pic>
      <xdr:nvPicPr>
        <xdr:cNvPr id="55013" name="Picture 55012">
          <a:extLst>
            <a:ext uri="{FF2B5EF4-FFF2-40B4-BE49-F238E27FC236}">
              <a16:creationId xmlns:a16="http://schemas.microsoft.com/office/drawing/2014/main" id="{00000000-0008-0000-0B00-0000E5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638" y="202464988"/>
          <a:ext cx="254000" cy="254000"/>
        </a:xfrm>
        <a:prstGeom prst="rect">
          <a:avLst/>
        </a:prstGeom>
      </xdr:spPr>
    </xdr:pic>
    <xdr:clientData/>
  </xdr:twoCellAnchor>
  <xdr:twoCellAnchor>
    <xdr:from>
      <xdr:col>6</xdr:col>
      <xdr:colOff>92075</xdr:colOff>
      <xdr:row>597</xdr:row>
      <xdr:rowOff>39688</xdr:rowOff>
    </xdr:from>
    <xdr:to>
      <xdr:col>6</xdr:col>
      <xdr:colOff>346075</xdr:colOff>
      <xdr:row>597</xdr:row>
      <xdr:rowOff>293688</xdr:rowOff>
    </xdr:to>
    <xdr:pic>
      <xdr:nvPicPr>
        <xdr:cNvPr id="55016" name="Picture 55015">
          <a:extLst>
            <a:ext uri="{FF2B5EF4-FFF2-40B4-BE49-F238E27FC236}">
              <a16:creationId xmlns:a16="http://schemas.microsoft.com/office/drawing/2014/main" id="{00000000-0008-0000-0B00-0000E8D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202464988"/>
          <a:ext cx="254000" cy="2540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- output_ENG 1_2021" backgroundRefresh="0" connectionId="1" xr16:uid="{00000000-0016-0000-0600-000000000000}" autoFormatId="16" applyNumberFormats="0" applyBorderFormats="0" applyFontFormats="0" applyPatternFormats="0" applyAlignmentFormats="0" applyWidthHeightFormats="0">
  <queryTableRefresh nextId="18">
    <queryTableFields count="17">
      <queryTableField id="1" name="Match Day" tableColumnId="1"/>
      <queryTableField id="2" name="MatchDate" tableColumnId="2"/>
      <queryTableField id="3" name="Match Time(EST)" tableColumnId="3"/>
      <queryTableField id="4" name="Match Time(WET)" tableColumnId="4"/>
      <queryTableField id="5" name="Match Time(CET)" tableColumnId="5"/>
      <queryTableField id="6" name="Match Time(EET)" tableColumnId="6"/>
      <queryTableField id="7" name="Match Time(MSK)" tableColumnId="7"/>
      <queryTableField id="8" name="Fixture" tableColumnId="8"/>
      <queryTableField id="9" name="Stadium" tableColumnId="9"/>
      <queryTableField id="10" name="Home Team" tableColumnId="10"/>
      <queryTableField id="11" name="Home Goal" tableColumnId="11"/>
      <queryTableField id="12" name="Away Goal" tableColumnId="12"/>
      <queryTableField id="13" name="Away Team" tableColumnId="13"/>
      <queryTableField id="14" name="Last Update Time" tableColumnId="14"/>
      <queryTableField id="15" name="Stage" tableColumnId="15"/>
      <queryTableField id="16" name="Status" tableColumnId="16"/>
      <queryTableField id="17" name="State" tableColumnId="1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X381" totalsRowShown="0" tableBorderDxfId="44">
  <tableColumns count="24">
    <tableColumn id="1" xr3:uid="{00000000-0010-0000-0000-000001000000}" name="Match Day" dataDxfId="43"/>
    <tableColumn id="2" xr3:uid="{00000000-0010-0000-0000-000002000000}" name="Match Date" dataDxfId="42"/>
    <tableColumn id="3" xr3:uid="{00000000-0010-0000-0000-000003000000}" name="Match Time(US EST)" dataDxfId="41"/>
    <tableColumn id="4" xr3:uid="{00000000-0010-0000-0000-000004000000}" name="Match Time(EET)" dataDxfId="40"/>
    <tableColumn id="5" xr3:uid="{00000000-0010-0000-0000-000005000000}" name="Match Time(CET)" dataDxfId="39"/>
    <tableColumn id="6" xr3:uid="{00000000-0010-0000-0000-000006000000}" name="Match Time(WET)" dataDxfId="38"/>
    <tableColumn id="7" xr3:uid="{00000000-0010-0000-0000-000007000000}" name="Match Time(MSK)" dataDxfId="37"/>
    <tableColumn id="8" xr3:uid="{00000000-0010-0000-0000-000008000000}" name="Fixture" dataDxfId="36"/>
    <tableColumn id="9" xr3:uid="{00000000-0010-0000-0000-000009000000}" name="Stadium" dataDxfId="35"/>
    <tableColumn id="10" xr3:uid="{00000000-0010-0000-0000-00000A000000}" name="Home Team" dataDxfId="34"/>
    <tableColumn id="11" xr3:uid="{00000000-0010-0000-0000-00000B000000}" name="Home Goal" dataDxfId="33"/>
    <tableColumn id="12" xr3:uid="{00000000-0010-0000-0000-00000C000000}" name="Away Goal" dataDxfId="32"/>
    <tableColumn id="13" xr3:uid="{00000000-0010-0000-0000-00000D000000}" name="Away Team" dataDxfId="31"/>
    <tableColumn id="14" xr3:uid="{00000000-0010-0000-0000-00000E000000}" name="Last Update Time" dataDxfId="30"/>
    <tableColumn id="15" xr3:uid="{00000000-0010-0000-0000-00000F000000}" name="Stage" dataDxfId="29"/>
    <tableColumn id="16" xr3:uid="{00000000-0010-0000-0000-000010000000}" name="Status" dataDxfId="28"/>
    <tableColumn id="17" xr3:uid="{00000000-0010-0000-0000-000011000000}" name="Note4" dataDxfId="27"/>
    <tableColumn id="18" xr3:uid="{00000000-0010-0000-0000-000012000000}" name="Likely Home Goal" dataDxfId="26"/>
    <tableColumn id="19" xr3:uid="{00000000-0010-0000-0000-000013000000}" name="Likely Away Goal" dataDxfId="25"/>
    <tableColumn id="20" xr3:uid="{00000000-0010-0000-0000-000014000000}" name="Projected Home Goal" dataDxfId="24"/>
    <tableColumn id="21" xr3:uid="{00000000-0010-0000-0000-000015000000}" name="Projected Away Goal" dataDxfId="23"/>
    <tableColumn id="22" xr3:uid="{00000000-0010-0000-0000-000016000000}" name="Win %" dataDxfId="22"/>
    <tableColumn id="23" xr3:uid="{00000000-0010-0000-0000-000017000000}" name="Draw %" dataDxfId="21"/>
    <tableColumn id="24" xr3:uid="{00000000-0010-0000-0000-000018000000}" name="Loss %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utput_ENG_1_2021" displayName="output_ENG_1_2021" ref="A1:Q381" tableType="queryTable" totalsRowShown="0">
  <autoFilter ref="A1:Q381" xr:uid="{00000000-0009-0000-0100-000002000000}"/>
  <tableColumns count="17">
    <tableColumn id="1" xr3:uid="{00000000-0010-0000-0100-000001000000}" uniqueName="1" name="Match Day" queryTableFieldId="1"/>
    <tableColumn id="2" xr3:uid="{00000000-0010-0000-0100-000002000000}" uniqueName="2" name="MatchDate" queryTableFieldId="2" dataDxfId="19"/>
    <tableColumn id="3" xr3:uid="{00000000-0010-0000-0100-000003000000}" uniqueName="3" name="Match Time(EST)" queryTableFieldId="3" dataDxfId="18"/>
    <tableColumn id="4" xr3:uid="{00000000-0010-0000-0100-000004000000}" uniqueName="4" name="Match Time(WET)" queryTableFieldId="4" dataDxfId="17"/>
    <tableColumn id="5" xr3:uid="{00000000-0010-0000-0100-000005000000}" uniqueName="5" name="Match Time(CET)" queryTableFieldId="5" dataDxfId="16"/>
    <tableColumn id="6" xr3:uid="{00000000-0010-0000-0100-000006000000}" uniqueName="6" name="Match Time(EET)" queryTableFieldId="6" dataDxfId="15"/>
    <tableColumn id="7" xr3:uid="{00000000-0010-0000-0100-000007000000}" uniqueName="7" name="Match Time(MSK)" queryTableFieldId="7" dataDxfId="14"/>
    <tableColumn id="8" xr3:uid="{00000000-0010-0000-0100-000008000000}" uniqueName="8" name="Fixture" queryTableFieldId="8" dataDxfId="13"/>
    <tableColumn id="9" xr3:uid="{00000000-0010-0000-0100-000009000000}" uniqueName="9" name="Stadium" queryTableFieldId="9" dataDxfId="12"/>
    <tableColumn id="10" xr3:uid="{00000000-0010-0000-0100-00000A000000}" uniqueName="10" name="Home Team" queryTableFieldId="10" dataDxfId="11"/>
    <tableColumn id="11" xr3:uid="{00000000-0010-0000-0100-00000B000000}" uniqueName="11" name="Home Goal" queryTableFieldId="11"/>
    <tableColumn id="12" xr3:uid="{00000000-0010-0000-0100-00000C000000}" uniqueName="12" name="Away Goal" queryTableFieldId="12"/>
    <tableColumn id="13" xr3:uid="{00000000-0010-0000-0100-00000D000000}" uniqueName="13" name="Away Team" queryTableFieldId="13" dataDxfId="10"/>
    <tableColumn id="14" xr3:uid="{00000000-0010-0000-0100-00000E000000}" uniqueName="14" name="Last Update Time" queryTableFieldId="14" dataDxfId="9"/>
    <tableColumn id="15" xr3:uid="{00000000-0010-0000-0100-00000F000000}" uniqueName="15" name="Stage" queryTableFieldId="15" dataDxfId="8"/>
    <tableColumn id="16" xr3:uid="{00000000-0010-0000-0100-000010000000}" uniqueName="16" name="Status" queryTableFieldId="16" dataDxfId="7"/>
    <tableColumn id="17" xr3:uid="{00000000-0010-0000-0100-000011000000}" uniqueName="17" name="State" queryTableFieldId="17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ojects.fivethirtyeight.com/soccer-predictions/premier-league/" TargetMode="External"/><Relationship Id="rId1" Type="http://schemas.openxmlformats.org/officeDocument/2006/relationships/hyperlink" Target="https://www.excel4soccer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N34"/>
  <sheetViews>
    <sheetView showGridLines="0" tabSelected="1" zoomScale="70" zoomScaleNormal="70" workbookViewId="0"/>
  </sheetViews>
  <sheetFormatPr defaultRowHeight="15" x14ac:dyDescent="0.25"/>
  <cols>
    <col min="2" max="2" width="44.85546875" bestFit="1" customWidth="1"/>
    <col min="3" max="3" width="18.42578125" customWidth="1"/>
    <col min="4" max="4" width="29.42578125" customWidth="1"/>
    <col min="5" max="5" width="28" hidden="1" customWidth="1"/>
    <col min="6" max="6" width="15.42578125" hidden="1" customWidth="1"/>
    <col min="7" max="7" width="14.85546875" customWidth="1"/>
    <col min="8" max="8" width="174.85546875" customWidth="1"/>
    <col min="9" max="9" width="15.7109375" style="406" customWidth="1"/>
    <col min="10" max="11" width="9.140625" style="406"/>
  </cols>
  <sheetData>
    <row r="1" spans="1:11" ht="27" thickBot="1" x14ac:dyDescent="0.45">
      <c r="A1" s="1"/>
      <c r="B1" s="2" t="s">
        <v>429</v>
      </c>
      <c r="C1" s="129" t="s">
        <v>101</v>
      </c>
      <c r="D1" s="130" t="s">
        <v>131</v>
      </c>
      <c r="E1" s="500" t="s">
        <v>426</v>
      </c>
      <c r="F1" s="500">
        <v>20</v>
      </c>
      <c r="G1" s="501">
        <v>44988.425069444442</v>
      </c>
      <c r="H1" s="505" t="s">
        <v>679</v>
      </c>
      <c r="J1" s="406" t="str">
        <f>VLOOKUP(D1,I2:K9,2,FALSE)</f>
        <v>F</v>
      </c>
      <c r="K1" s="406">
        <f>VLOOKUP(D1,I2:K9,3,FALSE)</f>
        <v>0</v>
      </c>
    </row>
    <row r="2" spans="1:11" ht="26.25" x14ac:dyDescent="0.4">
      <c r="A2" s="6"/>
      <c r="B2" s="5" t="s">
        <v>1</v>
      </c>
      <c r="F2" s="135" t="s">
        <v>127</v>
      </c>
      <c r="G2" s="507" t="s">
        <v>685</v>
      </c>
      <c r="H2" s="503"/>
      <c r="I2" s="406" t="s">
        <v>127</v>
      </c>
      <c r="J2" s="406" t="s">
        <v>640</v>
      </c>
      <c r="K2" s="406">
        <v>0</v>
      </c>
    </row>
    <row r="3" spans="1:11" ht="26.25" x14ac:dyDescent="0.4">
      <c r="A3" s="9"/>
      <c r="B3" s="8" t="s">
        <v>2</v>
      </c>
      <c r="F3" s="135" t="s">
        <v>128</v>
      </c>
      <c r="G3" s="502">
        <v>1</v>
      </c>
      <c r="H3" s="503" t="s">
        <v>680</v>
      </c>
      <c r="I3" s="406" t="s">
        <v>128</v>
      </c>
      <c r="J3" s="406" t="s">
        <v>640</v>
      </c>
      <c r="K3" s="406">
        <v>1</v>
      </c>
    </row>
    <row r="4" spans="1:11" ht="26.25" x14ac:dyDescent="0.4">
      <c r="A4" s="262"/>
      <c r="B4" s="261" t="s">
        <v>3</v>
      </c>
      <c r="F4" s="135" t="s">
        <v>129</v>
      </c>
      <c r="G4" s="502">
        <v>2</v>
      </c>
      <c r="H4" s="503" t="s">
        <v>681</v>
      </c>
      <c r="I4" s="406" t="s">
        <v>129</v>
      </c>
      <c r="J4" s="406" t="s">
        <v>640</v>
      </c>
      <c r="K4" s="406">
        <v>2</v>
      </c>
    </row>
    <row r="5" spans="1:11" ht="26.25" x14ac:dyDescent="0.4">
      <c r="A5" s="407"/>
      <c r="B5" s="205" t="s">
        <v>125</v>
      </c>
      <c r="F5" s="135" t="s">
        <v>130</v>
      </c>
      <c r="G5" s="502">
        <v>3</v>
      </c>
      <c r="H5" s="503" t="s">
        <v>628</v>
      </c>
      <c r="I5" s="406" t="s">
        <v>130</v>
      </c>
      <c r="J5" s="406" t="s">
        <v>640</v>
      </c>
      <c r="K5" s="406">
        <v>3</v>
      </c>
    </row>
    <row r="6" spans="1:11" ht="26.25" x14ac:dyDescent="0.4">
      <c r="A6" s="11"/>
      <c r="B6" s="10" t="s">
        <v>4</v>
      </c>
      <c r="F6" s="135" t="s">
        <v>131</v>
      </c>
      <c r="G6" s="502">
        <v>4</v>
      </c>
      <c r="H6" s="503" t="s">
        <v>682</v>
      </c>
      <c r="I6" s="406" t="s">
        <v>131</v>
      </c>
      <c r="J6" s="406" t="s">
        <v>641</v>
      </c>
      <c r="K6" s="406">
        <v>0</v>
      </c>
    </row>
    <row r="7" spans="1:11" ht="26.25" x14ac:dyDescent="0.4">
      <c r="A7" s="15"/>
      <c r="B7" s="14" t="s">
        <v>5</v>
      </c>
      <c r="E7" s="137"/>
      <c r="F7" s="135" t="s">
        <v>132</v>
      </c>
      <c r="G7" s="502">
        <v>5</v>
      </c>
      <c r="H7" s="503" t="s">
        <v>683</v>
      </c>
      <c r="I7" s="406" t="s">
        <v>132</v>
      </c>
      <c r="J7" s="406" t="s">
        <v>642</v>
      </c>
      <c r="K7" s="406">
        <v>0</v>
      </c>
    </row>
    <row r="8" spans="1:11" ht="27" thickBot="1" x14ac:dyDescent="0.45">
      <c r="A8" s="17"/>
      <c r="B8" s="16" t="s">
        <v>6</v>
      </c>
      <c r="E8" s="185"/>
      <c r="F8" s="135" t="s">
        <v>133</v>
      </c>
      <c r="G8" s="504"/>
      <c r="H8" s="506" t="s">
        <v>684</v>
      </c>
      <c r="I8" s="406" t="s">
        <v>133</v>
      </c>
      <c r="J8" s="406" t="s">
        <v>607</v>
      </c>
      <c r="K8" s="406">
        <v>0</v>
      </c>
    </row>
    <row r="9" spans="1:11" ht="26.25" x14ac:dyDescent="0.4">
      <c r="A9" s="19"/>
      <c r="B9" s="18" t="s">
        <v>7</v>
      </c>
      <c r="F9" s="135" t="s">
        <v>134</v>
      </c>
      <c r="I9" s="406" t="s">
        <v>134</v>
      </c>
      <c r="J9" s="406" t="s">
        <v>0</v>
      </c>
      <c r="K9" s="406">
        <v>0</v>
      </c>
    </row>
    <row r="10" spans="1:11" ht="26.25" x14ac:dyDescent="0.4">
      <c r="A10" s="178"/>
      <c r="B10" s="176" t="s">
        <v>126</v>
      </c>
      <c r="F10" s="135"/>
    </row>
    <row r="11" spans="1:11" ht="26.25" x14ac:dyDescent="0.4">
      <c r="A11" s="177"/>
      <c r="B11" s="175" t="s">
        <v>139</v>
      </c>
      <c r="F11" s="135"/>
    </row>
    <row r="12" spans="1:11" ht="26.25" x14ac:dyDescent="0.4">
      <c r="A12" s="21"/>
      <c r="B12" s="20" t="s">
        <v>8</v>
      </c>
    </row>
    <row r="13" spans="1:11" ht="26.25" x14ac:dyDescent="0.4">
      <c r="A13" s="23"/>
      <c r="B13" s="22" t="s">
        <v>9</v>
      </c>
    </row>
    <row r="14" spans="1:11" ht="26.25" x14ac:dyDescent="0.4">
      <c r="A14" s="25"/>
      <c r="B14" s="24" t="s">
        <v>10</v>
      </c>
      <c r="F14" s="132"/>
    </row>
    <row r="15" spans="1:11" ht="26.25" x14ac:dyDescent="0.4">
      <c r="A15" s="27"/>
      <c r="B15" s="26" t="s">
        <v>11</v>
      </c>
      <c r="F15" s="265"/>
    </row>
    <row r="16" spans="1:11" ht="26.25" x14ac:dyDescent="0.4">
      <c r="A16" s="29"/>
      <c r="B16" s="28" t="s">
        <v>12</v>
      </c>
      <c r="C16" s="166"/>
      <c r="D16" s="166"/>
      <c r="E16" s="166"/>
      <c r="F16" s="2"/>
    </row>
    <row r="17" spans="1:14" ht="26.25" x14ac:dyDescent="0.4">
      <c r="A17" s="408"/>
      <c r="B17" s="263" t="s">
        <v>204</v>
      </c>
      <c r="C17" s="166"/>
      <c r="D17" s="274"/>
      <c r="E17" s="166"/>
      <c r="F17" s="2"/>
    </row>
    <row r="18" spans="1:14" ht="26.25" x14ac:dyDescent="0.4">
      <c r="A18" s="30"/>
      <c r="B18" s="5" t="s">
        <v>13</v>
      </c>
      <c r="C18" s="166"/>
      <c r="D18" s="274"/>
      <c r="E18" s="166"/>
      <c r="F18" s="2"/>
    </row>
    <row r="19" spans="1:14" ht="26.25" x14ac:dyDescent="0.4">
      <c r="A19" s="32"/>
      <c r="B19" s="31" t="s">
        <v>14</v>
      </c>
      <c r="C19" s="166"/>
      <c r="D19" s="166"/>
      <c r="E19" s="166"/>
    </row>
    <row r="20" spans="1:14" ht="26.25" x14ac:dyDescent="0.4">
      <c r="A20" s="34"/>
      <c r="B20" s="33" t="s">
        <v>15</v>
      </c>
      <c r="C20" s="166"/>
      <c r="D20" s="166"/>
      <c r="E20" s="166"/>
    </row>
    <row r="21" spans="1:14" ht="26.25" x14ac:dyDescent="0.4">
      <c r="A21" s="36"/>
      <c r="B21" s="35" t="s">
        <v>16</v>
      </c>
    </row>
    <row r="25" spans="1:14" x14ac:dyDescent="0.25">
      <c r="C25" s="131"/>
    </row>
    <row r="26" spans="1:14" x14ac:dyDescent="0.25">
      <c r="C26" s="131"/>
    </row>
    <row r="27" spans="1:14" x14ac:dyDescent="0.25">
      <c r="C27" s="131"/>
    </row>
    <row r="29" spans="1:14" ht="26.25" x14ac:dyDescent="0.4">
      <c r="A29" s="7" t="s">
        <v>423</v>
      </c>
      <c r="C29" s="231"/>
      <c r="D29" s="131"/>
      <c r="E29" s="131"/>
      <c r="F29" s="135"/>
      <c r="L29" s="131"/>
      <c r="M29" s="131"/>
      <c r="N29" s="131"/>
    </row>
    <row r="30" spans="1:14" ht="18.75" x14ac:dyDescent="0.3">
      <c r="A30" s="1">
        <v>1</v>
      </c>
      <c r="B30" s="232" t="s">
        <v>424</v>
      </c>
      <c r="C30" s="131"/>
      <c r="D30" s="131"/>
      <c r="E30" s="131"/>
      <c r="F30" s="135"/>
      <c r="L30" s="131"/>
      <c r="M30" s="131"/>
      <c r="N30" s="131"/>
    </row>
    <row r="31" spans="1:14" ht="18.75" x14ac:dyDescent="0.3">
      <c r="A31" s="1">
        <v>2</v>
      </c>
      <c r="B31" s="232" t="s">
        <v>425</v>
      </c>
      <c r="C31" s="131"/>
      <c r="D31" s="131"/>
      <c r="E31" s="131"/>
      <c r="F31" s="135"/>
      <c r="L31" s="131"/>
      <c r="M31" s="131"/>
      <c r="N31" s="131"/>
    </row>
    <row r="34" spans="1:1" x14ac:dyDescent="0.25">
      <c r="A34" s="88" t="s">
        <v>592</v>
      </c>
    </row>
  </sheetData>
  <sheetProtection algorithmName="SHA-512" hashValue="TCvHak6jOYPauVhT/3slzkWxnQhG/zftCwzThpNfawJHcnAAjKT3OAXHQtHNKpOWp3AmZz4i5OTXw8a33HfJ5A==" saltValue="gM3FtcCeV1AlM7yTUnKS/Q==" spinCount="100000" sheet="1" objects="1" scenarios="1"/>
  <dataValidations count="1">
    <dataValidation type="list" allowBlank="1" showInputMessage="1" showErrorMessage="1" sqref="D1" xr:uid="{00000000-0002-0000-0000-000000000000}">
      <formula1>$F$2:$F$10</formula1>
    </dataValidation>
  </dataValidations>
  <hyperlinks>
    <hyperlink ref="B30" r:id="rId1" xr:uid="{00000000-0004-0000-0000-000000000000}"/>
    <hyperlink ref="B31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/>
  <dimension ref="A1:V31"/>
  <sheetViews>
    <sheetView showGridLines="0" zoomScaleNormal="100" workbookViewId="0">
      <selection activeCell="Q21" sqref="Q21"/>
    </sheetView>
  </sheetViews>
  <sheetFormatPr defaultRowHeight="15" x14ac:dyDescent="0.25"/>
  <cols>
    <col min="1" max="1" width="6.85546875" bestFit="1" customWidth="1"/>
    <col min="2" max="2" width="31.5703125" bestFit="1" customWidth="1"/>
    <col min="3" max="3" width="6.5703125" customWidth="1"/>
    <col min="4" max="4" width="9.5703125" bestFit="1" customWidth="1"/>
    <col min="5" max="5" width="6.5703125" bestFit="1" customWidth="1"/>
    <col min="6" max="6" width="8.7109375" bestFit="1" customWidth="1"/>
    <col min="7" max="7" width="6" bestFit="1" customWidth="1"/>
    <col min="8" max="8" width="7.5703125" bestFit="1" customWidth="1"/>
    <col min="9" max="9" width="10.42578125" bestFit="1" customWidth="1"/>
    <col min="10" max="10" width="6.7109375" bestFit="1" customWidth="1"/>
    <col min="11" max="11" width="8.42578125" bestFit="1" customWidth="1"/>
    <col min="12" max="16" width="5" bestFit="1" customWidth="1"/>
    <col min="17" max="17" width="6.28515625" style="37" customWidth="1"/>
    <col min="18" max="18" width="4" bestFit="1" customWidth="1"/>
    <col min="19" max="19" width="23.5703125" style="406" customWidth="1"/>
    <col min="22" max="22" width="25.28515625" customWidth="1"/>
  </cols>
  <sheetData>
    <row r="1" spans="1:19" s="37" customFormat="1" ht="19.5" thickBot="1" x14ac:dyDescent="0.35">
      <c r="A1" s="147" t="s">
        <v>112</v>
      </c>
      <c r="B1" s="508" t="s">
        <v>113</v>
      </c>
      <c r="C1" s="508"/>
      <c r="D1" s="148" t="s">
        <v>114</v>
      </c>
      <c r="E1" s="148" t="s">
        <v>115</v>
      </c>
      <c r="F1" s="148" t="s">
        <v>116</v>
      </c>
      <c r="G1" s="148" t="s">
        <v>117</v>
      </c>
      <c r="H1" s="148" t="s">
        <v>118</v>
      </c>
      <c r="I1" s="148" t="s">
        <v>119</v>
      </c>
      <c r="J1" s="148" t="s">
        <v>120</v>
      </c>
      <c r="K1" s="148" t="s">
        <v>121</v>
      </c>
      <c r="L1" s="509" t="s">
        <v>122</v>
      </c>
      <c r="M1" s="510"/>
      <c r="N1" s="510"/>
      <c r="O1" s="510"/>
      <c r="P1" s="511"/>
      <c r="Q1" s="512" t="s">
        <v>610</v>
      </c>
      <c r="R1" s="513"/>
      <c r="S1" s="406"/>
    </row>
    <row r="2" spans="1:19" ht="26.25" x14ac:dyDescent="0.4">
      <c r="A2" s="149">
        <v>1</v>
      </c>
      <c r="B2" s="138" t="str">
        <f>VLOOKUP('League Table'!A2,tableTmp!$A$2:$R$21,2,FALSE)</f>
        <v>Man City</v>
      </c>
      <c r="C2" s="136"/>
      <c r="D2" s="138">
        <f>VLOOKUP('League Table'!A2,tableTmp!$A$2:$R$21,4,FALSE)</f>
        <v>38</v>
      </c>
      <c r="E2" s="138">
        <f>VLOOKUP('League Table'!A2,tableTmp!$A$2:$R$21,5,FALSE)</f>
        <v>28</v>
      </c>
      <c r="F2" s="138">
        <f>VLOOKUP('League Table'!A2,tableTmp!$A$2:$R$21,6,FALSE)</f>
        <v>5</v>
      </c>
      <c r="G2" s="138">
        <f>VLOOKUP('League Table'!A2,tableTmp!$A$2:$R$21,7,FALSE)</f>
        <v>5</v>
      </c>
      <c r="H2" s="138">
        <f>VLOOKUP('League Table'!A2,tableTmp!$A$2:$R$21,8,FALSE)</f>
        <v>94</v>
      </c>
      <c r="I2" s="138">
        <f>VLOOKUP('League Table'!A2,tableTmp!$A$2:$R$21,9,FALSE)</f>
        <v>33</v>
      </c>
      <c r="J2" s="461">
        <f>VLOOKUP('League Table'!A2,tableTmp!$A$2:$R$21,10,FALSE)</f>
        <v>61</v>
      </c>
      <c r="K2" s="138">
        <f>VLOOKUP('League Table'!A2,tableTmp!$A$2:$R$21,11,FALSE)</f>
        <v>89</v>
      </c>
      <c r="L2" s="150" t="str">
        <f ca="1">VLOOKUP('League Table'!A2,tableTmp!$A$2:$R$21,12,FALSE)</f>
        <v>W</v>
      </c>
      <c r="M2" s="151" t="str">
        <f ca="1">VLOOKUP('League Table'!A2,tableTmp!$A$2:$R$21,13,FALSE)</f>
        <v>W</v>
      </c>
      <c r="N2" s="151" t="str">
        <f ca="1">VLOOKUP('League Table'!A2,tableTmp!$A$2:$R$21,14,FALSE)</f>
        <v>W</v>
      </c>
      <c r="O2" s="151" t="str">
        <f ca="1">VLOOKUP('League Table'!A2,tableTmp!$A$2:$R$21,15,FALSE)</f>
        <v>D</v>
      </c>
      <c r="P2" s="152" t="str">
        <f ca="1">VLOOKUP('League Table'!A2,tableTmp!$A$2:$R$21,16,FALSE)</f>
        <v>L</v>
      </c>
      <c r="Q2" s="138"/>
      <c r="R2" s="153" t="str">
        <f ca="1">VLOOKUP('League Table'!A2,tableTmp!$A$2:$R$21,18,FALSE)</f>
        <v>A</v>
      </c>
      <c r="S2" s="406" t="str">
        <f ca="1">VLOOKUP('League Table'!A2,tableTmp!$A$2:$R$21,17,FALSE)</f>
        <v>Brentford</v>
      </c>
    </row>
    <row r="3" spans="1:19" ht="26.25" x14ac:dyDescent="0.4">
      <c r="A3" s="149">
        <v>2</v>
      </c>
      <c r="B3" s="138" t="str">
        <f>VLOOKUP('League Table'!A3,tableTmp!$A$2:$R$21,2,FALSE)</f>
        <v>Arsenal</v>
      </c>
      <c r="C3" s="138"/>
      <c r="D3" s="138">
        <f>VLOOKUP('League Table'!A3,tableTmp!$A$2:$R$21,4,FALSE)</f>
        <v>38</v>
      </c>
      <c r="E3" s="138">
        <f>VLOOKUP('League Table'!A3,tableTmp!$A$2:$R$21,5,FALSE)</f>
        <v>26</v>
      </c>
      <c r="F3" s="138">
        <f>VLOOKUP('League Table'!A3,tableTmp!$A$2:$R$21,6,FALSE)</f>
        <v>6</v>
      </c>
      <c r="G3" s="138">
        <f>VLOOKUP('League Table'!A3,tableTmp!$A$2:$R$21,7,FALSE)</f>
        <v>6</v>
      </c>
      <c r="H3" s="138">
        <f>VLOOKUP('League Table'!A3,tableTmp!$A$2:$R$21,8,FALSE)</f>
        <v>88</v>
      </c>
      <c r="I3" s="138">
        <f>VLOOKUP('League Table'!A3,tableTmp!$A$2:$R$21,9,FALSE)</f>
        <v>43</v>
      </c>
      <c r="J3" s="138">
        <f>VLOOKUP('League Table'!A3,tableTmp!$A$2:$R$21,10,FALSE)</f>
        <v>45</v>
      </c>
      <c r="K3" s="138">
        <f>VLOOKUP('League Table'!A3,tableTmp!$A$2:$R$21,11,FALSE)</f>
        <v>84</v>
      </c>
      <c r="L3" s="154" t="str">
        <f ca="1">VLOOKUP('League Table'!A3,tableTmp!$A$2:$R$21,12,FALSE)</f>
        <v>W</v>
      </c>
      <c r="M3" s="155" t="str">
        <f ca="1">VLOOKUP('League Table'!A3,tableTmp!$A$2:$R$21,13,FALSE)</f>
        <v>W</v>
      </c>
      <c r="N3" s="155" t="str">
        <f ca="1">VLOOKUP('League Table'!A3,tableTmp!$A$2:$R$21,14,FALSE)</f>
        <v>L</v>
      </c>
      <c r="O3" s="155" t="str">
        <f ca="1">VLOOKUP('League Table'!A3,tableTmp!$A$2:$R$21,15,FALSE)</f>
        <v>L</v>
      </c>
      <c r="P3" s="134" t="str">
        <f ca="1">VLOOKUP('League Table'!A3,tableTmp!$A$2:$R$21,16,FALSE)</f>
        <v>W</v>
      </c>
      <c r="Q3" s="138"/>
      <c r="R3" s="153" t="str">
        <f ca="1">VLOOKUP('League Table'!A3,tableTmp!$A$2:$R$21,18,FALSE)</f>
        <v>H</v>
      </c>
      <c r="S3" s="406" t="str">
        <f ca="1">VLOOKUP('League Table'!A3,tableTmp!$A$2:$R$21,17,FALSE)</f>
        <v>Wolves</v>
      </c>
    </row>
    <row r="4" spans="1:19" ht="26.25" x14ac:dyDescent="0.4">
      <c r="A4" s="149">
        <v>3</v>
      </c>
      <c r="B4" s="138" t="str">
        <f>VLOOKUP('League Table'!A4,tableTmp!$A$2:$R$21,2,FALSE)</f>
        <v>Man Utd</v>
      </c>
      <c r="C4" s="138"/>
      <c r="D4" s="138">
        <f>VLOOKUP('League Table'!A4,tableTmp!$A$2:$R$21,4,FALSE)</f>
        <v>38</v>
      </c>
      <c r="E4" s="138">
        <f>VLOOKUP('League Table'!A4,tableTmp!$A$2:$R$21,5,FALSE)</f>
        <v>23</v>
      </c>
      <c r="F4" s="138">
        <f>VLOOKUP('League Table'!A4,tableTmp!$A$2:$R$21,6,FALSE)</f>
        <v>6</v>
      </c>
      <c r="G4" s="138">
        <f>VLOOKUP('League Table'!A4,tableTmp!$A$2:$R$21,7,FALSE)</f>
        <v>9</v>
      </c>
      <c r="H4" s="138">
        <f>VLOOKUP('League Table'!A4,tableTmp!$A$2:$R$21,8,FALSE)</f>
        <v>58</v>
      </c>
      <c r="I4" s="138">
        <f>VLOOKUP('League Table'!A4,tableTmp!$A$2:$R$21,9,FALSE)</f>
        <v>43</v>
      </c>
      <c r="J4" s="461">
        <f>VLOOKUP('League Table'!A4,tableTmp!$A$2:$R$21,10,FALSE)</f>
        <v>15</v>
      </c>
      <c r="K4" s="138">
        <f>VLOOKUP('League Table'!A4,tableTmp!$A$2:$R$21,11,FALSE)</f>
        <v>75</v>
      </c>
      <c r="L4" s="154" t="str">
        <f ca="1">VLOOKUP('League Table'!A4,tableTmp!$A$2:$R$21,12,FALSE)</f>
        <v>L</v>
      </c>
      <c r="M4" s="155" t="str">
        <f ca="1">VLOOKUP('League Table'!A4,tableTmp!$A$2:$R$21,13,FALSE)</f>
        <v>W</v>
      </c>
      <c r="N4" s="155" t="str">
        <f ca="1">VLOOKUP('League Table'!A4,tableTmp!$A$2:$R$21,14,FALSE)</f>
        <v>W</v>
      </c>
      <c r="O4" s="155" t="str">
        <f ca="1">VLOOKUP('League Table'!A4,tableTmp!$A$2:$R$21,15,FALSE)</f>
        <v>W</v>
      </c>
      <c r="P4" s="134" t="str">
        <f ca="1">VLOOKUP('League Table'!A4,tableTmp!$A$2:$R$21,16,FALSE)</f>
        <v>W</v>
      </c>
      <c r="Q4" s="138"/>
      <c r="R4" s="153" t="str">
        <f ca="1">VLOOKUP('League Table'!A4,tableTmp!$A$2:$R$21,18,FALSE)</f>
        <v>H</v>
      </c>
      <c r="S4" s="406" t="str">
        <f ca="1">VLOOKUP('League Table'!A4,tableTmp!$A$2:$R$21,17,FALSE)</f>
        <v>Fulham</v>
      </c>
    </row>
    <row r="5" spans="1:19" ht="26.25" x14ac:dyDescent="0.4">
      <c r="A5" s="149">
        <v>4</v>
      </c>
      <c r="B5" s="138" t="str">
        <f>VLOOKUP('League Table'!A5,tableTmp!$A$2:$R$21,2,FALSE)</f>
        <v>Newcastle</v>
      </c>
      <c r="C5" s="138"/>
      <c r="D5" s="138">
        <f>VLOOKUP('League Table'!A5,tableTmp!$A$2:$R$21,4,FALSE)</f>
        <v>38</v>
      </c>
      <c r="E5" s="138">
        <f>VLOOKUP('League Table'!A5,tableTmp!$A$2:$R$21,5,FALSE)</f>
        <v>19</v>
      </c>
      <c r="F5" s="138">
        <f>VLOOKUP('League Table'!A5,tableTmp!$A$2:$R$21,6,FALSE)</f>
        <v>14</v>
      </c>
      <c r="G5" s="138">
        <f>VLOOKUP('League Table'!A5,tableTmp!$A$2:$R$21,7,FALSE)</f>
        <v>5</v>
      </c>
      <c r="H5" s="138">
        <f>VLOOKUP('League Table'!A5,tableTmp!$A$2:$R$21,8,FALSE)</f>
        <v>68</v>
      </c>
      <c r="I5" s="138">
        <f>VLOOKUP('League Table'!A5,tableTmp!$A$2:$R$21,9,FALSE)</f>
        <v>33</v>
      </c>
      <c r="J5" s="138">
        <f>VLOOKUP('League Table'!A5,tableTmp!$A$2:$R$21,10,FALSE)</f>
        <v>35</v>
      </c>
      <c r="K5" s="138">
        <f>VLOOKUP('League Table'!A5,tableTmp!$A$2:$R$21,11,FALSE)</f>
        <v>71</v>
      </c>
      <c r="L5" s="154" t="str">
        <f ca="1">VLOOKUP('League Table'!A5,tableTmp!$A$2:$R$21,12,FALSE)</f>
        <v>L</v>
      </c>
      <c r="M5" s="155" t="str">
        <f ca="1">VLOOKUP('League Table'!A5,tableTmp!$A$2:$R$21,13,FALSE)</f>
        <v>D</v>
      </c>
      <c r="N5" s="155" t="str">
        <f ca="1">VLOOKUP('League Table'!A5,tableTmp!$A$2:$R$21,14,FALSE)</f>
        <v>W</v>
      </c>
      <c r="O5" s="155" t="str">
        <f ca="1">VLOOKUP('League Table'!A5,tableTmp!$A$2:$R$21,15,FALSE)</f>
        <v>D</v>
      </c>
      <c r="P5" s="134" t="str">
        <f ca="1">VLOOKUP('League Table'!A5,tableTmp!$A$2:$R$21,16,FALSE)</f>
        <v>D</v>
      </c>
      <c r="Q5" s="138"/>
      <c r="R5" s="153" t="str">
        <f ca="1">VLOOKUP('League Table'!A5,tableTmp!$A$2:$R$21,18,FALSE)</f>
        <v>A</v>
      </c>
      <c r="S5" s="406" t="str">
        <f ca="1">VLOOKUP('League Table'!A5,tableTmp!$A$2:$R$21,17,FALSE)</f>
        <v>Chelsea</v>
      </c>
    </row>
    <row r="6" spans="1:19" ht="26.25" x14ac:dyDescent="0.4">
      <c r="A6" s="156">
        <v>5</v>
      </c>
      <c r="B6" s="138" t="str">
        <f>VLOOKUP('League Table'!A6,tableTmp!$A$2:$R$21,2,FALSE)</f>
        <v>Liverpool</v>
      </c>
      <c r="C6" s="138"/>
      <c r="D6" s="138">
        <f>VLOOKUP('League Table'!A6,tableTmp!$A$2:$R$21,4,FALSE)</f>
        <v>38</v>
      </c>
      <c r="E6" s="138">
        <f>VLOOKUP('League Table'!A6,tableTmp!$A$2:$R$21,5,FALSE)</f>
        <v>19</v>
      </c>
      <c r="F6" s="138">
        <f>VLOOKUP('League Table'!A6,tableTmp!$A$2:$R$21,6,FALSE)</f>
        <v>10</v>
      </c>
      <c r="G6" s="138">
        <f>VLOOKUP('League Table'!A6,tableTmp!$A$2:$R$21,7,FALSE)</f>
        <v>9</v>
      </c>
      <c r="H6" s="138">
        <f>VLOOKUP('League Table'!A6,tableTmp!$A$2:$R$21,8,FALSE)</f>
        <v>75</v>
      </c>
      <c r="I6" s="138">
        <f>VLOOKUP('League Table'!A6,tableTmp!$A$2:$R$21,9,FALSE)</f>
        <v>47</v>
      </c>
      <c r="J6" s="138">
        <f>VLOOKUP('League Table'!A6,tableTmp!$A$2:$R$21,10,FALSE)</f>
        <v>28</v>
      </c>
      <c r="K6" s="138">
        <f>VLOOKUP('League Table'!A6,tableTmp!$A$2:$R$21,11,FALSE)</f>
        <v>67</v>
      </c>
      <c r="L6" s="154" t="str">
        <f ca="1">VLOOKUP('League Table'!A6,tableTmp!$A$2:$R$21,12,FALSE)</f>
        <v>W</v>
      </c>
      <c r="M6" s="155" t="str">
        <f ca="1">VLOOKUP('League Table'!A6,tableTmp!$A$2:$R$21,13,FALSE)</f>
        <v>W</v>
      </c>
      <c r="N6" s="155" t="str">
        <f ca="1">VLOOKUP('League Table'!A6,tableTmp!$A$2:$R$21,14,FALSE)</f>
        <v>W</v>
      </c>
      <c r="O6" s="155" t="str">
        <f ca="1">VLOOKUP('League Table'!A6,tableTmp!$A$2:$R$21,15,FALSE)</f>
        <v>D</v>
      </c>
      <c r="P6" s="134" t="str">
        <f ca="1">VLOOKUP('League Table'!A6,tableTmp!$A$2:$R$21,16,FALSE)</f>
        <v>D</v>
      </c>
      <c r="Q6" s="138"/>
      <c r="R6" s="153" t="str">
        <f ca="1">VLOOKUP('League Table'!A6,tableTmp!$A$2:$R$21,18,FALSE)</f>
        <v>A</v>
      </c>
      <c r="S6" s="406" t="str">
        <f ca="1">VLOOKUP('League Table'!A6,tableTmp!$A$2:$R$21,17,FALSE)</f>
        <v>Southampton</v>
      </c>
    </row>
    <row r="7" spans="1:19" ht="26.25" x14ac:dyDescent="0.4">
      <c r="A7" s="156">
        <v>6</v>
      </c>
      <c r="B7" s="138" t="str">
        <f>VLOOKUP('League Table'!A7,tableTmp!$A$2:$R$21,2,FALSE)</f>
        <v>Brighton</v>
      </c>
      <c r="C7" s="138"/>
      <c r="D7" s="138">
        <f>VLOOKUP('League Table'!A7,tableTmp!$A$2:$R$21,4,FALSE)</f>
        <v>38</v>
      </c>
      <c r="E7" s="138">
        <f>VLOOKUP('League Table'!A7,tableTmp!$A$2:$R$21,5,FALSE)</f>
        <v>18</v>
      </c>
      <c r="F7" s="138">
        <f>VLOOKUP('League Table'!A7,tableTmp!$A$2:$R$21,6,FALSE)</f>
        <v>8</v>
      </c>
      <c r="G7" s="138">
        <f>VLOOKUP('League Table'!A7,tableTmp!$A$2:$R$21,7,FALSE)</f>
        <v>12</v>
      </c>
      <c r="H7" s="138">
        <f>VLOOKUP('League Table'!A7,tableTmp!$A$2:$R$21,8,FALSE)</f>
        <v>72</v>
      </c>
      <c r="I7" s="138">
        <f>VLOOKUP('League Table'!A7,tableTmp!$A$2:$R$21,9,FALSE)</f>
        <v>53</v>
      </c>
      <c r="J7" s="138">
        <f>VLOOKUP('League Table'!A7,tableTmp!$A$2:$R$21,10,FALSE)</f>
        <v>19</v>
      </c>
      <c r="K7" s="138">
        <f>VLOOKUP('League Table'!A7,tableTmp!$A$2:$R$21,11,FALSE)</f>
        <v>62</v>
      </c>
      <c r="L7" s="154" t="str">
        <f ca="1">VLOOKUP('League Table'!A7,tableTmp!$A$2:$R$21,12,FALSE)</f>
        <v>W</v>
      </c>
      <c r="M7" s="155" t="str">
        <f ca="1">VLOOKUP('League Table'!A7,tableTmp!$A$2:$R$21,13,FALSE)</f>
        <v>L</v>
      </c>
      <c r="N7" s="155" t="str">
        <f ca="1">VLOOKUP('League Table'!A7,tableTmp!$A$2:$R$21,14,FALSE)</f>
        <v>W</v>
      </c>
      <c r="O7" s="155" t="str">
        <f ca="1">VLOOKUP('League Table'!A7,tableTmp!$A$2:$R$21,15,FALSE)</f>
        <v>D</v>
      </c>
      <c r="P7" s="134" t="str">
        <f ca="1">VLOOKUP('League Table'!A7,tableTmp!$A$2:$R$21,16,FALSE)</f>
        <v>L</v>
      </c>
      <c r="Q7" s="138"/>
      <c r="R7" s="153" t="str">
        <f ca="1">VLOOKUP('League Table'!A7,tableTmp!$A$2:$R$21,18,FALSE)</f>
        <v>A</v>
      </c>
      <c r="S7" s="406" t="str">
        <f ca="1">VLOOKUP('League Table'!A7,tableTmp!$A$2:$R$21,17,FALSE)</f>
        <v>Aston Villa</v>
      </c>
    </row>
    <row r="8" spans="1:19" ht="26.25" x14ac:dyDescent="0.4">
      <c r="A8" s="492">
        <v>7</v>
      </c>
      <c r="B8" s="138" t="str">
        <f>VLOOKUP('League Table'!A8,tableTmp!$A$2:$R$21,2,FALSE)</f>
        <v>Aston Villa</v>
      </c>
      <c r="C8" s="138"/>
      <c r="D8" s="138">
        <f>VLOOKUP('League Table'!A8,tableTmp!$A$2:$R$21,4,FALSE)</f>
        <v>38</v>
      </c>
      <c r="E8" s="138">
        <f>VLOOKUP('League Table'!A8,tableTmp!$A$2:$R$21,5,FALSE)</f>
        <v>18</v>
      </c>
      <c r="F8" s="138">
        <f>VLOOKUP('League Table'!A8,tableTmp!$A$2:$R$21,6,FALSE)</f>
        <v>7</v>
      </c>
      <c r="G8" s="138">
        <f>VLOOKUP('League Table'!A8,tableTmp!$A$2:$R$21,7,FALSE)</f>
        <v>13</v>
      </c>
      <c r="H8" s="138">
        <f>VLOOKUP('League Table'!A8,tableTmp!$A$2:$R$21,8,FALSE)</f>
        <v>51</v>
      </c>
      <c r="I8" s="138">
        <f>VLOOKUP('League Table'!A8,tableTmp!$A$2:$R$21,9,FALSE)</f>
        <v>46</v>
      </c>
      <c r="J8" s="138">
        <f>VLOOKUP('League Table'!A8,tableTmp!$A$2:$R$21,10,FALSE)</f>
        <v>5</v>
      </c>
      <c r="K8" s="138">
        <f>VLOOKUP('League Table'!A8,tableTmp!$A$2:$R$21,11,FALSE)</f>
        <v>61</v>
      </c>
      <c r="L8" s="154" t="str">
        <f ca="1">VLOOKUP('League Table'!A8,tableTmp!$A$2:$R$21,12,FALSE)</f>
        <v>L</v>
      </c>
      <c r="M8" s="155" t="str">
        <f ca="1">VLOOKUP('League Table'!A8,tableTmp!$A$2:$R$21,13,FALSE)</f>
        <v>L</v>
      </c>
      <c r="N8" s="155" t="str">
        <f ca="1">VLOOKUP('League Table'!A8,tableTmp!$A$2:$R$21,14,FALSE)</f>
        <v>W</v>
      </c>
      <c r="O8" s="155" t="str">
        <f ca="1">VLOOKUP('League Table'!A8,tableTmp!$A$2:$R$21,15,FALSE)</f>
        <v>D</v>
      </c>
      <c r="P8" s="134" t="str">
        <f ca="1">VLOOKUP('League Table'!A8,tableTmp!$A$2:$R$21,16,FALSE)</f>
        <v>W</v>
      </c>
      <c r="Q8" s="138"/>
      <c r="R8" s="153" t="str">
        <f ca="1">VLOOKUP('League Table'!A8,tableTmp!$A$2:$R$21,18,FALSE)</f>
        <v>H</v>
      </c>
      <c r="S8" s="406" t="str">
        <f ca="1">VLOOKUP('League Table'!A8,tableTmp!$A$2:$R$21,17,FALSE)</f>
        <v>Brighton</v>
      </c>
    </row>
    <row r="9" spans="1:19" ht="26.25" x14ac:dyDescent="0.4">
      <c r="A9" s="154">
        <v>8</v>
      </c>
      <c r="B9" s="138" t="str">
        <f>VLOOKUP('League Table'!A9,tableTmp!$A$2:$R$21,2,FALSE)</f>
        <v>Spurs</v>
      </c>
      <c r="C9" s="138"/>
      <c r="D9" s="138">
        <f>VLOOKUP('League Table'!A9,tableTmp!$A$2:$R$21,4,FALSE)</f>
        <v>38</v>
      </c>
      <c r="E9" s="138">
        <f>VLOOKUP('League Table'!A9,tableTmp!$A$2:$R$21,5,FALSE)</f>
        <v>18</v>
      </c>
      <c r="F9" s="138">
        <f>VLOOKUP('League Table'!A9,tableTmp!$A$2:$R$21,6,FALSE)</f>
        <v>6</v>
      </c>
      <c r="G9" s="138">
        <f>VLOOKUP('League Table'!A9,tableTmp!$A$2:$R$21,7,FALSE)</f>
        <v>14</v>
      </c>
      <c r="H9" s="138">
        <f>VLOOKUP('League Table'!A9,tableTmp!$A$2:$R$21,8,FALSE)</f>
        <v>70</v>
      </c>
      <c r="I9" s="138">
        <f>VLOOKUP('League Table'!A9,tableTmp!$A$2:$R$21,9,FALSE)</f>
        <v>63</v>
      </c>
      <c r="J9" s="138">
        <f>VLOOKUP('League Table'!A9,tableTmp!$A$2:$R$21,10,FALSE)</f>
        <v>7</v>
      </c>
      <c r="K9" s="138">
        <f>VLOOKUP('League Table'!A9,tableTmp!$A$2:$R$21,11,FALSE)</f>
        <v>60</v>
      </c>
      <c r="L9" s="154" t="str">
        <f ca="1">VLOOKUP('League Table'!A9,tableTmp!$A$2:$R$21,12,FALSE)</f>
        <v>L</v>
      </c>
      <c r="M9" s="155" t="str">
        <f ca="1">VLOOKUP('League Table'!A9,tableTmp!$A$2:$R$21,13,FALSE)</f>
        <v>W</v>
      </c>
      <c r="N9" s="155" t="str">
        <f ca="1">VLOOKUP('League Table'!A9,tableTmp!$A$2:$R$21,14,FALSE)</f>
        <v>L</v>
      </c>
      <c r="O9" s="155" t="str">
        <f ca="1">VLOOKUP('League Table'!A9,tableTmp!$A$2:$R$21,15,FALSE)</f>
        <v>L</v>
      </c>
      <c r="P9" s="134" t="str">
        <f ca="1">VLOOKUP('League Table'!A9,tableTmp!$A$2:$R$21,16,FALSE)</f>
        <v>W</v>
      </c>
      <c r="Q9" s="138"/>
      <c r="R9" s="153" t="str">
        <f ca="1">VLOOKUP('League Table'!A9,tableTmp!$A$2:$R$21,18,FALSE)</f>
        <v>A</v>
      </c>
      <c r="S9" s="406" t="str">
        <f ca="1">VLOOKUP('League Table'!A9,tableTmp!$A$2:$R$21,17,FALSE)</f>
        <v>Leeds Utd</v>
      </c>
    </row>
    <row r="10" spans="1:19" ht="26.25" x14ac:dyDescent="0.4">
      <c r="A10" s="154">
        <v>9</v>
      </c>
      <c r="B10" s="138" t="str">
        <f>VLOOKUP('League Table'!A10,tableTmp!$A$2:$R$21,2,FALSE)</f>
        <v>Brentford</v>
      </c>
      <c r="C10" s="138"/>
      <c r="D10" s="138">
        <f>VLOOKUP('League Table'!A10,tableTmp!$A$2:$R$21,4,FALSE)</f>
        <v>38</v>
      </c>
      <c r="E10" s="138">
        <f>VLOOKUP('League Table'!A10,tableTmp!$A$2:$R$21,5,FALSE)</f>
        <v>15</v>
      </c>
      <c r="F10" s="138">
        <f>VLOOKUP('League Table'!A10,tableTmp!$A$2:$R$21,6,FALSE)</f>
        <v>14</v>
      </c>
      <c r="G10" s="138">
        <f>VLOOKUP('League Table'!A10,tableTmp!$A$2:$R$21,7,FALSE)</f>
        <v>9</v>
      </c>
      <c r="H10" s="138">
        <f>VLOOKUP('League Table'!A10,tableTmp!$A$2:$R$21,8,FALSE)</f>
        <v>58</v>
      </c>
      <c r="I10" s="138">
        <f>VLOOKUP('League Table'!A10,tableTmp!$A$2:$R$21,9,FALSE)</f>
        <v>46</v>
      </c>
      <c r="J10" s="138">
        <f>VLOOKUP('League Table'!A10,tableTmp!$A$2:$R$21,10,FALSE)</f>
        <v>12</v>
      </c>
      <c r="K10" s="138">
        <f>VLOOKUP('League Table'!A10,tableTmp!$A$2:$R$21,11,FALSE)</f>
        <v>59</v>
      </c>
      <c r="L10" s="154" t="str">
        <f ca="1">VLOOKUP('League Table'!A10,tableTmp!$A$2:$R$21,12,FALSE)</f>
        <v>W</v>
      </c>
      <c r="M10" s="155" t="str">
        <f ca="1">VLOOKUP('League Table'!A10,tableTmp!$A$2:$R$21,13,FALSE)</f>
        <v>L</v>
      </c>
      <c r="N10" s="155" t="str">
        <f ca="1">VLOOKUP('League Table'!A10,tableTmp!$A$2:$R$21,14,FALSE)</f>
        <v>W</v>
      </c>
      <c r="O10" s="155" t="str">
        <f ca="1">VLOOKUP('League Table'!A10,tableTmp!$A$2:$R$21,15,FALSE)</f>
        <v>W</v>
      </c>
      <c r="P10" s="134" t="str">
        <f ca="1">VLOOKUP('League Table'!A10,tableTmp!$A$2:$R$21,16,FALSE)</f>
        <v>W</v>
      </c>
      <c r="Q10" s="138"/>
      <c r="R10" s="153" t="str">
        <f ca="1">VLOOKUP('League Table'!A10,tableTmp!$A$2:$R$21,18,FALSE)</f>
        <v>H</v>
      </c>
      <c r="S10" s="406" t="str">
        <f ca="1">VLOOKUP('League Table'!A10,tableTmp!$A$2:$R$21,17,FALSE)</f>
        <v>Man City</v>
      </c>
    </row>
    <row r="11" spans="1:19" ht="26.25" x14ac:dyDescent="0.4">
      <c r="A11" s="154">
        <v>10</v>
      </c>
      <c r="B11" s="138" t="str">
        <f>VLOOKUP('League Table'!A11,tableTmp!$A$2:$R$21,2,FALSE)</f>
        <v>Fulham</v>
      </c>
      <c r="C11" s="138"/>
      <c r="D11" s="138">
        <f>VLOOKUP('League Table'!A11,tableTmp!$A$2:$R$21,4,FALSE)</f>
        <v>38</v>
      </c>
      <c r="E11" s="138">
        <f>VLOOKUP('League Table'!A11,tableTmp!$A$2:$R$21,5,FALSE)</f>
        <v>15</v>
      </c>
      <c r="F11" s="138">
        <f>VLOOKUP('League Table'!A11,tableTmp!$A$2:$R$21,6,FALSE)</f>
        <v>7</v>
      </c>
      <c r="G11" s="138">
        <f>VLOOKUP('League Table'!A11,tableTmp!$A$2:$R$21,7,FALSE)</f>
        <v>16</v>
      </c>
      <c r="H11" s="138">
        <f>VLOOKUP('League Table'!A11,tableTmp!$A$2:$R$21,8,FALSE)</f>
        <v>55</v>
      </c>
      <c r="I11" s="138">
        <f>VLOOKUP('League Table'!A11,tableTmp!$A$2:$R$21,9,FALSE)</f>
        <v>53</v>
      </c>
      <c r="J11" s="138">
        <f>VLOOKUP('League Table'!A11,tableTmp!$A$2:$R$21,10,FALSE)</f>
        <v>2</v>
      </c>
      <c r="K11" s="138">
        <f>VLOOKUP('League Table'!A11,tableTmp!$A$2:$R$21,11,FALSE)</f>
        <v>52</v>
      </c>
      <c r="L11" s="154" t="str">
        <f ca="1">VLOOKUP('League Table'!A11,tableTmp!$A$2:$R$21,12,FALSE)</f>
        <v>L</v>
      </c>
      <c r="M11" s="155" t="str">
        <f ca="1">VLOOKUP('League Table'!A11,tableTmp!$A$2:$R$21,13,FALSE)</f>
        <v>W</v>
      </c>
      <c r="N11" s="155" t="str">
        <f ca="1">VLOOKUP('League Table'!A11,tableTmp!$A$2:$R$21,14,FALSE)</f>
        <v>W</v>
      </c>
      <c r="O11" s="155" t="str">
        <f ca="1">VLOOKUP('League Table'!A11,tableTmp!$A$2:$R$21,15,FALSE)</f>
        <v>D</v>
      </c>
      <c r="P11" s="134" t="str">
        <f ca="1">VLOOKUP('League Table'!A11,tableTmp!$A$2:$R$21,16,FALSE)</f>
        <v>L</v>
      </c>
      <c r="Q11" s="138"/>
      <c r="R11" s="153" t="str">
        <f ca="1">VLOOKUP('League Table'!A11,tableTmp!$A$2:$R$21,18,FALSE)</f>
        <v>A</v>
      </c>
      <c r="S11" s="406" t="str">
        <f ca="1">VLOOKUP('League Table'!A11,tableTmp!$A$2:$R$21,17,FALSE)</f>
        <v>Man Utd</v>
      </c>
    </row>
    <row r="12" spans="1:19" ht="26.25" x14ac:dyDescent="0.4">
      <c r="A12" s="154">
        <v>11</v>
      </c>
      <c r="B12" s="138" t="str">
        <f>VLOOKUP('League Table'!A12,tableTmp!$A$2:$R$21,2,FALSE)</f>
        <v>Crystal Palace</v>
      </c>
      <c r="C12" s="138"/>
      <c r="D12" s="138">
        <f>VLOOKUP('League Table'!A12,tableTmp!$A$2:$R$21,4,FALSE)</f>
        <v>38</v>
      </c>
      <c r="E12" s="138">
        <f>VLOOKUP('League Table'!A12,tableTmp!$A$2:$R$21,5,FALSE)</f>
        <v>11</v>
      </c>
      <c r="F12" s="138">
        <f>VLOOKUP('League Table'!A12,tableTmp!$A$2:$R$21,6,FALSE)</f>
        <v>12</v>
      </c>
      <c r="G12" s="138">
        <f>VLOOKUP('League Table'!A12,tableTmp!$A$2:$R$21,7,FALSE)</f>
        <v>15</v>
      </c>
      <c r="H12" s="138">
        <f>VLOOKUP('League Table'!A12,tableTmp!$A$2:$R$21,8,FALSE)</f>
        <v>40</v>
      </c>
      <c r="I12" s="138">
        <f>VLOOKUP('League Table'!A12,tableTmp!$A$2:$R$21,9,FALSE)</f>
        <v>49</v>
      </c>
      <c r="J12" s="138">
        <f>VLOOKUP('League Table'!A12,tableTmp!$A$2:$R$21,10,FALSE)</f>
        <v>-9</v>
      </c>
      <c r="K12" s="138">
        <f>VLOOKUP('League Table'!A12,tableTmp!$A$2:$R$21,11,FALSE)</f>
        <v>45</v>
      </c>
      <c r="L12" s="154" t="str">
        <f ca="1">VLOOKUP('League Table'!A12,tableTmp!$A$2:$R$21,12,FALSE)</f>
        <v>W</v>
      </c>
      <c r="M12" s="155" t="str">
        <f ca="1">VLOOKUP('League Table'!A12,tableTmp!$A$2:$R$21,13,FALSE)</f>
        <v>L</v>
      </c>
      <c r="N12" s="155" t="str">
        <f ca="1">VLOOKUP('League Table'!A12,tableTmp!$A$2:$R$21,14,FALSE)</f>
        <v>W</v>
      </c>
      <c r="O12" s="155" t="str">
        <f ca="1">VLOOKUP('League Table'!A12,tableTmp!$A$2:$R$21,15,FALSE)</f>
        <v>D</v>
      </c>
      <c r="P12" s="134" t="str">
        <f ca="1">VLOOKUP('League Table'!A12,tableTmp!$A$2:$R$21,16,FALSE)</f>
        <v>D</v>
      </c>
      <c r="Q12" s="138"/>
      <c r="R12" s="153" t="str">
        <f ca="1">VLOOKUP('League Table'!A12,tableTmp!$A$2:$R$21,18,FALSE)</f>
        <v>H</v>
      </c>
      <c r="S12" s="406" t="str">
        <f ca="1">VLOOKUP('League Table'!A12,tableTmp!$A$2:$R$21,17,FALSE)</f>
        <v>Nottingham Forest</v>
      </c>
    </row>
    <row r="13" spans="1:19" ht="26.25" x14ac:dyDescent="0.4">
      <c r="A13" s="154">
        <v>12</v>
      </c>
      <c r="B13" s="138" t="str">
        <f>VLOOKUP('League Table'!A13,tableTmp!$A$2:$R$21,2,FALSE)</f>
        <v>Chelsea</v>
      </c>
      <c r="C13" s="138"/>
      <c r="D13" s="138">
        <f>VLOOKUP('League Table'!A13,tableTmp!$A$2:$R$21,4,FALSE)</f>
        <v>38</v>
      </c>
      <c r="E13" s="138">
        <f>VLOOKUP('League Table'!A13,tableTmp!$A$2:$R$21,5,FALSE)</f>
        <v>11</v>
      </c>
      <c r="F13" s="138">
        <f>VLOOKUP('League Table'!A13,tableTmp!$A$2:$R$21,6,FALSE)</f>
        <v>11</v>
      </c>
      <c r="G13" s="138">
        <f>VLOOKUP('League Table'!A13,tableTmp!$A$2:$R$21,7,FALSE)</f>
        <v>16</v>
      </c>
      <c r="H13" s="138">
        <f>VLOOKUP('League Table'!A13,tableTmp!$A$2:$R$21,8,FALSE)</f>
        <v>38</v>
      </c>
      <c r="I13" s="138">
        <f>VLOOKUP('League Table'!A13,tableTmp!$A$2:$R$21,9,FALSE)</f>
        <v>47</v>
      </c>
      <c r="J13" s="138">
        <f>VLOOKUP('League Table'!A13,tableTmp!$A$2:$R$21,10,FALSE)</f>
        <v>-9</v>
      </c>
      <c r="K13" s="138">
        <f>VLOOKUP('League Table'!A13,tableTmp!$A$2:$R$21,11,FALSE)</f>
        <v>44</v>
      </c>
      <c r="L13" s="154" t="str">
        <f ca="1">VLOOKUP('League Table'!A13,tableTmp!$A$2:$R$21,12,FALSE)</f>
        <v>W</v>
      </c>
      <c r="M13" s="155" t="str">
        <f ca="1">VLOOKUP('League Table'!A13,tableTmp!$A$2:$R$21,13,FALSE)</f>
        <v>D</v>
      </c>
      <c r="N13" s="155" t="str">
        <f ca="1">VLOOKUP('League Table'!A13,tableTmp!$A$2:$R$21,14,FALSE)</f>
        <v>L</v>
      </c>
      <c r="O13" s="155" t="str">
        <f ca="1">VLOOKUP('League Table'!A13,tableTmp!$A$2:$R$21,15,FALSE)</f>
        <v>L</v>
      </c>
      <c r="P13" s="134" t="str">
        <f ca="1">VLOOKUP('League Table'!A13,tableTmp!$A$2:$R$21,16,FALSE)</f>
        <v>D</v>
      </c>
      <c r="Q13" s="138"/>
      <c r="R13" s="153" t="str">
        <f ca="1">VLOOKUP('League Table'!A13,tableTmp!$A$2:$R$21,18,FALSE)</f>
        <v>H</v>
      </c>
      <c r="S13" s="406" t="str">
        <f ca="1">VLOOKUP('League Table'!A13,tableTmp!$A$2:$R$21,17,FALSE)</f>
        <v>Newcastle</v>
      </c>
    </row>
    <row r="14" spans="1:19" ht="26.25" x14ac:dyDescent="0.4">
      <c r="A14" s="154">
        <v>13</v>
      </c>
      <c r="B14" s="138" t="str">
        <f>VLOOKUP('League Table'!A14,tableTmp!$A$2:$R$21,2,FALSE)</f>
        <v>Wolves</v>
      </c>
      <c r="C14" s="138"/>
      <c r="D14" s="138">
        <f>VLOOKUP('League Table'!A14,tableTmp!$A$2:$R$21,4,FALSE)</f>
        <v>38</v>
      </c>
      <c r="E14" s="138">
        <f>VLOOKUP('League Table'!A14,tableTmp!$A$2:$R$21,5,FALSE)</f>
        <v>11</v>
      </c>
      <c r="F14" s="138">
        <f>VLOOKUP('League Table'!A14,tableTmp!$A$2:$R$21,6,FALSE)</f>
        <v>8</v>
      </c>
      <c r="G14" s="138">
        <f>VLOOKUP('League Table'!A14,tableTmp!$A$2:$R$21,7,FALSE)</f>
        <v>19</v>
      </c>
      <c r="H14" s="138">
        <f>VLOOKUP('League Table'!A14,tableTmp!$A$2:$R$21,8,FALSE)</f>
        <v>31</v>
      </c>
      <c r="I14" s="138">
        <f>VLOOKUP('League Table'!A14,tableTmp!$A$2:$R$21,9,FALSE)</f>
        <v>58</v>
      </c>
      <c r="J14" s="138">
        <f>VLOOKUP('League Table'!A14,tableTmp!$A$2:$R$21,10,FALSE)</f>
        <v>-27</v>
      </c>
      <c r="K14" s="138">
        <f>VLOOKUP('League Table'!A14,tableTmp!$A$2:$R$21,11,FALSE)</f>
        <v>41</v>
      </c>
      <c r="L14" s="154" t="str">
        <f ca="1">VLOOKUP('League Table'!A14,tableTmp!$A$2:$R$21,12,FALSE)</f>
        <v>L</v>
      </c>
      <c r="M14" s="155" t="str">
        <f ca="1">VLOOKUP('League Table'!A14,tableTmp!$A$2:$R$21,13,FALSE)</f>
        <v>W</v>
      </c>
      <c r="N14" s="155" t="str">
        <f ca="1">VLOOKUP('League Table'!A14,tableTmp!$A$2:$R$21,14,FALSE)</f>
        <v>L</v>
      </c>
      <c r="O14" s="155" t="str">
        <f ca="1">VLOOKUP('League Table'!A14,tableTmp!$A$2:$R$21,15,FALSE)</f>
        <v>D</v>
      </c>
      <c r="P14" s="134" t="str">
        <f ca="1">VLOOKUP('League Table'!A14,tableTmp!$A$2:$R$21,16,FALSE)</f>
        <v>L</v>
      </c>
      <c r="Q14" s="138"/>
      <c r="R14" s="153" t="str">
        <f ca="1">VLOOKUP('League Table'!A14,tableTmp!$A$2:$R$21,18,FALSE)</f>
        <v>A</v>
      </c>
      <c r="S14" s="406" t="str">
        <f ca="1">VLOOKUP('League Table'!A14,tableTmp!$A$2:$R$21,17,FALSE)</f>
        <v>Arsenal</v>
      </c>
    </row>
    <row r="15" spans="1:19" ht="26.25" x14ac:dyDescent="0.4">
      <c r="A15" s="154">
        <v>14</v>
      </c>
      <c r="B15" s="138" t="str">
        <f>VLOOKUP('League Table'!A15,tableTmp!$A$2:$R$21,2,FALSE)</f>
        <v>West Ham</v>
      </c>
      <c r="C15" s="138"/>
      <c r="D15" s="138">
        <f>VLOOKUP('League Table'!A15,tableTmp!$A$2:$R$21,4,FALSE)</f>
        <v>38</v>
      </c>
      <c r="E15" s="138">
        <f>VLOOKUP('League Table'!A15,tableTmp!$A$2:$R$21,5,FALSE)</f>
        <v>11</v>
      </c>
      <c r="F15" s="138">
        <f>VLOOKUP('League Table'!A15,tableTmp!$A$2:$R$21,6,FALSE)</f>
        <v>7</v>
      </c>
      <c r="G15" s="138">
        <f>VLOOKUP('League Table'!A15,tableTmp!$A$2:$R$21,7,FALSE)</f>
        <v>20</v>
      </c>
      <c r="H15" s="138">
        <f>VLOOKUP('League Table'!A15,tableTmp!$A$2:$R$21,8,FALSE)</f>
        <v>42</v>
      </c>
      <c r="I15" s="138">
        <f>VLOOKUP('League Table'!A15,tableTmp!$A$2:$R$21,9,FALSE)</f>
        <v>55</v>
      </c>
      <c r="J15" s="138">
        <f>VLOOKUP('League Table'!A15,tableTmp!$A$2:$R$21,10,FALSE)</f>
        <v>-13</v>
      </c>
      <c r="K15" s="138">
        <f>VLOOKUP('League Table'!A15,tableTmp!$A$2:$R$21,11,FALSE)</f>
        <v>40</v>
      </c>
      <c r="L15" s="154" t="str">
        <f ca="1">VLOOKUP('League Table'!A15,tableTmp!$A$2:$R$21,12,FALSE)</f>
        <v>L</v>
      </c>
      <c r="M15" s="155" t="str">
        <f ca="1">VLOOKUP('League Table'!A15,tableTmp!$A$2:$R$21,13,FALSE)</f>
        <v>W</v>
      </c>
      <c r="N15" s="155" t="str">
        <f ca="1">VLOOKUP('League Table'!A15,tableTmp!$A$2:$R$21,14,FALSE)</f>
        <v>L</v>
      </c>
      <c r="O15" s="155" t="str">
        <f ca="1">VLOOKUP('League Table'!A15,tableTmp!$A$2:$R$21,15,FALSE)</f>
        <v>W</v>
      </c>
      <c r="P15" s="134" t="str">
        <f ca="1">VLOOKUP('League Table'!A15,tableTmp!$A$2:$R$21,16,FALSE)</f>
        <v>L</v>
      </c>
      <c r="Q15" s="138"/>
      <c r="R15" s="153" t="str">
        <f ca="1">VLOOKUP('League Table'!A15,tableTmp!$A$2:$R$21,18,FALSE)</f>
        <v>A</v>
      </c>
      <c r="S15" s="406" t="str">
        <f ca="1">VLOOKUP('League Table'!A15,tableTmp!$A$2:$R$21,17,FALSE)</f>
        <v>Leicester</v>
      </c>
    </row>
    <row r="16" spans="1:19" ht="26.25" x14ac:dyDescent="0.4">
      <c r="A16" s="154">
        <v>15</v>
      </c>
      <c r="B16" s="138" t="str">
        <f>VLOOKUP('League Table'!A16,tableTmp!$A$2:$R$21,2,FALSE)</f>
        <v>Bournemouth</v>
      </c>
      <c r="C16" s="138"/>
      <c r="D16" s="138">
        <f>VLOOKUP('League Table'!A16,tableTmp!$A$2:$R$21,4,FALSE)</f>
        <v>38</v>
      </c>
      <c r="E16" s="138">
        <f>VLOOKUP('League Table'!A16,tableTmp!$A$2:$R$21,5,FALSE)</f>
        <v>11</v>
      </c>
      <c r="F16" s="138">
        <f>VLOOKUP('League Table'!A16,tableTmp!$A$2:$R$21,6,FALSE)</f>
        <v>6</v>
      </c>
      <c r="G16" s="138">
        <f>VLOOKUP('League Table'!A16,tableTmp!$A$2:$R$21,7,FALSE)</f>
        <v>21</v>
      </c>
      <c r="H16" s="138">
        <f>VLOOKUP('League Table'!A16,tableTmp!$A$2:$R$21,8,FALSE)</f>
        <v>37</v>
      </c>
      <c r="I16" s="138">
        <f>VLOOKUP('League Table'!A16,tableTmp!$A$2:$R$21,9,FALSE)</f>
        <v>71</v>
      </c>
      <c r="J16" s="138">
        <f>VLOOKUP('League Table'!A16,tableTmp!$A$2:$R$21,10,FALSE)</f>
        <v>-34</v>
      </c>
      <c r="K16" s="138">
        <f>VLOOKUP('League Table'!A16,tableTmp!$A$2:$R$21,11,FALSE)</f>
        <v>39</v>
      </c>
      <c r="L16" s="154" t="str">
        <f ca="1">VLOOKUP('League Table'!A16,tableTmp!$A$2:$R$21,12,FALSE)</f>
        <v>W</v>
      </c>
      <c r="M16" s="155" t="str">
        <f ca="1">VLOOKUP('League Table'!A16,tableTmp!$A$2:$R$21,13,FALSE)</f>
        <v>L</v>
      </c>
      <c r="N16" s="155" t="str">
        <f ca="1">VLOOKUP('League Table'!A16,tableTmp!$A$2:$R$21,14,FALSE)</f>
        <v>L</v>
      </c>
      <c r="O16" s="155" t="str">
        <f ca="1">VLOOKUP('League Table'!A16,tableTmp!$A$2:$R$21,15,FALSE)</f>
        <v>L</v>
      </c>
      <c r="P16" s="134" t="str">
        <f ca="1">VLOOKUP('League Table'!A16,tableTmp!$A$2:$R$21,16,FALSE)</f>
        <v>L</v>
      </c>
      <c r="Q16" s="138"/>
      <c r="R16" s="153" t="str">
        <f ca="1">VLOOKUP('League Table'!A16,tableTmp!$A$2:$R$21,18,FALSE)</f>
        <v>A</v>
      </c>
      <c r="S16" s="406" t="str">
        <f ca="1">VLOOKUP('League Table'!A16,tableTmp!$A$2:$R$21,17,FALSE)</f>
        <v>Everton</v>
      </c>
    </row>
    <row r="17" spans="1:22" ht="26.25" x14ac:dyDescent="0.4">
      <c r="A17" s="154">
        <v>16</v>
      </c>
      <c r="B17" s="138" t="str">
        <f>VLOOKUP('League Table'!A17,tableTmp!$A$2:$R$21,2,FALSE)</f>
        <v>Nottingham Forest</v>
      </c>
      <c r="C17" s="138"/>
      <c r="D17" s="138">
        <f>VLOOKUP('League Table'!A17,tableTmp!$A$2:$R$21,4,FALSE)</f>
        <v>38</v>
      </c>
      <c r="E17" s="138">
        <f>VLOOKUP('League Table'!A17,tableTmp!$A$2:$R$21,5,FALSE)</f>
        <v>9</v>
      </c>
      <c r="F17" s="138">
        <f>VLOOKUP('League Table'!A17,tableTmp!$A$2:$R$21,6,FALSE)</f>
        <v>11</v>
      </c>
      <c r="G17" s="138">
        <f>VLOOKUP('League Table'!A17,tableTmp!$A$2:$R$21,7,FALSE)</f>
        <v>18</v>
      </c>
      <c r="H17" s="138">
        <f>VLOOKUP('League Table'!A17,tableTmp!$A$2:$R$21,8,FALSE)</f>
        <v>38</v>
      </c>
      <c r="I17" s="138">
        <f>VLOOKUP('League Table'!A17,tableTmp!$A$2:$R$21,9,FALSE)</f>
        <v>68</v>
      </c>
      <c r="J17" s="138">
        <f>VLOOKUP('League Table'!A17,tableTmp!$A$2:$R$21,10,FALSE)</f>
        <v>-30</v>
      </c>
      <c r="K17" s="138">
        <f>VLOOKUP('League Table'!A17,tableTmp!$A$2:$R$21,11,FALSE)</f>
        <v>38</v>
      </c>
      <c r="L17" s="154" t="str">
        <f ca="1">VLOOKUP('League Table'!A17,tableTmp!$A$2:$R$21,12,FALSE)</f>
        <v>L</v>
      </c>
      <c r="M17" s="155" t="str">
        <f ca="1">VLOOKUP('League Table'!A17,tableTmp!$A$2:$R$21,13,FALSE)</f>
        <v>W</v>
      </c>
      <c r="N17" s="155" t="str">
        <f ca="1">VLOOKUP('League Table'!A17,tableTmp!$A$2:$R$21,14,FALSE)</f>
        <v>D</v>
      </c>
      <c r="O17" s="155" t="str">
        <f ca="1">VLOOKUP('League Table'!A17,tableTmp!$A$2:$R$21,15,FALSE)</f>
        <v>W</v>
      </c>
      <c r="P17" s="134" t="str">
        <f ca="1">VLOOKUP('League Table'!A17,tableTmp!$A$2:$R$21,16,FALSE)</f>
        <v>D</v>
      </c>
      <c r="Q17" s="138"/>
      <c r="R17" s="153" t="str">
        <f ca="1">VLOOKUP('League Table'!A17,tableTmp!$A$2:$R$21,18,FALSE)</f>
        <v>A</v>
      </c>
      <c r="S17" s="406" t="str">
        <f ca="1">VLOOKUP('League Table'!A17,tableTmp!$A$2:$R$21,17,FALSE)</f>
        <v>Crystal Palace</v>
      </c>
    </row>
    <row r="18" spans="1:22" ht="26.25" x14ac:dyDescent="0.4">
      <c r="A18" s="154">
        <v>17</v>
      </c>
      <c r="B18" s="138" t="str">
        <f>VLOOKUP('League Table'!A18,tableTmp!$A$2:$R$21,2,FALSE)</f>
        <v>Everton</v>
      </c>
      <c r="C18" s="138"/>
      <c r="D18" s="138">
        <f>VLOOKUP('League Table'!A18,tableTmp!$A$2:$R$21,4,FALSE)</f>
        <v>38</v>
      </c>
      <c r="E18" s="138">
        <f>VLOOKUP('League Table'!A18,tableTmp!$A$2:$R$21,5,FALSE)</f>
        <v>8</v>
      </c>
      <c r="F18" s="138">
        <f>VLOOKUP('League Table'!A18,tableTmp!$A$2:$R$21,6,FALSE)</f>
        <v>12</v>
      </c>
      <c r="G18" s="138">
        <f>VLOOKUP('League Table'!A18,tableTmp!$A$2:$R$21,7,FALSE)</f>
        <v>18</v>
      </c>
      <c r="H18" s="138">
        <f>VLOOKUP('League Table'!A18,tableTmp!$A$2:$R$21,8,FALSE)</f>
        <v>34</v>
      </c>
      <c r="I18" s="138">
        <f>VLOOKUP('League Table'!A18,tableTmp!$A$2:$R$21,9,FALSE)</f>
        <v>57</v>
      </c>
      <c r="J18" s="138">
        <f>VLOOKUP('League Table'!A18,tableTmp!$A$2:$R$21,10,FALSE)</f>
        <v>-23</v>
      </c>
      <c r="K18" s="138">
        <f>VLOOKUP('League Table'!A18,tableTmp!$A$2:$R$21,11,FALSE)</f>
        <v>36</v>
      </c>
      <c r="L18" s="154" t="str">
        <f ca="1">VLOOKUP('League Table'!A18,tableTmp!$A$2:$R$21,12,FALSE)</f>
        <v>D</v>
      </c>
      <c r="M18" s="155" t="str">
        <f ca="1">VLOOKUP('League Table'!A18,tableTmp!$A$2:$R$21,13,FALSE)</f>
        <v>W</v>
      </c>
      <c r="N18" s="155" t="str">
        <f ca="1">VLOOKUP('League Table'!A18,tableTmp!$A$2:$R$21,14,FALSE)</f>
        <v>L</v>
      </c>
      <c r="O18" s="155" t="str">
        <f ca="1">VLOOKUP('League Table'!A18,tableTmp!$A$2:$R$21,15,FALSE)</f>
        <v>D</v>
      </c>
      <c r="P18" s="134" t="str">
        <f ca="1">VLOOKUP('League Table'!A18,tableTmp!$A$2:$R$21,16,FALSE)</f>
        <v>W</v>
      </c>
      <c r="Q18" s="138"/>
      <c r="R18" s="153" t="str">
        <f ca="1">VLOOKUP('League Table'!A18,tableTmp!$A$2:$R$21,18,FALSE)</f>
        <v>H</v>
      </c>
      <c r="S18" s="406" t="str">
        <f ca="1">VLOOKUP('League Table'!A18,tableTmp!$A$2:$R$21,17,FALSE)</f>
        <v>Bournemouth</v>
      </c>
      <c r="U18" s="2"/>
      <c r="V18" s="2"/>
    </row>
    <row r="19" spans="1:22" ht="26.25" x14ac:dyDescent="0.4">
      <c r="A19" s="157">
        <v>18</v>
      </c>
      <c r="B19" s="138" t="str">
        <f>VLOOKUP('League Table'!A19,tableTmp!$A$2:$R$21,2,FALSE)</f>
        <v>Leicester</v>
      </c>
      <c r="C19" s="138"/>
      <c r="D19" s="138">
        <f>VLOOKUP('League Table'!A19,tableTmp!$A$2:$R$21,4,FALSE)</f>
        <v>38</v>
      </c>
      <c r="E19" s="138">
        <f>VLOOKUP('League Table'!A19,tableTmp!$A$2:$R$21,5,FALSE)</f>
        <v>9</v>
      </c>
      <c r="F19" s="138">
        <f>VLOOKUP('League Table'!A19,tableTmp!$A$2:$R$21,6,FALSE)</f>
        <v>7</v>
      </c>
      <c r="G19" s="138">
        <f>VLOOKUP('League Table'!A19,tableTmp!$A$2:$R$21,7,FALSE)</f>
        <v>22</v>
      </c>
      <c r="H19" s="138">
        <f>VLOOKUP('League Table'!A19,tableTmp!$A$2:$R$21,8,FALSE)</f>
        <v>51</v>
      </c>
      <c r="I19" s="138">
        <f>VLOOKUP('League Table'!A19,tableTmp!$A$2:$R$21,9,FALSE)</f>
        <v>68</v>
      </c>
      <c r="J19" s="138">
        <f>VLOOKUP('League Table'!A19,tableTmp!$A$2:$R$21,10,FALSE)</f>
        <v>-17</v>
      </c>
      <c r="K19" s="138">
        <f>VLOOKUP('League Table'!A19,tableTmp!$A$2:$R$21,11,FALSE)</f>
        <v>34</v>
      </c>
      <c r="L19" s="154" t="str">
        <f ca="1">VLOOKUP('League Table'!A19,tableTmp!$A$2:$R$21,12,FALSE)</f>
        <v>D</v>
      </c>
      <c r="M19" s="155" t="str">
        <f ca="1">VLOOKUP('League Table'!A19,tableTmp!$A$2:$R$21,13,FALSE)</f>
        <v>L</v>
      </c>
      <c r="N19" s="155" t="str">
        <f ca="1">VLOOKUP('League Table'!A19,tableTmp!$A$2:$R$21,14,FALSE)</f>
        <v>L</v>
      </c>
      <c r="O19" s="155" t="str">
        <f ca="1">VLOOKUP('League Table'!A19,tableTmp!$A$2:$R$21,15,FALSE)</f>
        <v>D</v>
      </c>
      <c r="P19" s="134" t="str">
        <f ca="1">VLOOKUP('League Table'!A19,tableTmp!$A$2:$R$21,16,FALSE)</f>
        <v>W</v>
      </c>
      <c r="Q19" s="138"/>
      <c r="R19" s="153" t="str">
        <f ca="1">VLOOKUP('League Table'!A19,tableTmp!$A$2:$R$21,18,FALSE)</f>
        <v>H</v>
      </c>
      <c r="S19" s="406" t="str">
        <f ca="1">VLOOKUP('League Table'!A19,tableTmp!$A$2:$R$21,17,FALSE)</f>
        <v>West Ham</v>
      </c>
      <c r="U19" s="2"/>
      <c r="V19" s="158"/>
    </row>
    <row r="20" spans="1:22" ht="26.25" x14ac:dyDescent="0.4">
      <c r="A20" s="157">
        <v>19</v>
      </c>
      <c r="B20" s="138" t="str">
        <f>VLOOKUP('League Table'!A20,tableTmp!$A$2:$R$21,2,FALSE)</f>
        <v>Leeds Utd</v>
      </c>
      <c r="C20" s="138"/>
      <c r="D20" s="138">
        <f>VLOOKUP('League Table'!A20,tableTmp!$A$2:$R$21,4,FALSE)</f>
        <v>38</v>
      </c>
      <c r="E20" s="138">
        <f>VLOOKUP('League Table'!A20,tableTmp!$A$2:$R$21,5,FALSE)</f>
        <v>7</v>
      </c>
      <c r="F20" s="138">
        <f>VLOOKUP('League Table'!A20,tableTmp!$A$2:$R$21,6,FALSE)</f>
        <v>10</v>
      </c>
      <c r="G20" s="138">
        <f>VLOOKUP('League Table'!A20,tableTmp!$A$2:$R$21,7,FALSE)</f>
        <v>21</v>
      </c>
      <c r="H20" s="138">
        <f>VLOOKUP('League Table'!A20,tableTmp!$A$2:$R$21,8,FALSE)</f>
        <v>48</v>
      </c>
      <c r="I20" s="138">
        <f>VLOOKUP('League Table'!A20,tableTmp!$A$2:$R$21,9,FALSE)</f>
        <v>78</v>
      </c>
      <c r="J20" s="138">
        <f>VLOOKUP('League Table'!A20,tableTmp!$A$2:$R$21,10,FALSE)</f>
        <v>-30</v>
      </c>
      <c r="K20" s="138">
        <f>VLOOKUP('League Table'!A20,tableTmp!$A$2:$R$21,11,FALSE)</f>
        <v>31</v>
      </c>
      <c r="L20" s="154" t="str">
        <f ca="1">VLOOKUP('League Table'!A20,tableTmp!$A$2:$R$21,12,FALSE)</f>
        <v>L</v>
      </c>
      <c r="M20" s="155" t="str">
        <f ca="1">VLOOKUP('League Table'!A20,tableTmp!$A$2:$R$21,13,FALSE)</f>
        <v>L</v>
      </c>
      <c r="N20" s="155" t="str">
        <f ca="1">VLOOKUP('League Table'!A20,tableTmp!$A$2:$R$21,14,FALSE)</f>
        <v>D</v>
      </c>
      <c r="O20" s="155" t="str">
        <f ca="1">VLOOKUP('League Table'!A20,tableTmp!$A$2:$R$21,15,FALSE)</f>
        <v>L</v>
      </c>
      <c r="P20" s="134" t="str">
        <f ca="1">VLOOKUP('League Table'!A20,tableTmp!$A$2:$R$21,16,FALSE)</f>
        <v>L</v>
      </c>
      <c r="Q20" s="138"/>
      <c r="R20" s="153" t="str">
        <f ca="1">VLOOKUP('League Table'!A20,tableTmp!$A$2:$R$21,18,FALSE)</f>
        <v>H</v>
      </c>
      <c r="S20" s="406" t="str">
        <f ca="1">VLOOKUP('League Table'!A20,tableTmp!$A$2:$R$21,17,FALSE)</f>
        <v>Spurs</v>
      </c>
      <c r="U20" s="2"/>
      <c r="V20" s="158"/>
    </row>
    <row r="21" spans="1:22" ht="27" thickBot="1" x14ac:dyDescent="0.45">
      <c r="A21" s="157">
        <v>20</v>
      </c>
      <c r="B21" s="138" t="str">
        <f>VLOOKUP('League Table'!A21,tableTmp!$A$2:$R$21,2,FALSE)</f>
        <v>Southampton</v>
      </c>
      <c r="C21" s="138"/>
      <c r="D21" s="138">
        <f>VLOOKUP('League Table'!A21,tableTmp!$A$2:$R$21,4,FALSE)</f>
        <v>38</v>
      </c>
      <c r="E21" s="138">
        <f>VLOOKUP('League Table'!A21,tableTmp!$A$2:$R$21,5,FALSE)</f>
        <v>6</v>
      </c>
      <c r="F21" s="138">
        <f>VLOOKUP('League Table'!A21,tableTmp!$A$2:$R$21,6,FALSE)</f>
        <v>7</v>
      </c>
      <c r="G21" s="138">
        <f>VLOOKUP('League Table'!A21,tableTmp!$A$2:$R$21,7,FALSE)</f>
        <v>25</v>
      </c>
      <c r="H21" s="138">
        <f>VLOOKUP('League Table'!A21,tableTmp!$A$2:$R$21,8,FALSE)</f>
        <v>36</v>
      </c>
      <c r="I21" s="138">
        <f>VLOOKUP('League Table'!A21,tableTmp!$A$2:$R$21,9,FALSE)</f>
        <v>73</v>
      </c>
      <c r="J21" s="138">
        <f>VLOOKUP('League Table'!A21,tableTmp!$A$2:$R$21,10,FALSE)</f>
        <v>-37</v>
      </c>
      <c r="K21" s="138">
        <f>VLOOKUP('League Table'!A21,tableTmp!$A$2:$R$21,11,FALSE)</f>
        <v>25</v>
      </c>
      <c r="L21" s="159" t="str">
        <f ca="1">VLOOKUP('League Table'!A21,tableTmp!$A$2:$R$21,12,FALSE)</f>
        <v>L</v>
      </c>
      <c r="M21" s="160" t="str">
        <f ca="1">VLOOKUP('League Table'!A21,tableTmp!$A$2:$R$21,13,FALSE)</f>
        <v>L</v>
      </c>
      <c r="N21" s="160" t="str">
        <f ca="1">VLOOKUP('League Table'!A21,tableTmp!$A$2:$R$21,14,FALSE)</f>
        <v>L</v>
      </c>
      <c r="O21" s="160" t="str">
        <f ca="1">VLOOKUP('League Table'!A21,tableTmp!$A$2:$R$21,15,FALSE)</f>
        <v>L</v>
      </c>
      <c r="P21" s="139" t="str">
        <f ca="1">VLOOKUP('League Table'!A21,tableTmp!$A$2:$R$21,16,FALSE)</f>
        <v>D</v>
      </c>
      <c r="Q21" s="138"/>
      <c r="R21" s="153" t="str">
        <f ca="1">VLOOKUP('League Table'!A21,tableTmp!$A$2:$R$21,18,FALSE)</f>
        <v>H</v>
      </c>
      <c r="S21" s="406" t="str">
        <f ca="1">VLOOKUP('League Table'!A21,tableTmp!$A$2:$R$21,17,FALSE)</f>
        <v>Liverpool</v>
      </c>
      <c r="U21" s="2"/>
      <c r="V21" s="158"/>
    </row>
    <row r="22" spans="1:22" x14ac:dyDescent="0.25">
      <c r="A22" s="161"/>
      <c r="B22" s="499" t="s">
        <v>627</v>
      </c>
      <c r="C22" s="161"/>
      <c r="D22" s="161"/>
      <c r="E22" s="161"/>
      <c r="F22" s="161"/>
      <c r="G22" s="161"/>
      <c r="H22" s="161"/>
      <c r="I22" s="161"/>
      <c r="J22" s="161"/>
      <c r="K22" s="161"/>
      <c r="Q22" s="162"/>
      <c r="R22" s="161"/>
    </row>
    <row r="28" spans="1:22" x14ac:dyDescent="0.25">
      <c r="A28" s="88" t="s">
        <v>592</v>
      </c>
    </row>
    <row r="30" spans="1:22" ht="15.75" x14ac:dyDescent="0.25">
      <c r="B30" s="146"/>
      <c r="C30" s="163"/>
      <c r="E30" s="163"/>
    </row>
    <row r="31" spans="1:22" x14ac:dyDescent="0.25">
      <c r="R31" t="s">
        <v>124</v>
      </c>
    </row>
  </sheetData>
  <sheetProtection algorithmName="SHA-512" hashValue="2V/2O9t9oAbfImPBEa/zDvfqia6qR3mkVmKqbeMSh+Ed4/C6gU+AAbiZujJCU+LJQUnibFTPhftrO/1ju8JypA==" saltValue="nzdvjHKTBSr08hZHmeCaAg==" spinCount="100000" sheet="1" objects="1" scenarios="1"/>
  <mergeCells count="3">
    <mergeCell ref="B1:C1"/>
    <mergeCell ref="L1:P1"/>
    <mergeCell ref="Q1:R1"/>
  </mergeCells>
  <conditionalFormatting sqref="L2:P21">
    <cfRule type="expression" dxfId="5" priority="1">
      <formula>L2="L"</formula>
    </cfRule>
    <cfRule type="expression" dxfId="4" priority="2">
      <formula>L2="W"</formula>
    </cfRule>
    <cfRule type="expression" dxfId="3" priority="3">
      <formula>L2="D"</formula>
    </cfRule>
  </conditionalFormatting>
  <dataValidations count="1">
    <dataValidation type="list" showInputMessage="1" showErrorMessage="1" error="Please select a team" prompt="Select a Club" sqref="V19:V21" xr:uid="{00000000-0002-0000-0100-000000000000}">
      <formula1>$B$2:$B$21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/>
  <dimension ref="A1:V31"/>
  <sheetViews>
    <sheetView showGridLines="0" workbookViewId="0">
      <selection activeCell="C2" sqref="C2"/>
    </sheetView>
  </sheetViews>
  <sheetFormatPr defaultRowHeight="15" x14ac:dyDescent="0.25"/>
  <cols>
    <col min="1" max="1" width="6.85546875" bestFit="1" customWidth="1"/>
    <col min="2" max="2" width="31.5703125" bestFit="1" customWidth="1"/>
    <col min="3" max="3" width="6.5703125" customWidth="1"/>
    <col min="4" max="4" width="5.5703125" bestFit="1" customWidth="1"/>
    <col min="5" max="5" width="6.5703125" bestFit="1" customWidth="1"/>
    <col min="6" max="6" width="8.7109375" bestFit="1" customWidth="1"/>
    <col min="7" max="7" width="6" bestFit="1" customWidth="1"/>
    <col min="8" max="8" width="7.5703125" bestFit="1" customWidth="1"/>
    <col min="9" max="9" width="5.5703125" bestFit="1" customWidth="1"/>
    <col min="10" max="10" width="6.7109375" bestFit="1" customWidth="1"/>
    <col min="11" max="11" width="8.42578125" bestFit="1" customWidth="1"/>
    <col min="12" max="16" width="5" bestFit="1" customWidth="1"/>
    <col min="17" max="17" width="31.5703125" style="37" bestFit="1" customWidth="1"/>
    <col min="18" max="18" width="4" bestFit="1" customWidth="1"/>
    <col min="19" max="19" width="23.5703125" customWidth="1"/>
    <col min="22" max="22" width="25.28515625" customWidth="1"/>
  </cols>
  <sheetData>
    <row r="1" spans="1:20" s="37" customFormat="1" ht="18.75" x14ac:dyDescent="0.3">
      <c r="A1" s="485" t="s">
        <v>112</v>
      </c>
      <c r="B1" s="514" t="s">
        <v>113</v>
      </c>
      <c r="C1" s="514"/>
      <c r="D1" s="485" t="s">
        <v>114</v>
      </c>
      <c r="E1" s="485" t="s">
        <v>115</v>
      </c>
      <c r="F1" s="485" t="s">
        <v>116</v>
      </c>
      <c r="G1" s="485" t="s">
        <v>117</v>
      </c>
      <c r="H1" s="485" t="s">
        <v>118</v>
      </c>
      <c r="I1" s="485" t="s">
        <v>119</v>
      </c>
      <c r="J1" s="485" t="s">
        <v>120</v>
      </c>
      <c r="K1" s="485" t="s">
        <v>121</v>
      </c>
      <c r="L1" s="515" t="s">
        <v>122</v>
      </c>
      <c r="M1" s="515"/>
      <c r="N1" s="515"/>
      <c r="O1" s="515"/>
      <c r="P1" s="515"/>
      <c r="Q1" s="515" t="s">
        <v>123</v>
      </c>
      <c r="R1" s="515"/>
      <c r="S1" s="485" t="s">
        <v>613</v>
      </c>
      <c r="T1" s="485" t="s">
        <v>622</v>
      </c>
    </row>
    <row r="2" spans="1:20" ht="26.25" x14ac:dyDescent="0.4">
      <c r="A2" s="2">
        <f t="shared" ref="A2:A21" si="0">RANK(S2,S$2:S$21)</f>
        <v>2</v>
      </c>
      <c r="B2" s="4" t="s">
        <v>1</v>
      </c>
      <c r="C2" s="4"/>
      <c r="D2" s="4">
        <f>Fixtures_by_Clubs!B55</f>
        <v>38</v>
      </c>
      <c r="E2" s="4">
        <f>Fixtures_by_Clubs!B56</f>
        <v>26</v>
      </c>
      <c r="F2" s="4">
        <f>Fixtures_by_Clubs!B57</f>
        <v>6</v>
      </c>
      <c r="G2" s="4">
        <f>Fixtures_by_Clubs!B58</f>
        <v>6</v>
      </c>
      <c r="H2" s="4">
        <f>Fixtures_by_Clubs!E54</f>
        <v>88</v>
      </c>
      <c r="I2" s="4">
        <f>Fixtures_by_Clubs!E55</f>
        <v>43</v>
      </c>
      <c r="J2" s="164">
        <f>Fixtures_by_Clubs!E56</f>
        <v>45</v>
      </c>
      <c r="K2" s="4">
        <f>Fixtures_by_Clubs!B54-Deduction!$C$2</f>
        <v>84</v>
      </c>
      <c r="L2" s="2" t="str">
        <f ca="1">IFERROR(Fixtures_by_Clubs!G58,"")</f>
        <v>W</v>
      </c>
      <c r="M2" s="2" t="str">
        <f ca="1">IFERROR(Fixtures_by_Clubs!G57,"")</f>
        <v>W</v>
      </c>
      <c r="N2" s="2" t="str">
        <f ca="1">IFERROR(Fixtures_by_Clubs!G56,"")</f>
        <v>L</v>
      </c>
      <c r="O2" s="2" t="str">
        <f ca="1">IFERROR(Fixtures_by_Clubs!G55,"")</f>
        <v>L</v>
      </c>
      <c r="P2" s="2" t="str">
        <f ca="1">IFERROR(Fixtures_by_Clubs!G54,"")</f>
        <v>W</v>
      </c>
      <c r="Q2" s="4" t="str">
        <f ca="1">IFERROR(Fixtures_by_Clubs!E58,"BLK")</f>
        <v>Wolves</v>
      </c>
      <c r="R2" s="4" t="str">
        <f ca="1">IFERROR(Fixtures_by_Clubs!E59,"")</f>
        <v>H</v>
      </c>
      <c r="S2" s="3">
        <f>K2*100+J2+I2/100-D2/10000-T2/1000000</f>
        <v>8445.4261989999995</v>
      </c>
      <c r="T2" s="4">
        <v>1</v>
      </c>
    </row>
    <row r="3" spans="1:20" ht="26.25" x14ac:dyDescent="0.4">
      <c r="A3" s="2">
        <f t="shared" si="0"/>
        <v>7</v>
      </c>
      <c r="B3" s="4" t="s">
        <v>2</v>
      </c>
      <c r="C3" s="4"/>
      <c r="D3" s="4">
        <f>Fixtures_by_Clubs!N55</f>
        <v>38</v>
      </c>
      <c r="E3" s="4">
        <f>Fixtures_by_Clubs!N56</f>
        <v>18</v>
      </c>
      <c r="F3" s="4">
        <f>Fixtures_by_Clubs!N57</f>
        <v>7</v>
      </c>
      <c r="G3" s="4">
        <f>Fixtures_by_Clubs!N58</f>
        <v>13</v>
      </c>
      <c r="H3" s="4">
        <f>Fixtures_by_Clubs!Q54</f>
        <v>51</v>
      </c>
      <c r="I3" s="4">
        <f>Fixtures_by_Clubs!Q55</f>
        <v>46</v>
      </c>
      <c r="J3" s="4">
        <f>Fixtures_by_Clubs!Q56</f>
        <v>5</v>
      </c>
      <c r="K3" s="4">
        <f>Fixtures_by_Clubs!N54-Deduction!$C$3</f>
        <v>61</v>
      </c>
      <c r="L3" s="2" t="str">
        <f ca="1">IFERROR(Fixtures_by_Clubs!S58,"")</f>
        <v>L</v>
      </c>
      <c r="M3" s="2" t="str">
        <f ca="1">IFERROR(Fixtures_by_Clubs!S57,"")</f>
        <v>L</v>
      </c>
      <c r="N3" s="2" t="str">
        <f ca="1">IFERROR(Fixtures_by_Clubs!S56,"")</f>
        <v>W</v>
      </c>
      <c r="O3" s="2" t="str">
        <f ca="1">IFERROR(Fixtures_by_Clubs!S55,"")</f>
        <v>D</v>
      </c>
      <c r="P3" s="2" t="str">
        <f ca="1">IFERROR(Fixtures_by_Clubs!S54,"")</f>
        <v>W</v>
      </c>
      <c r="Q3" s="4" t="str">
        <f ca="1">IFERROR(Fixtures_by_Clubs!Q58,"BLK")</f>
        <v>Brighton</v>
      </c>
      <c r="R3" s="4" t="str">
        <f ca="1">IFERROR(Fixtures_by_Clubs!Q59,"")</f>
        <v>H</v>
      </c>
      <c r="S3" s="3">
        <f t="shared" ref="S3:S21" si="1">K3*100+J3+I3/100-D3/10000-T3/1000000</f>
        <v>6105.4561979999999</v>
      </c>
      <c r="T3" s="4">
        <v>2</v>
      </c>
    </row>
    <row r="4" spans="1:20" ht="26.25" x14ac:dyDescent="0.4">
      <c r="A4" s="2">
        <f t="shared" si="0"/>
        <v>15</v>
      </c>
      <c r="B4" s="4" t="s">
        <v>3</v>
      </c>
      <c r="C4" s="4"/>
      <c r="D4" s="4">
        <f>Fixtures_by_Clubs!Z55</f>
        <v>38</v>
      </c>
      <c r="E4" s="4">
        <f>Fixtures_by_Clubs!Z56</f>
        <v>11</v>
      </c>
      <c r="F4" s="4">
        <f>Fixtures_by_Clubs!Z57</f>
        <v>6</v>
      </c>
      <c r="G4" s="4">
        <f>Fixtures_by_Clubs!Z58</f>
        <v>21</v>
      </c>
      <c r="H4" s="4">
        <f>Fixtures_by_Clubs!AC54</f>
        <v>37</v>
      </c>
      <c r="I4" s="4">
        <f>Fixtures_by_Clubs!AC55</f>
        <v>71</v>
      </c>
      <c r="J4" s="4">
        <f>Fixtures_by_Clubs!AC56</f>
        <v>-34</v>
      </c>
      <c r="K4" s="4">
        <f>Fixtures_by_Clubs!Z54-Deduction!$C$4</f>
        <v>39</v>
      </c>
      <c r="L4" s="2" t="str">
        <f ca="1">IFERROR(Fixtures_by_Clubs!AE58,"")</f>
        <v>W</v>
      </c>
      <c r="M4" s="2" t="str">
        <f ca="1">IFERROR(Fixtures_by_Clubs!AE57,"")</f>
        <v>L</v>
      </c>
      <c r="N4" s="2" t="str">
        <f ca="1">IFERROR(Fixtures_by_Clubs!AE56,"")</f>
        <v>L</v>
      </c>
      <c r="O4" s="2" t="str">
        <f ca="1">IFERROR(Fixtures_by_Clubs!AE55,"")</f>
        <v>L</v>
      </c>
      <c r="P4" s="2" t="str">
        <f ca="1">IFERROR(Fixtures_by_Clubs!AE54,"")</f>
        <v>L</v>
      </c>
      <c r="Q4" s="4" t="str">
        <f ca="1">IFERROR(Fixtures_by_Clubs!AC58,"BLK")</f>
        <v>Everton</v>
      </c>
      <c r="R4" s="4" t="str">
        <f ca="1">IFERROR(Fixtures_by_Clubs!AC59,"")</f>
        <v>A</v>
      </c>
      <c r="S4" s="3">
        <f t="shared" si="1"/>
        <v>3866.706197</v>
      </c>
      <c r="T4" s="4">
        <v>3</v>
      </c>
    </row>
    <row r="5" spans="1:20" ht="26.25" x14ac:dyDescent="0.4">
      <c r="A5" s="2">
        <f t="shared" si="0"/>
        <v>9</v>
      </c>
      <c r="B5" s="4" t="s">
        <v>125</v>
      </c>
      <c r="C5" s="4"/>
      <c r="D5" s="4">
        <f>Fixtures_by_Clubs!AL55</f>
        <v>38</v>
      </c>
      <c r="E5" s="4">
        <f>Fixtures_by_Clubs!AL56</f>
        <v>15</v>
      </c>
      <c r="F5" s="4">
        <f>Fixtures_by_Clubs!AL57</f>
        <v>14</v>
      </c>
      <c r="G5" s="4">
        <f>Fixtures_by_Clubs!AL58</f>
        <v>9</v>
      </c>
      <c r="H5" s="4">
        <f>Fixtures_by_Clubs!AO54</f>
        <v>58</v>
      </c>
      <c r="I5" s="4">
        <f>Fixtures_by_Clubs!AO55</f>
        <v>46</v>
      </c>
      <c r="J5" s="4">
        <f>Fixtures_by_Clubs!AO56</f>
        <v>12</v>
      </c>
      <c r="K5" s="4">
        <f>Fixtures_by_Clubs!AL54-Deduction!$C$5</f>
        <v>59</v>
      </c>
      <c r="L5" s="2" t="str">
        <f ca="1">IFERROR(Fixtures_by_Clubs!AQ58,"")</f>
        <v>W</v>
      </c>
      <c r="M5" s="2" t="str">
        <f ca="1">IFERROR(Fixtures_by_Clubs!AQ57,"")</f>
        <v>L</v>
      </c>
      <c r="N5" s="2" t="str">
        <f ca="1">IFERROR(Fixtures_by_Clubs!AQ56,"")</f>
        <v>W</v>
      </c>
      <c r="O5" s="2" t="str">
        <f ca="1">IFERROR(Fixtures_by_Clubs!AQ55,"")</f>
        <v>W</v>
      </c>
      <c r="P5" s="2" t="str">
        <f ca="1">IFERROR(Fixtures_by_Clubs!AQ54,"")</f>
        <v>W</v>
      </c>
      <c r="Q5" s="4" t="str">
        <f ca="1">IFERROR(Fixtures_by_Clubs!AO58,"BLK")</f>
        <v>Man City</v>
      </c>
      <c r="R5" s="4" t="str">
        <f ca="1">IFERROR(Fixtures_by_Clubs!AO59,"")</f>
        <v>H</v>
      </c>
      <c r="S5" s="3">
        <f t="shared" si="1"/>
        <v>5912.4561959999992</v>
      </c>
      <c r="T5" s="4">
        <v>4</v>
      </c>
    </row>
    <row r="6" spans="1:20" ht="26.25" x14ac:dyDescent="0.4">
      <c r="A6" s="2">
        <f t="shared" si="0"/>
        <v>6</v>
      </c>
      <c r="B6" s="4" t="s">
        <v>4</v>
      </c>
      <c r="C6" s="4"/>
      <c r="D6" s="4">
        <f>Fixtures_by_Clubs!AX55</f>
        <v>38</v>
      </c>
      <c r="E6" s="4">
        <f>Fixtures_by_Clubs!AX56</f>
        <v>18</v>
      </c>
      <c r="F6" s="4">
        <f>Fixtures_by_Clubs!AX57</f>
        <v>8</v>
      </c>
      <c r="G6" s="4">
        <f>Fixtures_by_Clubs!AX58</f>
        <v>12</v>
      </c>
      <c r="H6" s="4">
        <f>Fixtures_by_Clubs!BA54</f>
        <v>72</v>
      </c>
      <c r="I6" s="4">
        <f>Fixtures_by_Clubs!BA55</f>
        <v>53</v>
      </c>
      <c r="J6" s="4">
        <f>Fixtures_by_Clubs!BA56</f>
        <v>19</v>
      </c>
      <c r="K6" s="4">
        <f>Fixtures_by_Clubs!AX54-Deduction!$C$6</f>
        <v>62</v>
      </c>
      <c r="L6" s="2" t="str">
        <f ca="1">IFERROR(Fixtures_by_Clubs!BC58,"")</f>
        <v>W</v>
      </c>
      <c r="M6" s="2" t="str">
        <f ca="1">IFERROR(Fixtures_by_Clubs!BC57,"")</f>
        <v>L</v>
      </c>
      <c r="N6" s="2" t="str">
        <f ca="1">IFERROR(Fixtures_by_Clubs!BC56,"")</f>
        <v>W</v>
      </c>
      <c r="O6" s="2" t="str">
        <f ca="1">IFERROR(Fixtures_by_Clubs!BC55,"")</f>
        <v>D</v>
      </c>
      <c r="P6" s="2" t="str">
        <f ca="1">IFERROR(Fixtures_by_Clubs!BC54,"")</f>
        <v>L</v>
      </c>
      <c r="Q6" s="4" t="str">
        <f ca="1">IFERROR(Fixtures_by_Clubs!BA58,"BLK")</f>
        <v>Aston Villa</v>
      </c>
      <c r="R6" s="4" t="str">
        <f ca="1">IFERROR(Fixtures_by_Clubs!BA59,"")</f>
        <v>A</v>
      </c>
      <c r="S6" s="3">
        <f t="shared" si="1"/>
        <v>6219.5261949999995</v>
      </c>
      <c r="T6" s="4">
        <v>5</v>
      </c>
    </row>
    <row r="7" spans="1:20" ht="26.25" x14ac:dyDescent="0.4">
      <c r="A7" s="2">
        <f t="shared" si="0"/>
        <v>12</v>
      </c>
      <c r="B7" s="4" t="s">
        <v>5</v>
      </c>
      <c r="C7" s="4"/>
      <c r="D7" s="4">
        <f>Fixtures_by_Clubs!BJ55</f>
        <v>38</v>
      </c>
      <c r="E7" s="4">
        <f>Fixtures_by_Clubs!BJ56</f>
        <v>11</v>
      </c>
      <c r="F7" s="4">
        <f>Fixtures_by_Clubs!BJ57</f>
        <v>11</v>
      </c>
      <c r="G7" s="4">
        <f>Fixtures_by_Clubs!BJ58</f>
        <v>16</v>
      </c>
      <c r="H7" s="4">
        <f>Fixtures_by_Clubs!BM54</f>
        <v>38</v>
      </c>
      <c r="I7" s="4">
        <f>Fixtures_by_Clubs!BM55</f>
        <v>47</v>
      </c>
      <c r="J7" s="4">
        <f>Fixtures_by_Clubs!BM56</f>
        <v>-9</v>
      </c>
      <c r="K7" s="4">
        <f>Fixtures_by_Clubs!BJ54-Deduction!$C$7</f>
        <v>44</v>
      </c>
      <c r="L7" s="2" t="str">
        <f ca="1">IFERROR(Fixtures_by_Clubs!BO58,"")</f>
        <v>W</v>
      </c>
      <c r="M7" s="2" t="str">
        <f ca="1">IFERROR(Fixtures_by_Clubs!BO57,"")</f>
        <v>D</v>
      </c>
      <c r="N7" s="2" t="str">
        <f ca="1">IFERROR(Fixtures_by_Clubs!BO56,"")</f>
        <v>L</v>
      </c>
      <c r="O7" s="2" t="str">
        <f ca="1">IFERROR(Fixtures_by_Clubs!BO55,"")</f>
        <v>L</v>
      </c>
      <c r="P7" s="2" t="str">
        <f ca="1">IFERROR(Fixtures_by_Clubs!BO54,"")</f>
        <v>D</v>
      </c>
      <c r="Q7" s="4" t="str">
        <f ca="1">IFERROR(Fixtures_by_Clubs!BM58,"BLK")</f>
        <v>Newcastle</v>
      </c>
      <c r="R7" s="4" t="str">
        <f ca="1">IFERROR(Fixtures_by_Clubs!BM59,"")</f>
        <v>H</v>
      </c>
      <c r="S7" s="3">
        <f t="shared" si="1"/>
        <v>4391.4661939999996</v>
      </c>
      <c r="T7" s="4">
        <v>6</v>
      </c>
    </row>
    <row r="8" spans="1:20" ht="26.25" x14ac:dyDescent="0.4">
      <c r="A8" s="2">
        <f t="shared" si="0"/>
        <v>11</v>
      </c>
      <c r="B8" s="4" t="s">
        <v>6</v>
      </c>
      <c r="C8" s="4"/>
      <c r="D8" s="4">
        <f>Fixtures_by_Clubs!BV55</f>
        <v>38</v>
      </c>
      <c r="E8" s="4">
        <f>Fixtures_by_Clubs!BV56</f>
        <v>11</v>
      </c>
      <c r="F8" s="4">
        <f>Fixtures_by_Clubs!BV57</f>
        <v>12</v>
      </c>
      <c r="G8" s="4">
        <f>Fixtures_by_Clubs!BV58</f>
        <v>15</v>
      </c>
      <c r="H8" s="4">
        <f>Fixtures_by_Clubs!BY54</f>
        <v>40</v>
      </c>
      <c r="I8" s="4">
        <f>Fixtures_by_Clubs!BY55</f>
        <v>49</v>
      </c>
      <c r="J8" s="4">
        <f>Fixtures_by_Clubs!BY56</f>
        <v>-9</v>
      </c>
      <c r="K8" s="4">
        <f>Fixtures_by_Clubs!BV54-Deduction!$C$8</f>
        <v>45</v>
      </c>
      <c r="L8" s="2" t="str">
        <f ca="1">IFERROR(Fixtures_by_Clubs!CA58,"")</f>
        <v>W</v>
      </c>
      <c r="M8" s="2" t="str">
        <f ca="1">IFERROR(Fixtures_by_Clubs!CA57,"")</f>
        <v>L</v>
      </c>
      <c r="N8" s="2" t="str">
        <f ca="1">IFERROR(Fixtures_by_Clubs!CA56,"")</f>
        <v>W</v>
      </c>
      <c r="O8" s="2" t="str">
        <f ca="1">IFERROR(Fixtures_by_Clubs!CA55,"")</f>
        <v>D</v>
      </c>
      <c r="P8" s="2" t="str">
        <f ca="1">IFERROR(Fixtures_by_Clubs!CA54,"")</f>
        <v>D</v>
      </c>
      <c r="Q8" s="4" t="str">
        <f ca="1">IFERROR(Fixtures_by_Clubs!BY58,"BLK")</f>
        <v>Nottingham Forest</v>
      </c>
      <c r="R8" s="4" t="str">
        <f ca="1">IFERROR(Fixtures_by_Clubs!BY59,"")</f>
        <v>H</v>
      </c>
      <c r="S8" s="3">
        <f t="shared" si="1"/>
        <v>4491.4861929999997</v>
      </c>
      <c r="T8" s="4">
        <v>7</v>
      </c>
    </row>
    <row r="9" spans="1:20" ht="26.25" x14ac:dyDescent="0.4">
      <c r="A9" s="2">
        <f t="shared" si="0"/>
        <v>17</v>
      </c>
      <c r="B9" s="4" t="s">
        <v>7</v>
      </c>
      <c r="C9" s="4"/>
      <c r="D9" s="4">
        <f>Fixtures_by_Clubs!CH55</f>
        <v>38</v>
      </c>
      <c r="E9" s="4">
        <f>Fixtures_by_Clubs!CH56</f>
        <v>8</v>
      </c>
      <c r="F9" s="4">
        <f>Fixtures_by_Clubs!CH57</f>
        <v>12</v>
      </c>
      <c r="G9" s="4">
        <f>Fixtures_by_Clubs!CH58</f>
        <v>18</v>
      </c>
      <c r="H9" s="4">
        <f>Fixtures_by_Clubs!CK54</f>
        <v>34</v>
      </c>
      <c r="I9" s="4">
        <f>Fixtures_by_Clubs!CK55</f>
        <v>57</v>
      </c>
      <c r="J9" s="4">
        <f>Fixtures_by_Clubs!CK56</f>
        <v>-23</v>
      </c>
      <c r="K9" s="4">
        <f>Fixtures_by_Clubs!CH54-Deduction!$C$9</f>
        <v>36</v>
      </c>
      <c r="L9" s="2" t="str">
        <f ca="1">IFERROR(Fixtures_by_Clubs!CM58,"")</f>
        <v>D</v>
      </c>
      <c r="M9" s="2" t="str">
        <f ca="1">IFERROR(Fixtures_by_Clubs!CM57,"")</f>
        <v>W</v>
      </c>
      <c r="N9" s="2" t="str">
        <f ca="1">IFERROR(Fixtures_by_Clubs!CM56,"")</f>
        <v>L</v>
      </c>
      <c r="O9" s="2" t="str">
        <f ca="1">IFERROR(Fixtures_by_Clubs!CM55,"")</f>
        <v>D</v>
      </c>
      <c r="P9" s="2" t="str">
        <f ca="1">IFERROR(Fixtures_by_Clubs!CM54,"")</f>
        <v>W</v>
      </c>
      <c r="Q9" s="4" t="str">
        <f ca="1">IFERROR(Fixtures_by_Clubs!CK58,"BLK")</f>
        <v>Bournemouth</v>
      </c>
      <c r="R9" s="4" t="str">
        <f ca="1">IFERROR(Fixtures_by_Clubs!CK59,"")</f>
        <v>H</v>
      </c>
      <c r="S9" s="3">
        <f t="shared" si="1"/>
        <v>3577.5661920000002</v>
      </c>
      <c r="T9" s="4">
        <v>8</v>
      </c>
    </row>
    <row r="10" spans="1:20" ht="26.25" x14ac:dyDescent="0.4">
      <c r="A10" s="2">
        <f t="shared" si="0"/>
        <v>10</v>
      </c>
      <c r="B10" s="4" t="s">
        <v>126</v>
      </c>
      <c r="C10" s="4"/>
      <c r="D10" s="4">
        <f>Fixtures_by_Clubs!CT55</f>
        <v>38</v>
      </c>
      <c r="E10" s="4">
        <f>Fixtures_by_Clubs!CT56</f>
        <v>15</v>
      </c>
      <c r="F10" s="4">
        <f>Fixtures_by_Clubs!CT57</f>
        <v>7</v>
      </c>
      <c r="G10" s="4">
        <f>Fixtures_by_Clubs!CT58</f>
        <v>16</v>
      </c>
      <c r="H10" s="4">
        <f>Fixtures_by_Clubs!CW54</f>
        <v>55</v>
      </c>
      <c r="I10" s="4">
        <f>Fixtures_by_Clubs!CW55</f>
        <v>53</v>
      </c>
      <c r="J10" s="4">
        <f>Fixtures_by_Clubs!CW56</f>
        <v>2</v>
      </c>
      <c r="K10" s="4">
        <f>Fixtures_by_Clubs!CT54-Deduction!$C$10</f>
        <v>52</v>
      </c>
      <c r="L10" s="2" t="str">
        <f ca="1">IFERROR(Fixtures_by_Clubs!CY58,"")</f>
        <v>L</v>
      </c>
      <c r="M10" s="2" t="str">
        <f ca="1">IFERROR(Fixtures_by_Clubs!CY57,"")</f>
        <v>W</v>
      </c>
      <c r="N10" s="2" t="str">
        <f ca="1">IFERROR(Fixtures_by_Clubs!CY56,"")</f>
        <v>W</v>
      </c>
      <c r="O10" s="2" t="str">
        <f ca="1">IFERROR(Fixtures_by_Clubs!CY55,"")</f>
        <v>D</v>
      </c>
      <c r="P10" s="2" t="str">
        <f ca="1">IFERROR(Fixtures_by_Clubs!CY54,"")</f>
        <v>L</v>
      </c>
      <c r="Q10" s="4" t="str">
        <f ca="1">IFERROR(Fixtures_by_Clubs!CW58,"BLK")</f>
        <v>Man Utd</v>
      </c>
      <c r="R10" s="4" t="str">
        <f ca="1">IFERROR(Fixtures_by_Clubs!CW59,"")</f>
        <v>A</v>
      </c>
      <c r="S10" s="3">
        <f t="shared" si="1"/>
        <v>5202.526190999999</v>
      </c>
      <c r="T10" s="4">
        <v>9</v>
      </c>
    </row>
    <row r="11" spans="1:20" ht="26.25" x14ac:dyDescent="0.4">
      <c r="A11" s="2">
        <f t="shared" si="0"/>
        <v>19</v>
      </c>
      <c r="B11" s="4" t="s">
        <v>139</v>
      </c>
      <c r="C11" s="4"/>
      <c r="D11" s="4">
        <f>Fixtures_by_Clubs!DF55</f>
        <v>38</v>
      </c>
      <c r="E11" s="4">
        <f>Fixtures_by_Clubs!DF56</f>
        <v>7</v>
      </c>
      <c r="F11" s="4">
        <f>Fixtures_by_Clubs!DF57</f>
        <v>10</v>
      </c>
      <c r="G11" s="4">
        <f>Fixtures_by_Clubs!DF58</f>
        <v>21</v>
      </c>
      <c r="H11" s="4">
        <f>Fixtures_by_Clubs!DI54</f>
        <v>48</v>
      </c>
      <c r="I11" s="4">
        <f>Fixtures_by_Clubs!DI55</f>
        <v>78</v>
      </c>
      <c r="J11" s="4">
        <f>Fixtures_by_Clubs!DI56</f>
        <v>-30</v>
      </c>
      <c r="K11" s="4">
        <f>Fixtures_by_Clubs!DF54-Deduction!$C$11</f>
        <v>31</v>
      </c>
      <c r="L11" s="2" t="str">
        <f ca="1">IFERROR(Fixtures_by_Clubs!DK58,"")</f>
        <v>L</v>
      </c>
      <c r="M11" s="2" t="str">
        <f ca="1">IFERROR(Fixtures_by_Clubs!DK57,"")</f>
        <v>L</v>
      </c>
      <c r="N11" s="2" t="str">
        <f ca="1">IFERROR(Fixtures_by_Clubs!DK56,"")</f>
        <v>D</v>
      </c>
      <c r="O11" s="2" t="str">
        <f ca="1">IFERROR(Fixtures_by_Clubs!DK55,"")</f>
        <v>L</v>
      </c>
      <c r="P11" s="2" t="str">
        <f ca="1">IFERROR(Fixtures_by_Clubs!DK54,"")</f>
        <v>L</v>
      </c>
      <c r="Q11" s="4" t="str">
        <f ca="1">IFERROR(Fixtures_by_Clubs!DI58,"BLK")</f>
        <v>Spurs</v>
      </c>
      <c r="R11" s="4" t="str">
        <f ca="1">IFERROR(Fixtures_by_Clubs!DI59,"")</f>
        <v>H</v>
      </c>
      <c r="S11" s="3">
        <f t="shared" si="1"/>
        <v>3070.77619</v>
      </c>
      <c r="T11" s="4">
        <v>10</v>
      </c>
    </row>
    <row r="12" spans="1:20" ht="26.25" x14ac:dyDescent="0.4">
      <c r="A12" s="2">
        <f t="shared" si="0"/>
        <v>18</v>
      </c>
      <c r="B12" s="4" t="s">
        <v>8</v>
      </c>
      <c r="C12" s="4"/>
      <c r="D12" s="4">
        <f>Fixtures_by_Clubs!DR55</f>
        <v>38</v>
      </c>
      <c r="E12" s="4">
        <f>Fixtures_by_Clubs!DR56</f>
        <v>9</v>
      </c>
      <c r="F12" s="4">
        <f>Fixtures_by_Clubs!DR57</f>
        <v>7</v>
      </c>
      <c r="G12" s="4">
        <f>Fixtures_by_Clubs!DR58</f>
        <v>22</v>
      </c>
      <c r="H12" s="4">
        <f>Fixtures_by_Clubs!DU54</f>
        <v>51</v>
      </c>
      <c r="I12" s="4">
        <f>Fixtures_by_Clubs!DU55</f>
        <v>68</v>
      </c>
      <c r="J12" s="4">
        <f>Fixtures_by_Clubs!DU56</f>
        <v>-17</v>
      </c>
      <c r="K12" s="4">
        <f>Fixtures_by_Clubs!DR54-Deduction!$C$12</f>
        <v>34</v>
      </c>
      <c r="L12" s="2" t="str">
        <f ca="1">IFERROR(Fixtures_by_Clubs!DW58,"")</f>
        <v>D</v>
      </c>
      <c r="M12" s="2" t="str">
        <f ca="1">IFERROR(Fixtures_by_Clubs!DW57,"")</f>
        <v>L</v>
      </c>
      <c r="N12" s="2" t="str">
        <f ca="1">IFERROR(Fixtures_by_Clubs!DW56,"")</f>
        <v>L</v>
      </c>
      <c r="O12" s="2" t="str">
        <f ca="1">IFERROR(Fixtures_by_Clubs!DW55,"")</f>
        <v>D</v>
      </c>
      <c r="P12" s="2" t="str">
        <f ca="1">IFERROR(Fixtures_by_Clubs!DW54,"")</f>
        <v>W</v>
      </c>
      <c r="Q12" s="4" t="str">
        <f ca="1">IFERROR(Fixtures_by_Clubs!DU58,"BLK")</f>
        <v>West Ham</v>
      </c>
      <c r="R12" s="4" t="str">
        <f ca="1">IFERROR(Fixtures_by_Clubs!DU59,"")</f>
        <v>H</v>
      </c>
      <c r="S12" s="3">
        <f t="shared" si="1"/>
        <v>3383.6761889999998</v>
      </c>
      <c r="T12" s="4">
        <v>11</v>
      </c>
    </row>
    <row r="13" spans="1:20" ht="26.25" x14ac:dyDescent="0.4">
      <c r="A13" s="2">
        <f t="shared" si="0"/>
        <v>5</v>
      </c>
      <c r="B13" s="4" t="s">
        <v>9</v>
      </c>
      <c r="C13" s="4"/>
      <c r="D13" s="4">
        <f>Fixtures_by_Clubs!ED55</f>
        <v>38</v>
      </c>
      <c r="E13" s="4">
        <f>Fixtures_by_Clubs!ED56</f>
        <v>19</v>
      </c>
      <c r="F13" s="4">
        <f>Fixtures_by_Clubs!ED57</f>
        <v>10</v>
      </c>
      <c r="G13" s="4">
        <f>Fixtures_by_Clubs!ED58</f>
        <v>9</v>
      </c>
      <c r="H13" s="4">
        <f>Fixtures_by_Clubs!EG54</f>
        <v>75</v>
      </c>
      <c r="I13" s="4">
        <f>Fixtures_by_Clubs!EG55</f>
        <v>47</v>
      </c>
      <c r="J13" s="4">
        <f>Fixtures_by_Clubs!EG56</f>
        <v>28</v>
      </c>
      <c r="K13" s="4">
        <f>Fixtures_by_Clubs!ED54-Deduction!$C$13</f>
        <v>67</v>
      </c>
      <c r="L13" s="2" t="str">
        <f ca="1">IFERROR(Fixtures_by_Clubs!EI58,"")</f>
        <v>W</v>
      </c>
      <c r="M13" s="2" t="str">
        <f ca="1">IFERROR(Fixtures_by_Clubs!EI57,"")</f>
        <v>W</v>
      </c>
      <c r="N13" s="2" t="str">
        <f ca="1">IFERROR(Fixtures_by_Clubs!EI56,"")</f>
        <v>W</v>
      </c>
      <c r="O13" s="2" t="str">
        <f ca="1">IFERROR(Fixtures_by_Clubs!EI55,"")</f>
        <v>D</v>
      </c>
      <c r="P13" s="2" t="str">
        <f ca="1">IFERROR(Fixtures_by_Clubs!EI54,"")</f>
        <v>D</v>
      </c>
      <c r="Q13" s="4" t="str">
        <f ca="1">IFERROR(Fixtures_by_Clubs!EG58,"BLK")</f>
        <v>Southampton</v>
      </c>
      <c r="R13" s="4" t="str">
        <f ca="1">IFERROR(Fixtures_by_Clubs!EG59,"")</f>
        <v>A</v>
      </c>
      <c r="S13" s="3">
        <f t="shared" si="1"/>
        <v>6728.4661879999994</v>
      </c>
      <c r="T13" s="4">
        <v>12</v>
      </c>
    </row>
    <row r="14" spans="1:20" ht="26.25" x14ac:dyDescent="0.4">
      <c r="A14" s="2">
        <f t="shared" si="0"/>
        <v>1</v>
      </c>
      <c r="B14" s="4" t="s">
        <v>10</v>
      </c>
      <c r="C14" s="7"/>
      <c r="D14" s="4">
        <f>Fixtures_by_Clubs!EP55</f>
        <v>38</v>
      </c>
      <c r="E14" s="4">
        <f>Fixtures_by_Clubs!EP56</f>
        <v>28</v>
      </c>
      <c r="F14" s="4">
        <f>Fixtures_by_Clubs!EP57</f>
        <v>5</v>
      </c>
      <c r="G14" s="4">
        <f>Fixtures_by_Clubs!EP58</f>
        <v>5</v>
      </c>
      <c r="H14" s="4">
        <f>Fixtures_by_Clubs!ES54</f>
        <v>94</v>
      </c>
      <c r="I14" s="4">
        <f>Fixtures_by_Clubs!ES55</f>
        <v>33</v>
      </c>
      <c r="J14" s="4">
        <f>Fixtures_by_Clubs!ES56</f>
        <v>61</v>
      </c>
      <c r="K14" s="4">
        <f>Fixtures_by_Clubs!EP54-Deduction!$C$14</f>
        <v>89</v>
      </c>
      <c r="L14" s="2" t="str">
        <f ca="1">IFERROR(Fixtures_by_Clubs!EU58,"")</f>
        <v>W</v>
      </c>
      <c r="M14" s="2" t="str">
        <f ca="1">IFERROR(Fixtures_by_Clubs!EU57,"")</f>
        <v>W</v>
      </c>
      <c r="N14" s="2" t="str">
        <f ca="1">IFERROR(Fixtures_by_Clubs!EU56,"")</f>
        <v>W</v>
      </c>
      <c r="O14" s="2" t="str">
        <f ca="1">IFERROR(Fixtures_by_Clubs!EU55,"")</f>
        <v>D</v>
      </c>
      <c r="P14" s="2" t="str">
        <f ca="1">IFERROR(Fixtures_by_Clubs!EU54,"")</f>
        <v>L</v>
      </c>
      <c r="Q14" s="4" t="str">
        <f ca="1">IFERROR(Fixtures_by_Clubs!ES58,"BLK")</f>
        <v>Brentford</v>
      </c>
      <c r="R14" s="4" t="str">
        <f ca="1">IFERROR(Fixtures_by_Clubs!ES59,"")</f>
        <v>A</v>
      </c>
      <c r="S14" s="3">
        <f t="shared" si="1"/>
        <v>8961.3261869999988</v>
      </c>
      <c r="T14" s="4">
        <v>13</v>
      </c>
    </row>
    <row r="15" spans="1:20" ht="26.25" x14ac:dyDescent="0.4">
      <c r="A15" s="2">
        <f t="shared" si="0"/>
        <v>3</v>
      </c>
      <c r="B15" s="4" t="s">
        <v>11</v>
      </c>
      <c r="C15" s="4"/>
      <c r="D15" s="4">
        <f>Fixtures_by_Clubs!FB55</f>
        <v>38</v>
      </c>
      <c r="E15" s="4">
        <f>Fixtures_by_Clubs!FB56</f>
        <v>23</v>
      </c>
      <c r="F15" s="4">
        <f>Fixtures_by_Clubs!FB57</f>
        <v>6</v>
      </c>
      <c r="G15" s="4">
        <f>Fixtures_by_Clubs!FB58</f>
        <v>9</v>
      </c>
      <c r="H15" s="4">
        <f>Fixtures_by_Clubs!FE54</f>
        <v>58</v>
      </c>
      <c r="I15" s="4">
        <f>Fixtures_by_Clubs!FE55</f>
        <v>43</v>
      </c>
      <c r="J15" s="4">
        <f>Fixtures_by_Clubs!FE56</f>
        <v>15</v>
      </c>
      <c r="K15" s="4">
        <f>Fixtures_by_Clubs!FB54-Deduction!$C$15</f>
        <v>75</v>
      </c>
      <c r="L15" s="2" t="str">
        <f ca="1">IFERROR(Fixtures_by_Clubs!FG58,"")</f>
        <v>L</v>
      </c>
      <c r="M15" s="2" t="str">
        <f ca="1">IFERROR(Fixtures_by_Clubs!FG57,"")</f>
        <v>W</v>
      </c>
      <c r="N15" s="2" t="str">
        <f ca="1">IFERROR(Fixtures_by_Clubs!FG56,"")</f>
        <v>W</v>
      </c>
      <c r="O15" s="2" t="str">
        <f ca="1">IFERROR(Fixtures_by_Clubs!FG55,"")</f>
        <v>W</v>
      </c>
      <c r="P15" s="2" t="str">
        <f ca="1">IFERROR(Fixtures_by_Clubs!FG54,"")</f>
        <v>W</v>
      </c>
      <c r="Q15" s="4" t="str">
        <f ca="1">IFERROR(Fixtures_by_Clubs!FE58,"BLK")</f>
        <v>Fulham</v>
      </c>
      <c r="R15" s="4" t="str">
        <f ca="1">IFERROR(Fixtures_by_Clubs!FE59,"")</f>
        <v>H</v>
      </c>
      <c r="S15" s="3">
        <f t="shared" si="1"/>
        <v>7515.4261859999997</v>
      </c>
      <c r="T15" s="4">
        <v>14</v>
      </c>
    </row>
    <row r="16" spans="1:20" ht="26.25" x14ac:dyDescent="0.4">
      <c r="A16" s="2">
        <f t="shared" si="0"/>
        <v>4</v>
      </c>
      <c r="B16" s="4" t="s">
        <v>12</v>
      </c>
      <c r="C16" s="4"/>
      <c r="D16" s="4">
        <f>Fixtures_by_Clubs!FN55</f>
        <v>38</v>
      </c>
      <c r="E16" s="4">
        <f>Fixtures_by_Clubs!FN56</f>
        <v>19</v>
      </c>
      <c r="F16" s="4">
        <f>Fixtures_by_Clubs!FN57</f>
        <v>14</v>
      </c>
      <c r="G16" s="4">
        <f>Fixtures_by_Clubs!FN58</f>
        <v>5</v>
      </c>
      <c r="H16" s="4">
        <f>Fixtures_by_Clubs!FQ54</f>
        <v>68</v>
      </c>
      <c r="I16" s="4">
        <f>Fixtures_by_Clubs!FQ55</f>
        <v>33</v>
      </c>
      <c r="J16" s="4">
        <f>Fixtures_by_Clubs!FQ56</f>
        <v>35</v>
      </c>
      <c r="K16" s="4">
        <f>Fixtures_by_Clubs!FN54-Deduction!$C$16</f>
        <v>71</v>
      </c>
      <c r="L16" s="2" t="str">
        <f ca="1">IFERROR(Fixtures_by_Clubs!FS58,"")</f>
        <v>L</v>
      </c>
      <c r="M16" s="2" t="str">
        <f ca="1">IFERROR(Fixtures_by_Clubs!FS57,"")</f>
        <v>D</v>
      </c>
      <c r="N16" s="2" t="str">
        <f ca="1">IFERROR(Fixtures_by_Clubs!FS56,"")</f>
        <v>W</v>
      </c>
      <c r="O16" s="2" t="str">
        <f ca="1">IFERROR(Fixtures_by_Clubs!FS55,"")</f>
        <v>D</v>
      </c>
      <c r="P16" s="2" t="str">
        <f ca="1">IFERROR(Fixtures_by_Clubs!FS54,"")</f>
        <v>D</v>
      </c>
      <c r="Q16" s="4" t="str">
        <f ca="1">IFERROR(Fixtures_by_Clubs!FQ58,"BLK")</f>
        <v>Chelsea</v>
      </c>
      <c r="R16" s="4" t="str">
        <f ca="1">IFERROR(Fixtures_by_Clubs!FQ59,"")</f>
        <v>A</v>
      </c>
      <c r="S16" s="3">
        <f t="shared" si="1"/>
        <v>7135.3261849999999</v>
      </c>
      <c r="T16" s="4">
        <v>15</v>
      </c>
    </row>
    <row r="17" spans="1:22" ht="26.25" x14ac:dyDescent="0.4">
      <c r="A17" s="2">
        <f t="shared" si="0"/>
        <v>16</v>
      </c>
      <c r="B17" s="4" t="s">
        <v>204</v>
      </c>
      <c r="C17" s="4"/>
      <c r="D17" s="4">
        <f>Fixtures_by_Clubs!FZ55</f>
        <v>38</v>
      </c>
      <c r="E17" s="4">
        <f>Fixtures_by_Clubs!FZ56</f>
        <v>9</v>
      </c>
      <c r="F17" s="4">
        <f>Fixtures_by_Clubs!FZ57</f>
        <v>11</v>
      </c>
      <c r="G17" s="4">
        <f>Fixtures_by_Clubs!FZ58</f>
        <v>18</v>
      </c>
      <c r="H17" s="4">
        <f>Fixtures_by_Clubs!GC54</f>
        <v>38</v>
      </c>
      <c r="I17" s="4">
        <f>Fixtures_by_Clubs!GC55</f>
        <v>68</v>
      </c>
      <c r="J17" s="4">
        <f>Fixtures_by_Clubs!GC56</f>
        <v>-30</v>
      </c>
      <c r="K17" s="4">
        <f>Fixtures_by_Clubs!FZ54-Deduction!$C$17</f>
        <v>38</v>
      </c>
      <c r="L17" s="2" t="str">
        <f ca="1">IFERROR(Fixtures_by_Clubs!GE58,"")</f>
        <v>L</v>
      </c>
      <c r="M17" s="2" t="str">
        <f ca="1">IFERROR(Fixtures_by_Clubs!GE57,"")</f>
        <v>W</v>
      </c>
      <c r="N17" s="2" t="str">
        <f ca="1">IFERROR(Fixtures_by_Clubs!GE56,"")</f>
        <v>D</v>
      </c>
      <c r="O17" s="2" t="str">
        <f ca="1">IFERROR(Fixtures_by_Clubs!GE55,"")</f>
        <v>W</v>
      </c>
      <c r="P17" s="2" t="str">
        <f ca="1">IFERROR(Fixtures_by_Clubs!GE54,"")</f>
        <v>D</v>
      </c>
      <c r="Q17" s="4" t="str">
        <f ca="1">IFERROR(Fixtures_by_Clubs!GC58,"BLK")</f>
        <v>Crystal Palace</v>
      </c>
      <c r="R17" s="4" t="str">
        <f ca="1">IFERROR(Fixtures_by_Clubs!GC59,"")</f>
        <v>A</v>
      </c>
      <c r="S17" s="3">
        <f t="shared" si="1"/>
        <v>3770.6761839999999</v>
      </c>
      <c r="T17" s="4">
        <v>16</v>
      </c>
    </row>
    <row r="18" spans="1:22" ht="26.25" x14ac:dyDescent="0.4">
      <c r="A18" s="2">
        <f t="shared" si="0"/>
        <v>20</v>
      </c>
      <c r="B18" s="4" t="s">
        <v>13</v>
      </c>
      <c r="C18" s="4"/>
      <c r="D18" s="4">
        <f>Fixtures_by_Clubs!GL55</f>
        <v>38</v>
      </c>
      <c r="E18" s="4">
        <f>Fixtures_by_Clubs!GL56</f>
        <v>6</v>
      </c>
      <c r="F18" s="4">
        <f>Fixtures_by_Clubs!GL57</f>
        <v>7</v>
      </c>
      <c r="G18" s="4">
        <f>Fixtures_by_Clubs!GL58</f>
        <v>25</v>
      </c>
      <c r="H18" s="4">
        <f>Fixtures_by_Clubs!GO54</f>
        <v>36</v>
      </c>
      <c r="I18" s="4">
        <f>Fixtures_by_Clubs!GO55</f>
        <v>73</v>
      </c>
      <c r="J18" s="4">
        <f>Fixtures_by_Clubs!GO56</f>
        <v>-37</v>
      </c>
      <c r="K18" s="4">
        <f>Fixtures_by_Clubs!GL54-Deduction!$C$18</f>
        <v>25</v>
      </c>
      <c r="L18" s="2" t="str">
        <f ca="1">IFERROR(Fixtures_by_Clubs!GQ58,"")</f>
        <v>L</v>
      </c>
      <c r="M18" s="2" t="str">
        <f ca="1">IFERROR(Fixtures_by_Clubs!GQ57,"")</f>
        <v>L</v>
      </c>
      <c r="N18" s="2" t="str">
        <f ca="1">IFERROR(Fixtures_by_Clubs!GQ56,"")</f>
        <v>L</v>
      </c>
      <c r="O18" s="2" t="str">
        <f ca="1">IFERROR(Fixtures_by_Clubs!GQ55,"")</f>
        <v>L</v>
      </c>
      <c r="P18" s="2" t="str">
        <f ca="1">IFERROR(Fixtures_by_Clubs!GQ54,"")</f>
        <v>D</v>
      </c>
      <c r="Q18" s="4" t="str">
        <f ca="1">IFERROR(Fixtures_by_Clubs!GO58,"BLK")</f>
        <v>Liverpool</v>
      </c>
      <c r="R18" s="4" t="str">
        <f ca="1">IFERROR(Fixtures_by_Clubs!GO59,"")</f>
        <v>H</v>
      </c>
      <c r="S18" s="3">
        <f t="shared" si="1"/>
        <v>2463.7261830000002</v>
      </c>
      <c r="T18" s="4">
        <v>17</v>
      </c>
      <c r="U18" s="2"/>
      <c r="V18" s="2"/>
    </row>
    <row r="19" spans="1:22" ht="26.25" x14ac:dyDescent="0.4">
      <c r="A19" s="2">
        <f t="shared" si="0"/>
        <v>8</v>
      </c>
      <c r="B19" s="4" t="s">
        <v>14</v>
      </c>
      <c r="C19" s="4"/>
      <c r="D19" s="4">
        <f>Fixtures_by_Clubs!GX55</f>
        <v>38</v>
      </c>
      <c r="E19" s="4">
        <f>Fixtures_by_Clubs!GX56</f>
        <v>18</v>
      </c>
      <c r="F19" s="4">
        <f>Fixtures_by_Clubs!GX57</f>
        <v>6</v>
      </c>
      <c r="G19" s="4">
        <f>Fixtures_by_Clubs!GX58</f>
        <v>14</v>
      </c>
      <c r="H19" s="4">
        <f>Fixtures_by_Clubs!HA54</f>
        <v>70</v>
      </c>
      <c r="I19" s="4">
        <f>Fixtures_by_Clubs!HA55</f>
        <v>63</v>
      </c>
      <c r="J19" s="4">
        <f>Fixtures_by_Clubs!HA56</f>
        <v>7</v>
      </c>
      <c r="K19" s="4">
        <f>Fixtures_by_Clubs!GX54-Deduction!$C$19</f>
        <v>60</v>
      </c>
      <c r="L19" s="2" t="str">
        <f ca="1">IFERROR(Fixtures_by_Clubs!HC58,"")</f>
        <v>L</v>
      </c>
      <c r="M19" s="2" t="str">
        <f ca="1">IFERROR(Fixtures_by_Clubs!HC57,"")</f>
        <v>W</v>
      </c>
      <c r="N19" s="2" t="str">
        <f ca="1">IFERROR(Fixtures_by_Clubs!HC56,"")</f>
        <v>L</v>
      </c>
      <c r="O19" s="2" t="str">
        <f ca="1">IFERROR(Fixtures_by_Clubs!HC55,"")</f>
        <v>L</v>
      </c>
      <c r="P19" s="2" t="str">
        <f ca="1">IFERROR(Fixtures_by_Clubs!HC54,"")</f>
        <v>W</v>
      </c>
      <c r="Q19" s="4" t="str">
        <f ca="1">IFERROR(Fixtures_by_Clubs!HA58,"BLK")</f>
        <v>Leeds Utd</v>
      </c>
      <c r="R19" s="4" t="str">
        <f ca="1">IFERROR(Fixtures_by_Clubs!HA59,"")</f>
        <v>A</v>
      </c>
      <c r="S19" s="3">
        <f t="shared" si="1"/>
        <v>6007.626182</v>
      </c>
      <c r="T19" s="4">
        <v>18</v>
      </c>
      <c r="U19" s="2"/>
      <c r="V19" s="158"/>
    </row>
    <row r="20" spans="1:22" ht="26.25" x14ac:dyDescent="0.4">
      <c r="A20" s="2">
        <f t="shared" si="0"/>
        <v>14</v>
      </c>
      <c r="B20" s="4" t="s">
        <v>15</v>
      </c>
      <c r="C20" s="4"/>
      <c r="D20" s="4">
        <f>Fixtures_by_Clubs!HJ55</f>
        <v>38</v>
      </c>
      <c r="E20" s="4">
        <f>Fixtures_by_Clubs!HJ56</f>
        <v>11</v>
      </c>
      <c r="F20" s="4">
        <f>Fixtures_by_Clubs!HJ57</f>
        <v>7</v>
      </c>
      <c r="G20" s="4">
        <f>Fixtures_by_Clubs!HJ58</f>
        <v>20</v>
      </c>
      <c r="H20" s="4">
        <f>Fixtures_by_Clubs!HM54</f>
        <v>42</v>
      </c>
      <c r="I20" s="4">
        <f>Fixtures_by_Clubs!HM55</f>
        <v>55</v>
      </c>
      <c r="J20" s="4">
        <f>Fixtures_by_Clubs!HM56</f>
        <v>-13</v>
      </c>
      <c r="K20" s="4">
        <f>Fixtures_by_Clubs!HJ54-Deduction!$C$20</f>
        <v>40</v>
      </c>
      <c r="L20" s="2" t="str">
        <f ca="1">IFERROR(Fixtures_by_Clubs!HO58,"")</f>
        <v>L</v>
      </c>
      <c r="M20" s="2" t="str">
        <f ca="1">IFERROR(Fixtures_by_Clubs!HO57,"")</f>
        <v>W</v>
      </c>
      <c r="N20" s="2" t="str">
        <f ca="1">IFERROR(Fixtures_by_Clubs!HO56,"")</f>
        <v>L</v>
      </c>
      <c r="O20" s="2" t="str">
        <f ca="1">IFERROR(Fixtures_by_Clubs!HO55,"")</f>
        <v>W</v>
      </c>
      <c r="P20" s="2" t="str">
        <f ca="1">IFERROR(Fixtures_by_Clubs!HO54,"")</f>
        <v>L</v>
      </c>
      <c r="Q20" s="4" t="str">
        <f ca="1">IFERROR(Fixtures_by_Clubs!HM58,"BLK")</f>
        <v>Leicester</v>
      </c>
      <c r="R20" s="4" t="str">
        <f ca="1">IFERROR(Fixtures_by_Clubs!HM59,"")</f>
        <v>A</v>
      </c>
      <c r="S20" s="3">
        <f t="shared" si="1"/>
        <v>3987.5461810000002</v>
      </c>
      <c r="T20" s="4">
        <v>19</v>
      </c>
      <c r="U20" s="2"/>
      <c r="V20" s="158"/>
    </row>
    <row r="21" spans="1:22" ht="26.25" x14ac:dyDescent="0.4">
      <c r="A21" s="2">
        <f t="shared" si="0"/>
        <v>13</v>
      </c>
      <c r="B21" s="4" t="s">
        <v>16</v>
      </c>
      <c r="C21" s="4"/>
      <c r="D21" s="4">
        <f>Fixtures_by_Clubs!HV55</f>
        <v>38</v>
      </c>
      <c r="E21" s="4">
        <f>Fixtures_by_Clubs!HV56</f>
        <v>11</v>
      </c>
      <c r="F21" s="4">
        <f>Fixtures_by_Clubs!HV57</f>
        <v>8</v>
      </c>
      <c r="G21" s="4">
        <f>Fixtures_by_Clubs!HV58</f>
        <v>19</v>
      </c>
      <c r="H21" s="4">
        <f>Fixtures_by_Clubs!HY54</f>
        <v>31</v>
      </c>
      <c r="I21" s="4">
        <f>Fixtures_by_Clubs!HY55</f>
        <v>58</v>
      </c>
      <c r="J21" s="4">
        <f>Fixtures_by_Clubs!HY56</f>
        <v>-27</v>
      </c>
      <c r="K21" s="4">
        <f>Fixtures_by_Clubs!HV54-Deduction!$C$21</f>
        <v>41</v>
      </c>
      <c r="L21" s="2" t="str">
        <f ca="1">IFERROR(Fixtures_by_Clubs!IA58,"")</f>
        <v>L</v>
      </c>
      <c r="M21" s="2" t="str">
        <f ca="1">IFERROR(Fixtures_by_Clubs!IA57,"")</f>
        <v>W</v>
      </c>
      <c r="N21" s="2" t="str">
        <f ca="1">IFERROR(Fixtures_by_Clubs!IA56,"")</f>
        <v>L</v>
      </c>
      <c r="O21" s="2" t="str">
        <f ca="1">IFERROR(Fixtures_by_Clubs!IA55,"")</f>
        <v>D</v>
      </c>
      <c r="P21" s="2" t="str">
        <f ca="1">IFERROR(Fixtures_by_Clubs!IA54,"")</f>
        <v>L</v>
      </c>
      <c r="Q21" s="4" t="str">
        <f ca="1">IFERROR(Fixtures_by_Clubs!HY58,"BLK")</f>
        <v>Arsenal</v>
      </c>
      <c r="R21" s="4" t="str">
        <f ca="1">IFERROR(Fixtures_by_Clubs!HY59,"")</f>
        <v>A</v>
      </c>
      <c r="S21" s="3">
        <f t="shared" si="1"/>
        <v>4073.57618</v>
      </c>
      <c r="T21" s="4">
        <v>20</v>
      </c>
      <c r="U21" s="2"/>
      <c r="V21" s="158"/>
    </row>
    <row r="22" spans="1:22" ht="26.25" x14ac:dyDescent="0.4">
      <c r="B22" s="4" t="s">
        <v>627</v>
      </c>
      <c r="T22" s="4"/>
    </row>
    <row r="23" spans="1:22" ht="26.25" x14ac:dyDescent="0.4">
      <c r="T23" s="4"/>
    </row>
    <row r="24" spans="1:22" ht="26.25" x14ac:dyDescent="0.4">
      <c r="T24" s="4"/>
    </row>
    <row r="25" spans="1:22" ht="26.25" x14ac:dyDescent="0.4">
      <c r="T25" s="4"/>
    </row>
    <row r="30" spans="1:22" ht="15.75" x14ac:dyDescent="0.25">
      <c r="B30" s="146"/>
      <c r="C30" s="163"/>
      <c r="E30" s="163"/>
    </row>
    <row r="31" spans="1:22" x14ac:dyDescent="0.25">
      <c r="R31" t="s">
        <v>124</v>
      </c>
    </row>
  </sheetData>
  <mergeCells count="3">
    <mergeCell ref="B1:C1"/>
    <mergeCell ref="L1:P1"/>
    <mergeCell ref="Q1:R1"/>
  </mergeCells>
  <conditionalFormatting sqref="L2:P21">
    <cfRule type="expression" dxfId="2" priority="1">
      <formula>L2="L"</formula>
    </cfRule>
    <cfRule type="expression" dxfId="1" priority="2">
      <formula>L2="W"</formula>
    </cfRule>
    <cfRule type="expression" dxfId="0" priority="3">
      <formula>L2="D"</formula>
    </cfRule>
  </conditionalFormatting>
  <dataValidations disablePrompts="1" count="1">
    <dataValidation type="list" showInputMessage="1" showErrorMessage="1" error="Please select a team" prompt="Select a Club" sqref="V19:V21" xr:uid="{00000000-0002-0000-0200-000000000000}">
      <formula1>$B$2:$B$21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24"/>
  <sheetViews>
    <sheetView showGridLines="0" workbookViewId="0"/>
  </sheetViews>
  <sheetFormatPr defaultRowHeight="15" x14ac:dyDescent="0.25"/>
  <cols>
    <col min="2" max="2" width="32.28515625" customWidth="1"/>
    <col min="3" max="3" width="56.140625" bestFit="1" customWidth="1"/>
  </cols>
  <sheetData>
    <row r="1" spans="1:3" ht="27" thickBot="1" x14ac:dyDescent="0.45">
      <c r="A1" s="233"/>
      <c r="B1" s="234" t="s">
        <v>427</v>
      </c>
      <c r="C1" s="235" t="s">
        <v>428</v>
      </c>
    </row>
    <row r="2" spans="1:3" ht="26.25" x14ac:dyDescent="0.4">
      <c r="A2" s="236"/>
      <c r="B2" s="237" t="s">
        <v>1</v>
      </c>
      <c r="C2" s="238">
        <v>0</v>
      </c>
    </row>
    <row r="3" spans="1:3" ht="26.25" x14ac:dyDescent="0.4">
      <c r="A3" s="236"/>
      <c r="B3" s="237" t="s">
        <v>2</v>
      </c>
      <c r="C3" s="238">
        <v>0</v>
      </c>
    </row>
    <row r="4" spans="1:3" ht="26.25" x14ac:dyDescent="0.4">
      <c r="A4" s="236"/>
      <c r="B4" s="237" t="s">
        <v>3</v>
      </c>
      <c r="C4" s="238">
        <v>0</v>
      </c>
    </row>
    <row r="5" spans="1:3" ht="26.25" x14ac:dyDescent="0.4">
      <c r="A5" s="236"/>
      <c r="B5" s="237" t="s">
        <v>125</v>
      </c>
      <c r="C5" s="238">
        <v>0</v>
      </c>
    </row>
    <row r="6" spans="1:3" ht="26.25" x14ac:dyDescent="0.4">
      <c r="A6" s="236"/>
      <c r="B6" s="237" t="s">
        <v>4</v>
      </c>
      <c r="C6" s="238">
        <v>0</v>
      </c>
    </row>
    <row r="7" spans="1:3" ht="26.25" x14ac:dyDescent="0.4">
      <c r="A7" s="236"/>
      <c r="B7" s="237" t="s">
        <v>5</v>
      </c>
      <c r="C7" s="238">
        <v>0</v>
      </c>
    </row>
    <row r="8" spans="1:3" ht="26.25" x14ac:dyDescent="0.4">
      <c r="A8" s="236"/>
      <c r="B8" s="237" t="s">
        <v>6</v>
      </c>
      <c r="C8" s="238">
        <v>0</v>
      </c>
    </row>
    <row r="9" spans="1:3" ht="26.25" x14ac:dyDescent="0.4">
      <c r="A9" s="236"/>
      <c r="B9" s="237" t="s">
        <v>7</v>
      </c>
      <c r="C9" s="238">
        <v>0</v>
      </c>
    </row>
    <row r="10" spans="1:3" ht="26.25" x14ac:dyDescent="0.4">
      <c r="A10" s="236"/>
      <c r="B10" s="237" t="s">
        <v>126</v>
      </c>
      <c r="C10" s="238">
        <v>0</v>
      </c>
    </row>
    <row r="11" spans="1:3" ht="26.25" x14ac:dyDescent="0.4">
      <c r="A11" s="236"/>
      <c r="B11" s="237" t="s">
        <v>139</v>
      </c>
      <c r="C11" s="238">
        <v>0</v>
      </c>
    </row>
    <row r="12" spans="1:3" ht="26.25" x14ac:dyDescent="0.4">
      <c r="A12" s="236"/>
      <c r="B12" s="237" t="s">
        <v>8</v>
      </c>
      <c r="C12" s="238">
        <v>0</v>
      </c>
    </row>
    <row r="13" spans="1:3" ht="26.25" x14ac:dyDescent="0.4">
      <c r="A13" s="236"/>
      <c r="B13" s="237" t="s">
        <v>9</v>
      </c>
      <c r="C13" s="238">
        <v>0</v>
      </c>
    </row>
    <row r="14" spans="1:3" ht="26.25" x14ac:dyDescent="0.4">
      <c r="A14" s="236"/>
      <c r="B14" s="237" t="s">
        <v>10</v>
      </c>
      <c r="C14" s="238">
        <v>0</v>
      </c>
    </row>
    <row r="15" spans="1:3" ht="26.25" x14ac:dyDescent="0.4">
      <c r="A15" s="236"/>
      <c r="B15" s="237" t="s">
        <v>11</v>
      </c>
      <c r="C15" s="238">
        <v>0</v>
      </c>
    </row>
    <row r="16" spans="1:3" ht="26.25" x14ac:dyDescent="0.4">
      <c r="A16" s="236"/>
      <c r="B16" s="237" t="s">
        <v>12</v>
      </c>
      <c r="C16" s="238">
        <v>0</v>
      </c>
    </row>
    <row r="17" spans="1:3" ht="26.25" x14ac:dyDescent="0.4">
      <c r="A17" s="236"/>
      <c r="B17" s="237" t="s">
        <v>204</v>
      </c>
      <c r="C17" s="238">
        <v>0</v>
      </c>
    </row>
    <row r="18" spans="1:3" ht="26.25" x14ac:dyDescent="0.4">
      <c r="A18" s="236"/>
      <c r="B18" s="237" t="s">
        <v>13</v>
      </c>
      <c r="C18" s="238">
        <v>0</v>
      </c>
    </row>
    <row r="19" spans="1:3" ht="26.25" x14ac:dyDescent="0.4">
      <c r="A19" s="236"/>
      <c r="B19" s="237" t="s">
        <v>14</v>
      </c>
      <c r="C19" s="238">
        <v>0</v>
      </c>
    </row>
    <row r="20" spans="1:3" ht="26.25" x14ac:dyDescent="0.4">
      <c r="A20" s="236"/>
      <c r="B20" s="237" t="s">
        <v>15</v>
      </c>
      <c r="C20" s="238">
        <v>0</v>
      </c>
    </row>
    <row r="21" spans="1:3" ht="27" thickBot="1" x14ac:dyDescent="0.45">
      <c r="A21" s="239"/>
      <c r="B21" s="240" t="s">
        <v>16</v>
      </c>
      <c r="C21" s="241">
        <v>0</v>
      </c>
    </row>
    <row r="24" spans="1:3" x14ac:dyDescent="0.25">
      <c r="A24" s="88" t="s">
        <v>592</v>
      </c>
    </row>
  </sheetData>
  <sheetProtection algorithmName="SHA-512" hashValue="V2Qmm8hmklgz62ZGFv99AWtKhO51mWJNHEyuFWyCNqvhmVx619hpm7q1qqAO+p3h6i08jvQInupBC8x/7febfQ==" saltValue="zu5syUmK65kotfBnQp3c9w==" spinCount="100000" sheet="1" objects="1" scenarios="1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7"/>
  <dimension ref="A1:AZ386"/>
  <sheetViews>
    <sheetView showGridLines="0" topLeftCell="A2" zoomScale="85" zoomScaleNormal="85" workbookViewId="0">
      <selection activeCell="A2" sqref="A2"/>
    </sheetView>
  </sheetViews>
  <sheetFormatPr defaultRowHeight="21" customHeight="1" x14ac:dyDescent="0.25"/>
  <cols>
    <col min="1" max="1" width="12.28515625" style="208" customWidth="1"/>
    <col min="2" max="2" width="34.28515625" style="218" customWidth="1"/>
    <col min="3" max="3" width="20.28515625" style="209" customWidth="1"/>
    <col min="4" max="7" width="17.28515625" style="206" hidden="1" customWidth="1"/>
    <col min="8" max="8" width="33.5703125" style="37" customWidth="1"/>
    <col min="9" max="9" width="30.42578125" style="37" customWidth="1"/>
    <col min="10" max="10" width="14.85546875" style="80" bestFit="1" customWidth="1"/>
    <col min="11" max="11" width="12.5703125" style="37" customWidth="1"/>
    <col min="12" max="12" width="12.28515625" style="37" customWidth="1"/>
    <col min="13" max="13" width="14.85546875" style="81" bestFit="1" customWidth="1"/>
    <col min="14" max="14" width="18.42578125" hidden="1" customWidth="1"/>
    <col min="15" max="15" width="18.42578125" style="55" hidden="1" customWidth="1"/>
    <col min="16" max="16" width="12.28515625" style="55" hidden="1" customWidth="1"/>
    <col min="17" max="17" width="6.42578125" style="55" hidden="1" customWidth="1"/>
    <col min="18" max="18" width="18" style="83" customWidth="1"/>
    <col min="19" max="19" width="17.7109375" style="83" customWidth="1"/>
    <col min="20" max="21" width="20.7109375" style="84" hidden="1" customWidth="1"/>
    <col min="22" max="22" width="8.5703125" style="58" customWidth="1"/>
    <col min="23" max="23" width="9.7109375" style="58" customWidth="1"/>
    <col min="24" max="24" width="8.7109375" style="58" customWidth="1"/>
    <col min="25" max="25" width="12" style="85" hidden="1" customWidth="1"/>
    <col min="26" max="26" width="11.5703125" style="85" hidden="1" customWidth="1"/>
    <col min="27" max="27" width="10.5703125" style="51" hidden="1" customWidth="1"/>
    <col min="28" max="28" width="10.140625" style="51" hidden="1" customWidth="1"/>
    <col min="29" max="29" width="21.42578125" style="63" hidden="1" customWidth="1"/>
    <col min="30" max="31" width="21.42578125" style="38" hidden="1" customWidth="1"/>
    <col min="32" max="33" width="9.28515625" style="207" customWidth="1"/>
    <col min="34" max="34" width="11.5703125" bestFit="1" customWidth="1"/>
    <col min="35" max="35" width="13.42578125" bestFit="1" customWidth="1"/>
    <col min="36" max="36" width="10.28515625" bestFit="1" customWidth="1"/>
    <col min="37" max="37" width="11.140625" bestFit="1" customWidth="1"/>
    <col min="38" max="38" width="16.28515625" bestFit="1" customWidth="1"/>
    <col min="39" max="39" width="14.85546875" bestFit="1" customWidth="1"/>
    <col min="40" max="42" width="9.140625" customWidth="1"/>
    <col min="43" max="43" width="13.42578125" bestFit="1" customWidth="1"/>
    <col min="44" max="44" width="13.85546875" bestFit="1" customWidth="1"/>
    <col min="45" max="45" width="12.7109375" bestFit="1" customWidth="1"/>
    <col min="46" max="46" width="13.42578125" customWidth="1"/>
    <col min="47" max="47" width="6.7109375" bestFit="1" customWidth="1"/>
    <col min="48" max="48" width="6.85546875" bestFit="1" customWidth="1"/>
    <col min="49" max="49" width="15.140625" bestFit="1" customWidth="1"/>
    <col min="50" max="50" width="14.42578125" style="38" bestFit="1" customWidth="1"/>
    <col min="51" max="51" width="11.7109375" style="38" bestFit="1" customWidth="1"/>
    <col min="52" max="52" width="12.28515625" style="38" bestFit="1" customWidth="1"/>
    <col min="53" max="16384" width="9.140625" style="38"/>
  </cols>
  <sheetData>
    <row r="1" spans="1:52" s="424" customFormat="1" ht="45.75" customHeight="1" thickBot="1" x14ac:dyDescent="0.3">
      <c r="A1" s="426" t="s">
        <v>102</v>
      </c>
      <c r="B1" s="427" t="s">
        <v>27</v>
      </c>
      <c r="C1" s="428" t="s">
        <v>141</v>
      </c>
      <c r="D1" s="429" t="s">
        <v>137</v>
      </c>
      <c r="E1" s="430" t="s">
        <v>136</v>
      </c>
      <c r="F1" s="430" t="s">
        <v>135</v>
      </c>
      <c r="G1" s="431" t="s">
        <v>138</v>
      </c>
      <c r="H1" s="432" t="s">
        <v>29</v>
      </c>
      <c r="I1" s="433" t="s">
        <v>30</v>
      </c>
      <c r="J1" s="434" t="s">
        <v>31</v>
      </c>
      <c r="K1" s="435" t="s">
        <v>32</v>
      </c>
      <c r="L1" s="435" t="s">
        <v>33</v>
      </c>
      <c r="M1" s="436" t="s">
        <v>34</v>
      </c>
      <c r="N1" s="437" t="s">
        <v>35</v>
      </c>
      <c r="O1" s="438" t="s">
        <v>36</v>
      </c>
      <c r="P1" s="438" t="s">
        <v>37</v>
      </c>
      <c r="Q1" s="429" t="s">
        <v>38</v>
      </c>
      <c r="R1" s="439" t="s">
        <v>422</v>
      </c>
      <c r="S1" s="439" t="s">
        <v>421</v>
      </c>
      <c r="T1" s="440" t="s">
        <v>39</v>
      </c>
      <c r="U1" s="441" t="s">
        <v>40</v>
      </c>
      <c r="V1" s="442" t="s">
        <v>41</v>
      </c>
      <c r="W1" s="443" t="s">
        <v>42</v>
      </c>
      <c r="X1" s="443" t="s">
        <v>43</v>
      </c>
      <c r="Y1" s="417" t="s">
        <v>44</v>
      </c>
      <c r="Z1" s="418" t="s">
        <v>45</v>
      </c>
      <c r="AA1" s="419" t="s">
        <v>46</v>
      </c>
      <c r="AB1" s="420" t="s">
        <v>47</v>
      </c>
      <c r="AC1" s="165" t="s">
        <v>142</v>
      </c>
      <c r="AD1" s="421" t="s">
        <v>143</v>
      </c>
      <c r="AE1" s="422" t="s">
        <v>144</v>
      </c>
      <c r="AF1" s="423"/>
      <c r="AG1" s="423"/>
      <c r="AX1" s="425"/>
      <c r="AY1" s="425"/>
      <c r="AZ1" s="425"/>
    </row>
    <row r="2" spans="1:52" ht="21" customHeight="1" thickBot="1" x14ac:dyDescent="0.3">
      <c r="A2" s="444">
        <v>1</v>
      </c>
      <c r="B2" s="219">
        <v>44778</v>
      </c>
      <c r="C2" s="230">
        <v>44778.625</v>
      </c>
      <c r="D2" s="256">
        <v>44778.833333333336</v>
      </c>
      <c r="E2" s="256">
        <v>44778.875</v>
      </c>
      <c r="F2" s="256">
        <v>44778.916666666664</v>
      </c>
      <c r="G2" s="257">
        <v>44778.916666666664</v>
      </c>
      <c r="H2" s="225" t="s">
        <v>191</v>
      </c>
      <c r="I2" s="222" t="s">
        <v>52</v>
      </c>
      <c r="J2" s="242" t="s">
        <v>6</v>
      </c>
      <c r="K2" s="496">
        <v>0</v>
      </c>
      <c r="L2" s="496">
        <v>2</v>
      </c>
      <c r="M2" s="247" t="s">
        <v>1</v>
      </c>
      <c r="N2" s="41">
        <v>45122.417974537035</v>
      </c>
      <c r="O2" s="42" t="s">
        <v>49</v>
      </c>
      <c r="P2" s="43" t="s">
        <v>603</v>
      </c>
      <c r="Q2" s="44"/>
      <c r="R2" s="212">
        <v>1</v>
      </c>
      <c r="S2" s="212">
        <v>2</v>
      </c>
      <c r="T2" s="45">
        <v>1.0900996923446655</v>
      </c>
      <c r="U2" s="46">
        <v>1.7709996700286865</v>
      </c>
      <c r="V2" s="213">
        <v>0.2327978817220345</v>
      </c>
      <c r="W2" s="214">
        <v>0.23387395000006994</v>
      </c>
      <c r="X2" s="214">
        <v>0.53083711862564087</v>
      </c>
      <c r="Y2" s="47">
        <v>0</v>
      </c>
      <c r="Z2" s="48">
        <v>2</v>
      </c>
      <c r="AA2" s="49"/>
      <c r="AB2" s="50"/>
      <c r="AC2" s="75">
        <f t="shared" ref="AC2:AC65" si="0">IF(C2&lt;&gt;"TBC",C2-1/24,"TBC")</f>
        <v>44778.583333333336</v>
      </c>
      <c r="AD2" s="76">
        <f t="shared" ref="AD2:AD65" si="1">IF(C2&lt;&gt;"TBC",C2-1/12,"TBC")</f>
        <v>44778.541666666664</v>
      </c>
      <c r="AE2" s="77">
        <f t="shared" ref="AE2:AE65" si="2">IF(C2&lt;&gt;"TBC",C2-1/8,"TBC")</f>
        <v>44778.5</v>
      </c>
    </row>
    <row r="3" spans="1:52" ht="21" customHeight="1" thickBot="1" x14ac:dyDescent="0.3">
      <c r="A3" s="445">
        <v>1</v>
      </c>
      <c r="B3" s="220">
        <v>44779</v>
      </c>
      <c r="C3" s="228">
        <v>44779.3125</v>
      </c>
      <c r="D3" s="493">
        <v>44779.520833333336</v>
      </c>
      <c r="E3" s="493">
        <v>44779.5625</v>
      </c>
      <c r="F3" s="493">
        <v>44779.604166666664</v>
      </c>
      <c r="G3" s="258">
        <v>44779.604166666664</v>
      </c>
      <c r="H3" s="226" t="s">
        <v>430</v>
      </c>
      <c r="I3" s="223" t="s">
        <v>431</v>
      </c>
      <c r="J3" s="243" t="s">
        <v>126</v>
      </c>
      <c r="K3" s="497">
        <v>2</v>
      </c>
      <c r="L3" s="497">
        <v>2</v>
      </c>
      <c r="M3" s="248" t="s">
        <v>9</v>
      </c>
      <c r="N3" s="52">
        <v>45122.417974537035</v>
      </c>
      <c r="O3" s="53" t="s">
        <v>49</v>
      </c>
      <c r="P3" s="54" t="s">
        <v>603</v>
      </c>
      <c r="R3" s="210">
        <v>1</v>
      </c>
      <c r="S3" s="210">
        <v>2</v>
      </c>
      <c r="T3" s="56">
        <v>1.1670997142791748</v>
      </c>
      <c r="U3" s="57">
        <v>2.1609997749328613</v>
      </c>
      <c r="V3" s="215">
        <v>0.19747711208626101</v>
      </c>
      <c r="W3" s="494">
        <v>0.20210738035064621</v>
      </c>
      <c r="X3" s="494">
        <v>0.59340089559555054</v>
      </c>
      <c r="Y3" s="59">
        <v>2</v>
      </c>
      <c r="Z3" s="60">
        <v>2</v>
      </c>
      <c r="AA3" s="61"/>
      <c r="AB3" s="62"/>
      <c r="AC3" s="39">
        <f t="shared" si="0"/>
        <v>44779.270833333336</v>
      </c>
      <c r="AD3" s="495">
        <f t="shared" si="1"/>
        <v>44779.229166666664</v>
      </c>
      <c r="AE3" s="40">
        <f t="shared" si="2"/>
        <v>44779.1875</v>
      </c>
    </row>
    <row r="4" spans="1:52" ht="21" customHeight="1" thickBot="1" x14ac:dyDescent="0.3">
      <c r="A4" s="445">
        <v>1</v>
      </c>
      <c r="B4" s="220">
        <v>44779</v>
      </c>
      <c r="C4" s="228">
        <v>44779.416666666664</v>
      </c>
      <c r="D4" s="493">
        <v>44779.625</v>
      </c>
      <c r="E4" s="493">
        <v>44779.666666666664</v>
      </c>
      <c r="F4" s="493">
        <v>44779.708333333336</v>
      </c>
      <c r="G4" s="258">
        <v>44779.708333333336</v>
      </c>
      <c r="H4" s="226" t="s">
        <v>432</v>
      </c>
      <c r="I4" s="223" t="s">
        <v>51</v>
      </c>
      <c r="J4" s="243" t="s">
        <v>3</v>
      </c>
      <c r="K4" s="497">
        <v>2</v>
      </c>
      <c r="L4" s="497">
        <v>0</v>
      </c>
      <c r="M4" s="248" t="s">
        <v>2</v>
      </c>
      <c r="N4" s="52">
        <v>45122.417974537035</v>
      </c>
      <c r="O4" s="53" t="s">
        <v>49</v>
      </c>
      <c r="P4" s="54" t="s">
        <v>603</v>
      </c>
      <c r="R4" s="210">
        <v>1</v>
      </c>
      <c r="S4" s="210">
        <v>2</v>
      </c>
      <c r="T4" s="56">
        <v>1.0240997076034546</v>
      </c>
      <c r="U4" s="57">
        <v>1.7009998559951782</v>
      </c>
      <c r="V4" s="215">
        <v>0.22737408771286094</v>
      </c>
      <c r="W4" s="494">
        <v>0.24017807805856126</v>
      </c>
      <c r="X4" s="494">
        <v>0.53047043085098267</v>
      </c>
      <c r="Y4" s="59">
        <v>2</v>
      </c>
      <c r="Z4" s="60">
        <v>0</v>
      </c>
      <c r="AA4" s="61"/>
      <c r="AB4" s="62"/>
      <c r="AC4" s="39">
        <f t="shared" si="0"/>
        <v>44779.375</v>
      </c>
      <c r="AD4" s="495">
        <f t="shared" si="1"/>
        <v>44779.333333333328</v>
      </c>
      <c r="AE4" s="40">
        <f t="shared" si="2"/>
        <v>44779.291666666664</v>
      </c>
    </row>
    <row r="5" spans="1:52" ht="21" customHeight="1" thickBot="1" x14ac:dyDescent="0.3">
      <c r="A5" s="445">
        <v>1</v>
      </c>
      <c r="B5" s="220">
        <v>44779</v>
      </c>
      <c r="C5" s="228">
        <v>44779.416666666664</v>
      </c>
      <c r="D5" s="493">
        <v>44779.625</v>
      </c>
      <c r="E5" s="493">
        <v>44779.666666666664</v>
      </c>
      <c r="F5" s="493">
        <v>44779.708333333336</v>
      </c>
      <c r="G5" s="258">
        <v>44779.708333333336</v>
      </c>
      <c r="H5" s="226" t="s">
        <v>252</v>
      </c>
      <c r="I5" s="223" t="s">
        <v>140</v>
      </c>
      <c r="J5" s="243" t="s">
        <v>139</v>
      </c>
      <c r="K5" s="497">
        <v>2</v>
      </c>
      <c r="L5" s="497">
        <v>1</v>
      </c>
      <c r="M5" s="248" t="s">
        <v>16</v>
      </c>
      <c r="N5" s="52">
        <v>45122.417974537035</v>
      </c>
      <c r="O5" s="53" t="s">
        <v>49</v>
      </c>
      <c r="P5" s="54" t="s">
        <v>603</v>
      </c>
      <c r="R5" s="210">
        <v>1</v>
      </c>
      <c r="S5" s="210">
        <v>1</v>
      </c>
      <c r="T5" s="56">
        <v>1.4200997352600098</v>
      </c>
      <c r="U5" s="57">
        <v>1.3809996843338013</v>
      </c>
      <c r="V5" s="215">
        <v>0.38184235830752128</v>
      </c>
      <c r="W5" s="494">
        <v>0.25269326304437345</v>
      </c>
      <c r="X5" s="494">
        <v>0.36421406269073486</v>
      </c>
      <c r="Y5" s="59">
        <v>2</v>
      </c>
      <c r="Z5" s="60">
        <v>1</v>
      </c>
      <c r="AA5" s="61"/>
      <c r="AB5" s="62"/>
      <c r="AC5" s="39">
        <f t="shared" si="0"/>
        <v>44779.375</v>
      </c>
      <c r="AD5" s="495">
        <f t="shared" si="1"/>
        <v>44779.333333333328</v>
      </c>
      <c r="AE5" s="40">
        <f t="shared" si="2"/>
        <v>44779.291666666664</v>
      </c>
    </row>
    <row r="6" spans="1:52" ht="21" customHeight="1" thickBot="1" x14ac:dyDescent="0.3">
      <c r="A6" s="445">
        <v>1</v>
      </c>
      <c r="B6" s="220">
        <v>44779</v>
      </c>
      <c r="C6" s="228">
        <v>44779.416666666664</v>
      </c>
      <c r="D6" s="493">
        <v>44779.625</v>
      </c>
      <c r="E6" s="493">
        <v>44779.666666666664</v>
      </c>
      <c r="F6" s="493">
        <v>44779.708333333336</v>
      </c>
      <c r="G6" s="258">
        <v>44779.708333333336</v>
      </c>
      <c r="H6" s="226" t="s">
        <v>433</v>
      </c>
      <c r="I6" s="223" t="s">
        <v>55</v>
      </c>
      <c r="J6" s="243" t="s">
        <v>12</v>
      </c>
      <c r="K6" s="497">
        <v>2</v>
      </c>
      <c r="L6" s="497">
        <v>0</v>
      </c>
      <c r="M6" s="248" t="s">
        <v>204</v>
      </c>
      <c r="N6" s="52">
        <v>45122.417974537035</v>
      </c>
      <c r="O6" s="53" t="s">
        <v>49</v>
      </c>
      <c r="P6" s="54" t="s">
        <v>603</v>
      </c>
      <c r="R6" s="210">
        <v>2</v>
      </c>
      <c r="S6" s="210">
        <v>0</v>
      </c>
      <c r="T6" s="56">
        <v>2.1240997314453125</v>
      </c>
      <c r="U6" s="57">
        <v>0.64099973440170288</v>
      </c>
      <c r="V6" s="215">
        <v>0.71183748915409428</v>
      </c>
      <c r="W6" s="494">
        <v>0.18270170732709931</v>
      </c>
      <c r="X6" s="494">
        <v>9.9234201014041901E-2</v>
      </c>
      <c r="Y6" s="59">
        <v>2</v>
      </c>
      <c r="Z6" s="60">
        <v>0</v>
      </c>
      <c r="AA6" s="61"/>
      <c r="AB6" s="62"/>
      <c r="AC6" s="39">
        <f t="shared" si="0"/>
        <v>44779.375</v>
      </c>
      <c r="AD6" s="495">
        <f t="shared" si="1"/>
        <v>44779.333333333328</v>
      </c>
      <c r="AE6" s="40">
        <f t="shared" si="2"/>
        <v>44779.291666666664</v>
      </c>
    </row>
    <row r="7" spans="1:52" ht="21" customHeight="1" thickBot="1" x14ac:dyDescent="0.3">
      <c r="A7" s="445">
        <v>1</v>
      </c>
      <c r="B7" s="220">
        <v>44779</v>
      </c>
      <c r="C7" s="228">
        <v>44779.416666666664</v>
      </c>
      <c r="D7" s="493">
        <v>44779.625</v>
      </c>
      <c r="E7" s="493">
        <v>44779.666666666664</v>
      </c>
      <c r="F7" s="493">
        <v>44779.708333333336</v>
      </c>
      <c r="G7" s="258">
        <v>44779.708333333336</v>
      </c>
      <c r="H7" s="226" t="s">
        <v>340</v>
      </c>
      <c r="I7" s="223" t="s">
        <v>53</v>
      </c>
      <c r="J7" s="243" t="s">
        <v>14</v>
      </c>
      <c r="K7" s="497">
        <v>4</v>
      </c>
      <c r="L7" s="497">
        <v>1</v>
      </c>
      <c r="M7" s="248" t="s">
        <v>13</v>
      </c>
      <c r="N7" s="52">
        <v>45122.417974537035</v>
      </c>
      <c r="O7" s="53" t="s">
        <v>49</v>
      </c>
      <c r="P7" s="54" t="s">
        <v>603</v>
      </c>
      <c r="R7" s="210">
        <v>2</v>
      </c>
      <c r="S7" s="210">
        <v>1</v>
      </c>
      <c r="T7" s="56">
        <v>1.8710998296737671</v>
      </c>
      <c r="U7" s="57">
        <v>1.0009998083114624</v>
      </c>
      <c r="V7" s="215">
        <v>0.57422498616348749</v>
      </c>
      <c r="W7" s="494">
        <v>0.22380422373978917</v>
      </c>
      <c r="X7" s="494">
        <v>0.19871492683887482</v>
      </c>
      <c r="Y7" s="59">
        <v>4</v>
      </c>
      <c r="Z7" s="60">
        <v>1</v>
      </c>
      <c r="AA7" s="61"/>
      <c r="AB7" s="62"/>
      <c r="AC7" s="39">
        <f t="shared" si="0"/>
        <v>44779.375</v>
      </c>
      <c r="AD7" s="495">
        <f t="shared" si="1"/>
        <v>44779.333333333328</v>
      </c>
      <c r="AE7" s="40">
        <f t="shared" si="2"/>
        <v>44779.291666666664</v>
      </c>
    </row>
    <row r="8" spans="1:52" ht="21" customHeight="1" thickBot="1" x14ac:dyDescent="0.3">
      <c r="A8" s="445">
        <v>1</v>
      </c>
      <c r="B8" s="220">
        <v>44779</v>
      </c>
      <c r="C8" s="228">
        <v>44779.520833333336</v>
      </c>
      <c r="D8" s="493">
        <v>44779.729166666664</v>
      </c>
      <c r="E8" s="493">
        <v>44779.770833333336</v>
      </c>
      <c r="F8" s="493">
        <v>44779.8125</v>
      </c>
      <c r="G8" s="258">
        <v>44779.8125</v>
      </c>
      <c r="H8" s="226" t="s">
        <v>197</v>
      </c>
      <c r="I8" s="223" t="s">
        <v>59</v>
      </c>
      <c r="J8" s="243" t="s">
        <v>7</v>
      </c>
      <c r="K8" s="497">
        <v>0</v>
      </c>
      <c r="L8" s="497">
        <v>1</v>
      </c>
      <c r="M8" s="248" t="s">
        <v>5</v>
      </c>
      <c r="N8" s="52">
        <v>45122.417974537035</v>
      </c>
      <c r="O8" s="53" t="s">
        <v>49</v>
      </c>
      <c r="P8" s="54" t="s">
        <v>603</v>
      </c>
      <c r="R8" s="210">
        <v>1</v>
      </c>
      <c r="S8" s="210">
        <v>2</v>
      </c>
      <c r="T8" s="56">
        <v>0.90309977531433105</v>
      </c>
      <c r="U8" s="57">
        <v>1.6609998941421509</v>
      </c>
      <c r="V8" s="215">
        <v>0.20378673292977434</v>
      </c>
      <c r="W8" s="494">
        <v>0.24372113992451289</v>
      </c>
      <c r="X8" s="494">
        <v>0.55080026388168335</v>
      </c>
      <c r="Y8" s="59">
        <v>0</v>
      </c>
      <c r="Z8" s="60">
        <v>1</v>
      </c>
      <c r="AA8" s="61"/>
      <c r="AB8" s="62"/>
      <c r="AC8" s="39">
        <f t="shared" si="0"/>
        <v>44779.479166666672</v>
      </c>
      <c r="AD8" s="495">
        <f t="shared" si="1"/>
        <v>44779.4375</v>
      </c>
      <c r="AE8" s="40">
        <f t="shared" si="2"/>
        <v>44779.395833333336</v>
      </c>
    </row>
    <row r="9" spans="1:52" ht="21" customHeight="1" thickBot="1" x14ac:dyDescent="0.3">
      <c r="A9" s="445">
        <v>1</v>
      </c>
      <c r="B9" s="220">
        <v>44780</v>
      </c>
      <c r="C9" s="228">
        <v>44780.375</v>
      </c>
      <c r="D9" s="493">
        <v>44780.583333333336</v>
      </c>
      <c r="E9" s="493">
        <v>44780.625</v>
      </c>
      <c r="F9" s="493">
        <v>44780.666666666664</v>
      </c>
      <c r="G9" s="258">
        <v>44780.666666666664</v>
      </c>
      <c r="H9" s="226" t="s">
        <v>371</v>
      </c>
      <c r="I9" s="223" t="s">
        <v>54</v>
      </c>
      <c r="J9" s="243" t="s">
        <v>8</v>
      </c>
      <c r="K9" s="497">
        <v>2</v>
      </c>
      <c r="L9" s="497">
        <v>2</v>
      </c>
      <c r="M9" s="248" t="s">
        <v>125</v>
      </c>
      <c r="N9" s="52">
        <v>45122.417974537035</v>
      </c>
      <c r="O9" s="53" t="s">
        <v>49</v>
      </c>
      <c r="P9" s="54" t="s">
        <v>603</v>
      </c>
      <c r="R9" s="210">
        <v>2</v>
      </c>
      <c r="S9" s="210">
        <v>2</v>
      </c>
      <c r="T9" s="56">
        <v>1.3980997800827026</v>
      </c>
      <c r="U9" s="57">
        <v>1.5609997510910034</v>
      </c>
      <c r="V9" s="215">
        <v>0.34136307980499941</v>
      </c>
      <c r="W9" s="494">
        <v>0.24402603845609117</v>
      </c>
      <c r="X9" s="494">
        <v>0.41283231973648071</v>
      </c>
      <c r="Y9" s="59">
        <v>2</v>
      </c>
      <c r="Z9" s="60">
        <v>2</v>
      </c>
      <c r="AA9" s="61"/>
      <c r="AB9" s="62"/>
      <c r="AC9" s="39">
        <f t="shared" si="0"/>
        <v>44780.333333333336</v>
      </c>
      <c r="AD9" s="495">
        <f t="shared" si="1"/>
        <v>44780.291666666664</v>
      </c>
      <c r="AE9" s="40">
        <f t="shared" si="2"/>
        <v>44780.25</v>
      </c>
    </row>
    <row r="10" spans="1:52" ht="21" customHeight="1" thickBot="1" x14ac:dyDescent="0.3">
      <c r="A10" s="445">
        <v>1</v>
      </c>
      <c r="B10" s="220">
        <v>44780</v>
      </c>
      <c r="C10" s="228">
        <v>44780.375</v>
      </c>
      <c r="D10" s="493">
        <v>44780.583333333336</v>
      </c>
      <c r="E10" s="493">
        <v>44780.625</v>
      </c>
      <c r="F10" s="493">
        <v>44780.666666666664</v>
      </c>
      <c r="G10" s="258">
        <v>44780.666666666664</v>
      </c>
      <c r="H10" s="226" t="s">
        <v>302</v>
      </c>
      <c r="I10" s="223" t="s">
        <v>56</v>
      </c>
      <c r="J10" s="243" t="s">
        <v>11</v>
      </c>
      <c r="K10" s="497">
        <v>1</v>
      </c>
      <c r="L10" s="497">
        <v>2</v>
      </c>
      <c r="M10" s="248" t="s">
        <v>4</v>
      </c>
      <c r="N10" s="52">
        <v>45122.417974537035</v>
      </c>
      <c r="O10" s="53" t="s">
        <v>49</v>
      </c>
      <c r="P10" s="54" t="s">
        <v>603</v>
      </c>
      <c r="R10" s="210">
        <v>2</v>
      </c>
      <c r="S10" s="210">
        <v>2</v>
      </c>
      <c r="T10" s="56">
        <v>1.6180998086929321</v>
      </c>
      <c r="U10" s="57">
        <v>1.7409998178482056</v>
      </c>
      <c r="V10" s="215">
        <v>0.35913915015729242</v>
      </c>
      <c r="W10" s="494">
        <v>0.22753995040768399</v>
      </c>
      <c r="X10" s="494">
        <v>0.40976142883300781</v>
      </c>
      <c r="Y10" s="59">
        <v>1</v>
      </c>
      <c r="Z10" s="60">
        <v>2</v>
      </c>
      <c r="AA10" s="61"/>
      <c r="AB10" s="62"/>
      <c r="AC10" s="39">
        <f t="shared" si="0"/>
        <v>44780.333333333336</v>
      </c>
      <c r="AD10" s="495">
        <f t="shared" si="1"/>
        <v>44780.291666666664</v>
      </c>
      <c r="AE10" s="40">
        <f t="shared" si="2"/>
        <v>44780.25</v>
      </c>
    </row>
    <row r="11" spans="1:52" ht="21" customHeight="1" thickBot="1" x14ac:dyDescent="0.3">
      <c r="A11" s="445">
        <v>1</v>
      </c>
      <c r="B11" s="220">
        <v>44780</v>
      </c>
      <c r="C11" s="228">
        <v>44780.479166666664</v>
      </c>
      <c r="D11" s="493">
        <v>44780.6875</v>
      </c>
      <c r="E11" s="493">
        <v>44780.729166666664</v>
      </c>
      <c r="F11" s="493">
        <v>44780.770833333336</v>
      </c>
      <c r="G11" s="258">
        <v>44780.770833333336</v>
      </c>
      <c r="H11" s="226" t="s">
        <v>414</v>
      </c>
      <c r="I11" s="223" t="s">
        <v>50</v>
      </c>
      <c r="J11" s="243" t="s">
        <v>15</v>
      </c>
      <c r="K11" s="497">
        <v>0</v>
      </c>
      <c r="L11" s="497">
        <v>2</v>
      </c>
      <c r="M11" s="248" t="s">
        <v>10</v>
      </c>
      <c r="N11" s="52">
        <v>45122.417974537035</v>
      </c>
      <c r="O11" s="53" t="s">
        <v>49</v>
      </c>
      <c r="P11" s="54" t="s">
        <v>603</v>
      </c>
      <c r="R11" s="210">
        <v>1</v>
      </c>
      <c r="S11" s="210">
        <v>2</v>
      </c>
      <c r="T11" s="56">
        <v>0.90309971570968628</v>
      </c>
      <c r="U11" s="57">
        <v>2.2709999084472656</v>
      </c>
      <c r="V11" s="215">
        <v>0.13482536058162306</v>
      </c>
      <c r="W11" s="494">
        <v>0.18303678958479566</v>
      </c>
      <c r="X11" s="494">
        <v>0.67331588268280029</v>
      </c>
      <c r="Y11" s="59">
        <v>0</v>
      </c>
      <c r="Z11" s="60">
        <v>2</v>
      </c>
      <c r="AA11" s="61"/>
      <c r="AB11" s="62"/>
      <c r="AC11" s="39">
        <f t="shared" si="0"/>
        <v>44780.4375</v>
      </c>
      <c r="AD11" s="495">
        <f t="shared" si="1"/>
        <v>44780.395833333328</v>
      </c>
      <c r="AE11" s="40">
        <f t="shared" si="2"/>
        <v>44780.354166666664</v>
      </c>
    </row>
    <row r="12" spans="1:52" ht="21" customHeight="1" thickBot="1" x14ac:dyDescent="0.3">
      <c r="A12" s="444">
        <v>2</v>
      </c>
      <c r="B12" s="219">
        <v>44786</v>
      </c>
      <c r="C12" s="230">
        <v>44786.3125</v>
      </c>
      <c r="D12" s="256">
        <v>44786.520833333336</v>
      </c>
      <c r="E12" s="256">
        <v>44786.5625</v>
      </c>
      <c r="F12" s="256">
        <v>44786.604166666664</v>
      </c>
      <c r="G12" s="257">
        <v>44786.604166666664</v>
      </c>
      <c r="H12" s="225" t="s">
        <v>156</v>
      </c>
      <c r="I12" s="222" t="s">
        <v>58</v>
      </c>
      <c r="J12" s="242" t="s">
        <v>2</v>
      </c>
      <c r="K12" s="497">
        <v>2</v>
      </c>
      <c r="L12" s="497">
        <v>1</v>
      </c>
      <c r="M12" s="247" t="s">
        <v>7</v>
      </c>
      <c r="N12" s="41">
        <v>45122.417974537035</v>
      </c>
      <c r="O12" s="42" t="s">
        <v>49</v>
      </c>
      <c r="P12" s="43" t="s">
        <v>603</v>
      </c>
      <c r="Q12" s="44"/>
      <c r="R12" s="212">
        <v>2</v>
      </c>
      <c r="S12" s="212">
        <v>1</v>
      </c>
      <c r="T12" s="45">
        <v>1.8600997924804688</v>
      </c>
      <c r="U12" s="46">
        <v>0.91099977493286133</v>
      </c>
      <c r="V12" s="213">
        <v>0.59384884524389736</v>
      </c>
      <c r="W12" s="214">
        <v>0.22301441572561093</v>
      </c>
      <c r="X12" s="214">
        <v>0.1800173819065094</v>
      </c>
      <c r="Y12" s="47">
        <v>2</v>
      </c>
      <c r="Z12" s="48">
        <v>1</v>
      </c>
      <c r="AA12" s="49"/>
      <c r="AB12" s="50"/>
      <c r="AC12" s="75">
        <f t="shared" si="0"/>
        <v>44786.270833333336</v>
      </c>
      <c r="AD12" s="76">
        <f t="shared" si="1"/>
        <v>44786.229166666664</v>
      </c>
      <c r="AE12" s="77">
        <f t="shared" si="2"/>
        <v>44786.1875</v>
      </c>
    </row>
    <row r="13" spans="1:52" ht="21" customHeight="1" thickBot="1" x14ac:dyDescent="0.3">
      <c r="A13" s="445">
        <v>2</v>
      </c>
      <c r="B13" s="220">
        <v>44786</v>
      </c>
      <c r="C13" s="228">
        <v>44786.416666666664</v>
      </c>
      <c r="D13" s="493">
        <v>44786.625</v>
      </c>
      <c r="E13" s="493">
        <v>44786.666666666664</v>
      </c>
      <c r="F13" s="493">
        <v>44786.708333333336</v>
      </c>
      <c r="G13" s="258">
        <v>44786.708333333336</v>
      </c>
      <c r="H13" s="226" t="s">
        <v>364</v>
      </c>
      <c r="I13" s="223" t="s">
        <v>57</v>
      </c>
      <c r="J13" s="243" t="s">
        <v>1</v>
      </c>
      <c r="K13" s="497">
        <v>4</v>
      </c>
      <c r="L13" s="497">
        <v>2</v>
      </c>
      <c r="M13" s="248" t="s">
        <v>8</v>
      </c>
      <c r="N13" s="52">
        <v>45122.417974537035</v>
      </c>
      <c r="O13" s="53" t="s">
        <v>49</v>
      </c>
      <c r="P13" s="54" t="s">
        <v>603</v>
      </c>
      <c r="R13" s="210">
        <v>2</v>
      </c>
      <c r="S13" s="210">
        <v>1</v>
      </c>
      <c r="T13" s="56">
        <v>2.2670998573303223</v>
      </c>
      <c r="U13" s="57">
        <v>0.94371402263641357</v>
      </c>
      <c r="V13" s="215">
        <v>0.6632705518502785</v>
      </c>
      <c r="W13" s="494">
        <v>0.18531059223138441</v>
      </c>
      <c r="X13" s="494">
        <v>0.14265961945056915</v>
      </c>
      <c r="Y13" s="59">
        <v>4</v>
      </c>
      <c r="Z13" s="60">
        <v>2</v>
      </c>
      <c r="AA13" s="61"/>
      <c r="AB13" s="62"/>
      <c r="AC13" s="39">
        <f t="shared" si="0"/>
        <v>44786.375</v>
      </c>
      <c r="AD13" s="495">
        <f t="shared" si="1"/>
        <v>44786.333333333328</v>
      </c>
      <c r="AE13" s="40">
        <f t="shared" si="2"/>
        <v>44786.291666666664</v>
      </c>
    </row>
    <row r="14" spans="1:52" ht="21" customHeight="1" thickBot="1" x14ac:dyDescent="0.3">
      <c r="A14" s="445">
        <v>2</v>
      </c>
      <c r="B14" s="220">
        <v>44786</v>
      </c>
      <c r="C14" s="228">
        <v>44786.416666666664</v>
      </c>
      <c r="D14" s="493">
        <v>44786.625</v>
      </c>
      <c r="E14" s="493">
        <v>44786.666666666664</v>
      </c>
      <c r="F14" s="493">
        <v>44786.708333333336</v>
      </c>
      <c r="G14" s="258">
        <v>44786.708333333336</v>
      </c>
      <c r="H14" s="226" t="s">
        <v>262</v>
      </c>
      <c r="I14" s="223" t="s">
        <v>151</v>
      </c>
      <c r="J14" s="243" t="s">
        <v>4</v>
      </c>
      <c r="K14" s="497">
        <v>0</v>
      </c>
      <c r="L14" s="497">
        <v>0</v>
      </c>
      <c r="M14" s="248" t="s">
        <v>12</v>
      </c>
      <c r="N14" s="52">
        <v>45122.417974537035</v>
      </c>
      <c r="O14" s="53" t="s">
        <v>49</v>
      </c>
      <c r="P14" s="54" t="s">
        <v>603</v>
      </c>
      <c r="R14" s="210">
        <v>2</v>
      </c>
      <c r="S14" s="210">
        <v>2</v>
      </c>
      <c r="T14" s="56">
        <v>1.4623713152749196</v>
      </c>
      <c r="U14" s="57">
        <v>1.3609998226165771</v>
      </c>
      <c r="V14" s="215">
        <v>0.39647748133774885</v>
      </c>
      <c r="W14" s="494">
        <v>0.25123284220605369</v>
      </c>
      <c r="X14" s="494">
        <v>0.35096165537834167</v>
      </c>
      <c r="Y14" s="59">
        <v>0</v>
      </c>
      <c r="Z14" s="60">
        <v>0</v>
      </c>
      <c r="AA14" s="61"/>
      <c r="AB14" s="62"/>
      <c r="AC14" s="39">
        <f t="shared" si="0"/>
        <v>44786.375</v>
      </c>
      <c r="AD14" s="495">
        <f t="shared" si="1"/>
        <v>44786.333333333328</v>
      </c>
      <c r="AE14" s="40">
        <f t="shared" si="2"/>
        <v>44786.291666666664</v>
      </c>
    </row>
    <row r="15" spans="1:52" ht="21" customHeight="1" thickBot="1" x14ac:dyDescent="0.3">
      <c r="A15" s="445">
        <v>2</v>
      </c>
      <c r="B15" s="220">
        <v>44786</v>
      </c>
      <c r="C15" s="228">
        <v>44786.416666666664</v>
      </c>
      <c r="D15" s="493">
        <v>44786.625</v>
      </c>
      <c r="E15" s="493">
        <v>44786.666666666664</v>
      </c>
      <c r="F15" s="493">
        <v>44786.708333333336</v>
      </c>
      <c r="G15" s="258">
        <v>44786.708333333336</v>
      </c>
      <c r="H15" s="226" t="s">
        <v>434</v>
      </c>
      <c r="I15" s="223" t="s">
        <v>61</v>
      </c>
      <c r="J15" s="245" t="s">
        <v>10</v>
      </c>
      <c r="K15" s="497">
        <v>4</v>
      </c>
      <c r="L15" s="497">
        <v>0</v>
      </c>
      <c r="M15" s="250" t="s">
        <v>3</v>
      </c>
      <c r="N15" s="52">
        <v>45122.417974537035</v>
      </c>
      <c r="O15" s="53" t="s">
        <v>49</v>
      </c>
      <c r="P15" s="54" t="s">
        <v>603</v>
      </c>
      <c r="R15" s="210">
        <v>3</v>
      </c>
      <c r="S15" s="210">
        <v>0</v>
      </c>
      <c r="T15" s="56">
        <v>2.4900856018066406</v>
      </c>
      <c r="U15" s="57">
        <v>0.63099980354309082</v>
      </c>
      <c r="V15" s="215">
        <v>0.76642873965425384</v>
      </c>
      <c r="W15" s="494">
        <v>0.1458902249591833</v>
      </c>
      <c r="X15" s="494">
        <v>7.3763266205787659E-2</v>
      </c>
      <c r="Y15" s="59">
        <v>4</v>
      </c>
      <c r="Z15" s="60">
        <v>0</v>
      </c>
      <c r="AA15" s="61"/>
      <c r="AB15" s="62"/>
      <c r="AC15" s="39">
        <f t="shared" si="0"/>
        <v>44786.375</v>
      </c>
      <c r="AD15" s="495">
        <f t="shared" si="1"/>
        <v>44786.333333333328</v>
      </c>
      <c r="AE15" s="40">
        <f t="shared" si="2"/>
        <v>44786.291666666664</v>
      </c>
    </row>
    <row r="16" spans="1:52" ht="21" customHeight="1" thickBot="1" x14ac:dyDescent="0.3">
      <c r="A16" s="445">
        <v>2</v>
      </c>
      <c r="B16" s="220">
        <v>44786</v>
      </c>
      <c r="C16" s="228">
        <v>44786.416666666664</v>
      </c>
      <c r="D16" s="493">
        <v>44786.625</v>
      </c>
      <c r="E16" s="493">
        <v>44786.666666666664</v>
      </c>
      <c r="F16" s="493">
        <v>44786.708333333336</v>
      </c>
      <c r="G16" s="258">
        <v>44786.708333333336</v>
      </c>
      <c r="H16" s="226" t="s">
        <v>248</v>
      </c>
      <c r="I16" s="223" t="s">
        <v>60</v>
      </c>
      <c r="J16" s="243" t="s">
        <v>13</v>
      </c>
      <c r="K16" s="497">
        <v>2</v>
      </c>
      <c r="L16" s="497">
        <v>2</v>
      </c>
      <c r="M16" s="248" t="s">
        <v>139</v>
      </c>
      <c r="N16" s="52">
        <v>45122.417974537035</v>
      </c>
      <c r="O16" s="53" t="s">
        <v>49</v>
      </c>
      <c r="P16" s="54" t="s">
        <v>603</v>
      </c>
      <c r="R16" s="210">
        <v>2</v>
      </c>
      <c r="S16" s="210">
        <v>2</v>
      </c>
      <c r="T16" s="56">
        <v>1.4530997276306152</v>
      </c>
      <c r="U16" s="57">
        <v>1.4009996652603149</v>
      </c>
      <c r="V16" s="215">
        <v>0.38597223819485876</v>
      </c>
      <c r="W16" s="494">
        <v>0.24994004186170515</v>
      </c>
      <c r="X16" s="494">
        <v>0.36269155144691467</v>
      </c>
      <c r="Y16" s="59">
        <v>2</v>
      </c>
      <c r="Z16" s="60">
        <v>2</v>
      </c>
      <c r="AA16" s="61"/>
      <c r="AB16" s="62"/>
      <c r="AC16" s="39">
        <f t="shared" si="0"/>
        <v>44786.375</v>
      </c>
      <c r="AD16" s="495">
        <f t="shared" si="1"/>
        <v>44786.333333333328</v>
      </c>
      <c r="AE16" s="40">
        <f t="shared" si="2"/>
        <v>44786.291666666664</v>
      </c>
    </row>
    <row r="17" spans="1:31" ht="21" customHeight="1" thickBot="1" x14ac:dyDescent="0.3">
      <c r="A17" s="445">
        <v>2</v>
      </c>
      <c r="B17" s="220">
        <v>44786</v>
      </c>
      <c r="C17" s="228">
        <v>44786.416666666664</v>
      </c>
      <c r="D17" s="493">
        <v>44786.625</v>
      </c>
      <c r="E17" s="493">
        <v>44786.666666666664</v>
      </c>
      <c r="F17" s="493">
        <v>44786.708333333336</v>
      </c>
      <c r="G17" s="258">
        <v>44786.708333333336</v>
      </c>
      <c r="H17" s="226" t="s">
        <v>437</v>
      </c>
      <c r="I17" s="223" t="s">
        <v>63</v>
      </c>
      <c r="J17" s="246" t="s">
        <v>16</v>
      </c>
      <c r="K17" s="497">
        <v>0</v>
      </c>
      <c r="L17" s="497">
        <v>0</v>
      </c>
      <c r="M17" s="251" t="s">
        <v>126</v>
      </c>
      <c r="N17" s="52">
        <v>45122.417974537035</v>
      </c>
      <c r="O17" s="53" t="s">
        <v>49</v>
      </c>
      <c r="P17" s="54" t="s">
        <v>603</v>
      </c>
      <c r="R17" s="210">
        <v>1</v>
      </c>
      <c r="S17" s="210">
        <v>1</v>
      </c>
      <c r="T17" s="56">
        <v>1.2880997657775879</v>
      </c>
      <c r="U17" s="57">
        <v>1.2609997987747192</v>
      </c>
      <c r="V17" s="215">
        <v>0.37254496809241944</v>
      </c>
      <c r="W17" s="494">
        <v>0.26695323673378979</v>
      </c>
      <c r="X17" s="494">
        <v>0.35978242754936218</v>
      </c>
      <c r="Y17" s="59">
        <v>0</v>
      </c>
      <c r="Z17" s="60">
        <v>0</v>
      </c>
      <c r="AA17" s="61"/>
      <c r="AB17" s="62"/>
      <c r="AC17" s="39">
        <f t="shared" si="0"/>
        <v>44786.375</v>
      </c>
      <c r="AD17" s="495">
        <f t="shared" si="1"/>
        <v>44786.333333333328</v>
      </c>
      <c r="AE17" s="40">
        <f t="shared" si="2"/>
        <v>44786.291666666664</v>
      </c>
    </row>
    <row r="18" spans="1:31" ht="21" customHeight="1" thickBot="1" x14ac:dyDescent="0.3">
      <c r="A18" s="445">
        <v>2</v>
      </c>
      <c r="B18" s="220">
        <v>44786</v>
      </c>
      <c r="C18" s="228">
        <v>44786.520833333336</v>
      </c>
      <c r="D18" s="493">
        <v>44786.729166666664</v>
      </c>
      <c r="E18" s="493">
        <v>44786.770833333336</v>
      </c>
      <c r="F18" s="493">
        <v>44786.8125</v>
      </c>
      <c r="G18" s="258">
        <v>44786.8125</v>
      </c>
      <c r="H18" s="226" t="s">
        <v>295</v>
      </c>
      <c r="I18" s="223" t="s">
        <v>593</v>
      </c>
      <c r="J18" s="245" t="s">
        <v>125</v>
      </c>
      <c r="K18" s="497">
        <v>4</v>
      </c>
      <c r="L18" s="497">
        <v>0</v>
      </c>
      <c r="M18" s="250" t="s">
        <v>11</v>
      </c>
      <c r="N18" s="52">
        <v>45122.417974537035</v>
      </c>
      <c r="O18" s="53" t="s">
        <v>49</v>
      </c>
      <c r="P18" s="54" t="s">
        <v>603</v>
      </c>
      <c r="R18" s="210">
        <v>1</v>
      </c>
      <c r="S18" s="210">
        <v>1</v>
      </c>
      <c r="T18" s="56">
        <v>1.3209425721849712</v>
      </c>
      <c r="U18" s="57">
        <v>1.4322854280471802</v>
      </c>
      <c r="V18" s="215">
        <v>0.34672026350801444</v>
      </c>
      <c r="W18" s="494">
        <v>0.25482295534568672</v>
      </c>
      <c r="X18" s="494">
        <v>0.39730367064476013</v>
      </c>
      <c r="Y18" s="59">
        <v>4</v>
      </c>
      <c r="Z18" s="60">
        <v>0</v>
      </c>
      <c r="AA18" s="61"/>
      <c r="AB18" s="62"/>
      <c r="AC18" s="39">
        <f t="shared" si="0"/>
        <v>44786.479166666672</v>
      </c>
      <c r="AD18" s="495">
        <f t="shared" si="1"/>
        <v>44786.4375</v>
      </c>
      <c r="AE18" s="40">
        <f t="shared" si="2"/>
        <v>44786.395833333336</v>
      </c>
    </row>
    <row r="19" spans="1:31" ht="21" customHeight="1" thickBot="1" x14ac:dyDescent="0.3">
      <c r="A19" s="445">
        <v>2</v>
      </c>
      <c r="B19" s="220">
        <v>44787</v>
      </c>
      <c r="C19" s="228">
        <v>44787.375</v>
      </c>
      <c r="D19" s="493">
        <v>44787.583333333336</v>
      </c>
      <c r="E19" s="493">
        <v>44787.625</v>
      </c>
      <c r="F19" s="493">
        <v>44787.666666666664</v>
      </c>
      <c r="G19" s="258">
        <v>44787.666666666664</v>
      </c>
      <c r="H19" s="226" t="s">
        <v>435</v>
      </c>
      <c r="I19" s="223" t="s">
        <v>436</v>
      </c>
      <c r="J19" s="243" t="s">
        <v>204</v>
      </c>
      <c r="K19" s="497">
        <v>1</v>
      </c>
      <c r="L19" s="497">
        <v>0</v>
      </c>
      <c r="M19" s="248" t="s">
        <v>15</v>
      </c>
      <c r="N19" s="52">
        <v>45122.417974537035</v>
      </c>
      <c r="O19" s="53" t="s">
        <v>49</v>
      </c>
      <c r="P19" s="54" t="s">
        <v>603</v>
      </c>
      <c r="R19" s="210">
        <v>1</v>
      </c>
      <c r="S19" s="210">
        <v>2</v>
      </c>
      <c r="T19" s="56">
        <v>0.89209973812103271</v>
      </c>
      <c r="U19" s="57">
        <v>1.6609996557235718</v>
      </c>
      <c r="V19" s="215">
        <v>0.20110953502982795</v>
      </c>
      <c r="W19" s="494">
        <v>0.2436357420199807</v>
      </c>
      <c r="X19" s="494">
        <v>0.55356591939926147</v>
      </c>
      <c r="Y19" s="59">
        <v>1</v>
      </c>
      <c r="Z19" s="60">
        <v>0</v>
      </c>
      <c r="AA19" s="61"/>
      <c r="AB19" s="62"/>
      <c r="AC19" s="39">
        <f t="shared" si="0"/>
        <v>44787.333333333336</v>
      </c>
      <c r="AD19" s="495">
        <f t="shared" si="1"/>
        <v>44787.291666666664</v>
      </c>
      <c r="AE19" s="40">
        <f t="shared" si="2"/>
        <v>44787.25</v>
      </c>
    </row>
    <row r="20" spans="1:31" ht="21" customHeight="1" thickBot="1" x14ac:dyDescent="0.3">
      <c r="A20" s="445">
        <v>2</v>
      </c>
      <c r="B20" s="220">
        <v>44787</v>
      </c>
      <c r="C20" s="228">
        <v>44787.479166666664</v>
      </c>
      <c r="D20" s="493">
        <v>44787.6875</v>
      </c>
      <c r="E20" s="493">
        <v>44787.729166666664</v>
      </c>
      <c r="F20" s="493">
        <v>44787.770833333336</v>
      </c>
      <c r="G20" s="258">
        <v>44787.770833333336</v>
      </c>
      <c r="H20" s="226" t="s">
        <v>331</v>
      </c>
      <c r="I20" s="223" t="s">
        <v>62</v>
      </c>
      <c r="J20" s="246" t="s">
        <v>5</v>
      </c>
      <c r="K20" s="497">
        <v>2</v>
      </c>
      <c r="L20" s="497">
        <v>2</v>
      </c>
      <c r="M20" s="251" t="s">
        <v>14</v>
      </c>
      <c r="N20" s="52">
        <v>45122.417974537035</v>
      </c>
      <c r="O20" s="53" t="s">
        <v>49</v>
      </c>
      <c r="P20" s="54" t="s">
        <v>603</v>
      </c>
      <c r="R20" s="210">
        <v>2</v>
      </c>
      <c r="S20" s="210">
        <v>1</v>
      </c>
      <c r="T20" s="56">
        <v>1.5410997867584229</v>
      </c>
      <c r="U20" s="57">
        <v>1.3009997606277466</v>
      </c>
      <c r="V20" s="215">
        <v>0.42857344110577839</v>
      </c>
      <c r="W20" s="494">
        <v>0.24861972071978497</v>
      </c>
      <c r="X20" s="494">
        <v>0.32132154703140259</v>
      </c>
      <c r="Y20" s="59">
        <v>2</v>
      </c>
      <c r="Z20" s="60">
        <v>2</v>
      </c>
      <c r="AA20" s="61"/>
      <c r="AB20" s="62"/>
      <c r="AC20" s="39">
        <f t="shared" si="0"/>
        <v>44787.4375</v>
      </c>
      <c r="AD20" s="495">
        <f t="shared" si="1"/>
        <v>44787.395833333328</v>
      </c>
      <c r="AE20" s="40">
        <f t="shared" si="2"/>
        <v>44787.354166666664</v>
      </c>
    </row>
    <row r="21" spans="1:31" ht="21" customHeight="1" thickBot="1" x14ac:dyDescent="0.3">
      <c r="A21" s="445">
        <v>2</v>
      </c>
      <c r="B21" s="220">
        <v>44788</v>
      </c>
      <c r="C21" s="228">
        <v>44788.625</v>
      </c>
      <c r="D21" s="493">
        <v>44788.833333333336</v>
      </c>
      <c r="E21" s="493">
        <v>44788.875</v>
      </c>
      <c r="F21" s="493">
        <v>44788.916666666664</v>
      </c>
      <c r="G21" s="258">
        <v>44788.916666666664</v>
      </c>
      <c r="H21" s="226" t="s">
        <v>157</v>
      </c>
      <c r="I21" s="223" t="s">
        <v>48</v>
      </c>
      <c r="J21" s="243" t="s">
        <v>9</v>
      </c>
      <c r="K21" s="497">
        <v>1</v>
      </c>
      <c r="L21" s="497">
        <v>1</v>
      </c>
      <c r="M21" s="248" t="s">
        <v>6</v>
      </c>
      <c r="N21" s="52">
        <v>45122.417974537035</v>
      </c>
      <c r="O21" s="53" t="s">
        <v>49</v>
      </c>
      <c r="P21" s="54" t="s">
        <v>603</v>
      </c>
      <c r="R21" s="210">
        <v>2</v>
      </c>
      <c r="S21" s="210">
        <v>1</v>
      </c>
      <c r="T21" s="56">
        <v>2.0250997543334961</v>
      </c>
      <c r="U21" s="57">
        <v>0.99099969863891602</v>
      </c>
      <c r="V21" s="215">
        <v>0.60828696897105117</v>
      </c>
      <c r="W21" s="494">
        <v>0.20913816110616112</v>
      </c>
      <c r="X21" s="494">
        <v>0.17765310406684875</v>
      </c>
      <c r="Y21" s="59">
        <v>1</v>
      </c>
      <c r="Z21" s="60">
        <v>1</v>
      </c>
      <c r="AA21" s="61"/>
      <c r="AB21" s="62"/>
      <c r="AC21" s="39">
        <f t="shared" si="0"/>
        <v>44788.583333333336</v>
      </c>
      <c r="AD21" s="495">
        <f t="shared" si="1"/>
        <v>44788.541666666664</v>
      </c>
      <c r="AE21" s="40">
        <f t="shared" si="2"/>
        <v>44788.5</v>
      </c>
    </row>
    <row r="22" spans="1:31" ht="21" customHeight="1" thickBot="1" x14ac:dyDescent="0.3">
      <c r="A22" s="444">
        <v>3</v>
      </c>
      <c r="B22" s="219">
        <v>44793</v>
      </c>
      <c r="C22" s="230">
        <v>44793.3125</v>
      </c>
      <c r="D22" s="256">
        <v>44793.520833333336</v>
      </c>
      <c r="E22" s="256">
        <v>44793.5625</v>
      </c>
      <c r="F22" s="256">
        <v>44793.604166666664</v>
      </c>
      <c r="G22" s="257">
        <v>44793.604166666664</v>
      </c>
      <c r="H22" s="225" t="s">
        <v>347</v>
      </c>
      <c r="I22" s="222" t="s">
        <v>53</v>
      </c>
      <c r="J22" s="252" t="s">
        <v>14</v>
      </c>
      <c r="K22" s="497">
        <v>1</v>
      </c>
      <c r="L22" s="497">
        <v>0</v>
      </c>
      <c r="M22" s="253" t="s">
        <v>16</v>
      </c>
      <c r="N22" s="41">
        <v>45122.417974537035</v>
      </c>
      <c r="O22" s="42" t="s">
        <v>49</v>
      </c>
      <c r="P22" s="43" t="s">
        <v>603</v>
      </c>
      <c r="Q22" s="44"/>
      <c r="R22" s="212">
        <v>2</v>
      </c>
      <c r="S22" s="212">
        <v>1</v>
      </c>
      <c r="T22" s="45">
        <v>1.5000856263296944</v>
      </c>
      <c r="U22" s="46">
        <v>1.0609997510910034</v>
      </c>
      <c r="V22" s="213">
        <v>0.47247326628424263</v>
      </c>
      <c r="W22" s="214">
        <v>0.25859379224832046</v>
      </c>
      <c r="X22" s="214">
        <v>0.26788720488548279</v>
      </c>
      <c r="Y22" s="47">
        <v>1</v>
      </c>
      <c r="Z22" s="48">
        <v>0</v>
      </c>
      <c r="AA22" s="49"/>
      <c r="AB22" s="50"/>
      <c r="AC22" s="75">
        <f t="shared" si="0"/>
        <v>44793.270833333336</v>
      </c>
      <c r="AD22" s="76">
        <f t="shared" si="1"/>
        <v>44793.229166666664</v>
      </c>
      <c r="AE22" s="77">
        <f t="shared" si="2"/>
        <v>44793.1875</v>
      </c>
    </row>
    <row r="23" spans="1:31" ht="21" customHeight="1" thickBot="1" x14ac:dyDescent="0.3">
      <c r="A23" s="445">
        <v>3</v>
      </c>
      <c r="B23" s="220">
        <v>44793</v>
      </c>
      <c r="C23" s="228">
        <v>44793.416666666664</v>
      </c>
      <c r="D23" s="493">
        <v>44793.625</v>
      </c>
      <c r="E23" s="493">
        <v>44793.666666666664</v>
      </c>
      <c r="F23" s="493">
        <v>44793.708333333336</v>
      </c>
      <c r="G23" s="258">
        <v>44793.708333333336</v>
      </c>
      <c r="H23" s="226" t="s">
        <v>166</v>
      </c>
      <c r="I23" s="223" t="s">
        <v>52</v>
      </c>
      <c r="J23" s="243" t="s">
        <v>6</v>
      </c>
      <c r="K23" s="497">
        <v>3</v>
      </c>
      <c r="L23" s="497">
        <v>1</v>
      </c>
      <c r="M23" s="248" t="s">
        <v>2</v>
      </c>
      <c r="N23" s="52">
        <v>45122.417974537035</v>
      </c>
      <c r="O23" s="53" t="s">
        <v>49</v>
      </c>
      <c r="P23" s="54" t="s">
        <v>603</v>
      </c>
      <c r="R23" s="210">
        <v>0</v>
      </c>
      <c r="S23" s="210">
        <v>1</v>
      </c>
      <c r="T23" s="56">
        <v>0.77864263738904682</v>
      </c>
      <c r="U23" s="57">
        <v>1.2209997177124023</v>
      </c>
      <c r="V23" s="215">
        <v>0.23617226183447831</v>
      </c>
      <c r="W23" s="494">
        <v>0.29811960806324456</v>
      </c>
      <c r="X23" s="494">
        <v>0.4654121994972229</v>
      </c>
      <c r="Y23" s="59">
        <v>3</v>
      </c>
      <c r="Z23" s="60">
        <v>1</v>
      </c>
      <c r="AA23" s="61"/>
      <c r="AB23" s="62"/>
      <c r="AC23" s="39">
        <f t="shared" si="0"/>
        <v>44793.375</v>
      </c>
      <c r="AD23" s="495">
        <f t="shared" si="1"/>
        <v>44793.333333333328</v>
      </c>
      <c r="AE23" s="40">
        <f t="shared" si="2"/>
        <v>44793.291666666664</v>
      </c>
    </row>
    <row r="24" spans="1:31" ht="21" customHeight="1" thickBot="1" x14ac:dyDescent="0.3">
      <c r="A24" s="445">
        <v>3</v>
      </c>
      <c r="B24" s="220">
        <v>44793</v>
      </c>
      <c r="C24" s="228">
        <v>44793.416666666664</v>
      </c>
      <c r="D24" s="493">
        <v>44793.625</v>
      </c>
      <c r="E24" s="493">
        <v>44793.666666666664</v>
      </c>
      <c r="F24" s="493">
        <v>44793.708333333336</v>
      </c>
      <c r="G24" s="258">
        <v>44793.708333333336</v>
      </c>
      <c r="H24" s="226" t="s">
        <v>439</v>
      </c>
      <c r="I24" s="223" t="s">
        <v>59</v>
      </c>
      <c r="J24" s="246" t="s">
        <v>7</v>
      </c>
      <c r="K24" s="497">
        <v>1</v>
      </c>
      <c r="L24" s="497">
        <v>1</v>
      </c>
      <c r="M24" s="251" t="s">
        <v>204</v>
      </c>
      <c r="N24" s="52">
        <v>45122.417974537035</v>
      </c>
      <c r="O24" s="53" t="s">
        <v>49</v>
      </c>
      <c r="P24" s="54" t="s">
        <v>603</v>
      </c>
      <c r="R24" s="210">
        <v>2</v>
      </c>
      <c r="S24" s="210">
        <v>1</v>
      </c>
      <c r="T24" s="56">
        <v>1.596099853515625</v>
      </c>
      <c r="U24" s="57">
        <v>1.0037140846252441</v>
      </c>
      <c r="V24" s="215">
        <v>0.51024277518057459</v>
      </c>
      <c r="W24" s="494">
        <v>0.25035322838187923</v>
      </c>
      <c r="X24" s="494">
        <v>0.23800145089626312</v>
      </c>
      <c r="Y24" s="59">
        <v>1</v>
      </c>
      <c r="Z24" s="60">
        <v>1</v>
      </c>
      <c r="AA24" s="61"/>
      <c r="AB24" s="62"/>
      <c r="AC24" s="39">
        <f t="shared" si="0"/>
        <v>44793.375</v>
      </c>
      <c r="AD24" s="495">
        <f t="shared" si="1"/>
        <v>44793.333333333328</v>
      </c>
      <c r="AE24" s="40">
        <f t="shared" si="2"/>
        <v>44793.291666666664</v>
      </c>
    </row>
    <row r="25" spans="1:31" ht="21" customHeight="1" thickBot="1" x14ac:dyDescent="0.3">
      <c r="A25" s="445">
        <v>3</v>
      </c>
      <c r="B25" s="220">
        <v>44793</v>
      </c>
      <c r="C25" s="228">
        <v>44793.416666666664</v>
      </c>
      <c r="D25" s="493">
        <v>44793.625</v>
      </c>
      <c r="E25" s="493">
        <v>44793.666666666664</v>
      </c>
      <c r="F25" s="493">
        <v>44793.708333333336</v>
      </c>
      <c r="G25" s="258">
        <v>44793.708333333336</v>
      </c>
      <c r="H25" s="226" t="s">
        <v>440</v>
      </c>
      <c r="I25" s="223" t="s">
        <v>431</v>
      </c>
      <c r="J25" s="243" t="s">
        <v>126</v>
      </c>
      <c r="K25" s="497">
        <v>3</v>
      </c>
      <c r="L25" s="497">
        <v>2</v>
      </c>
      <c r="M25" s="248" t="s">
        <v>125</v>
      </c>
      <c r="N25" s="52">
        <v>45122.417974537035</v>
      </c>
      <c r="O25" s="53" t="s">
        <v>49</v>
      </c>
      <c r="P25" s="54" t="s">
        <v>603</v>
      </c>
      <c r="R25" s="210">
        <v>1</v>
      </c>
      <c r="S25" s="210">
        <v>2</v>
      </c>
      <c r="T25" s="56">
        <v>1.3540998697280884</v>
      </c>
      <c r="U25" s="57">
        <v>1.5909997224807739</v>
      </c>
      <c r="V25" s="215">
        <v>0.32522696115618582</v>
      </c>
      <c r="W25" s="494">
        <v>0.24369534130079018</v>
      </c>
      <c r="X25" s="494">
        <v>0.42927190661430359</v>
      </c>
      <c r="Y25" s="59">
        <v>3</v>
      </c>
      <c r="Z25" s="60">
        <v>2</v>
      </c>
      <c r="AA25" s="61"/>
      <c r="AB25" s="62"/>
      <c r="AC25" s="39">
        <f t="shared" si="0"/>
        <v>44793.375</v>
      </c>
      <c r="AD25" s="495">
        <f t="shared" si="1"/>
        <v>44793.333333333328</v>
      </c>
      <c r="AE25" s="40">
        <f t="shared" si="2"/>
        <v>44793.291666666664</v>
      </c>
    </row>
    <row r="26" spans="1:31" ht="21" customHeight="1" thickBot="1" x14ac:dyDescent="0.3">
      <c r="A26" s="445">
        <v>3</v>
      </c>
      <c r="B26" s="220">
        <v>44793</v>
      </c>
      <c r="C26" s="228">
        <v>44793.416666666664</v>
      </c>
      <c r="D26" s="493">
        <v>44793.625</v>
      </c>
      <c r="E26" s="493">
        <v>44793.666666666664</v>
      </c>
      <c r="F26" s="493">
        <v>44793.708333333336</v>
      </c>
      <c r="G26" s="258">
        <v>44793.708333333336</v>
      </c>
      <c r="H26" s="226" t="s">
        <v>418</v>
      </c>
      <c r="I26" s="223" t="s">
        <v>54</v>
      </c>
      <c r="J26" s="243" t="s">
        <v>8</v>
      </c>
      <c r="K26" s="497">
        <v>1</v>
      </c>
      <c r="L26" s="497">
        <v>2</v>
      </c>
      <c r="M26" s="248" t="s">
        <v>13</v>
      </c>
      <c r="N26" s="52">
        <v>45122.417974537035</v>
      </c>
      <c r="O26" s="53" t="s">
        <v>49</v>
      </c>
      <c r="P26" s="54" t="s">
        <v>603</v>
      </c>
      <c r="R26" s="210">
        <v>2</v>
      </c>
      <c r="S26" s="210">
        <v>1</v>
      </c>
      <c r="T26" s="56">
        <v>1.5520998239517212</v>
      </c>
      <c r="U26" s="57">
        <v>1.0809997320175171</v>
      </c>
      <c r="V26" s="215">
        <v>0.48087878771474341</v>
      </c>
      <c r="W26" s="494">
        <v>0.25347087145950242</v>
      </c>
      <c r="X26" s="494">
        <v>0.26439180970191956</v>
      </c>
      <c r="Y26" s="59">
        <v>1</v>
      </c>
      <c r="Z26" s="60">
        <v>2</v>
      </c>
      <c r="AA26" s="61"/>
      <c r="AB26" s="62"/>
      <c r="AC26" s="39">
        <f t="shared" si="0"/>
        <v>44793.375</v>
      </c>
      <c r="AD26" s="495">
        <f t="shared" si="1"/>
        <v>44793.333333333328</v>
      </c>
      <c r="AE26" s="40">
        <f t="shared" si="2"/>
        <v>44793.291666666664</v>
      </c>
    </row>
    <row r="27" spans="1:31" ht="21" customHeight="1" thickBot="1" x14ac:dyDescent="0.3">
      <c r="A27" s="445">
        <v>3</v>
      </c>
      <c r="B27" s="220">
        <v>44793</v>
      </c>
      <c r="C27" s="228">
        <v>44793.520833333336</v>
      </c>
      <c r="D27" s="493">
        <v>44793.729166666664</v>
      </c>
      <c r="E27" s="493">
        <v>44793.770833333336</v>
      </c>
      <c r="F27" s="493">
        <v>44793.8125</v>
      </c>
      <c r="G27" s="258">
        <v>44793.8125</v>
      </c>
      <c r="H27" s="226" t="s">
        <v>438</v>
      </c>
      <c r="I27" s="223" t="s">
        <v>51</v>
      </c>
      <c r="J27" s="243" t="s">
        <v>3</v>
      </c>
      <c r="K27" s="497">
        <v>0</v>
      </c>
      <c r="L27" s="497">
        <v>3</v>
      </c>
      <c r="M27" s="248" t="s">
        <v>1</v>
      </c>
      <c r="N27" s="52">
        <v>45122.417974537035</v>
      </c>
      <c r="O27" s="53" t="s">
        <v>49</v>
      </c>
      <c r="P27" s="54" t="s">
        <v>603</v>
      </c>
      <c r="R27" s="210">
        <v>1</v>
      </c>
      <c r="S27" s="210">
        <v>2</v>
      </c>
      <c r="T27" s="56">
        <v>1.0240997076034546</v>
      </c>
      <c r="U27" s="57">
        <v>2.2509996891021729</v>
      </c>
      <c r="V27" s="215">
        <v>0.15932885194956437</v>
      </c>
      <c r="W27" s="494">
        <v>0.190121304838615</v>
      </c>
      <c r="X27" s="494">
        <v>0.64206326007843018</v>
      </c>
      <c r="Y27" s="59">
        <v>0</v>
      </c>
      <c r="Z27" s="60">
        <v>3</v>
      </c>
      <c r="AA27" s="61"/>
      <c r="AB27" s="62"/>
      <c r="AC27" s="39">
        <f t="shared" si="0"/>
        <v>44793.479166666672</v>
      </c>
      <c r="AD27" s="495">
        <f t="shared" si="1"/>
        <v>44793.4375</v>
      </c>
      <c r="AE27" s="40">
        <f t="shared" si="2"/>
        <v>44793.395833333336</v>
      </c>
    </row>
    <row r="28" spans="1:31" ht="21" customHeight="1" thickBot="1" x14ac:dyDescent="0.3">
      <c r="A28" s="445">
        <v>3</v>
      </c>
      <c r="B28" s="220">
        <v>44794</v>
      </c>
      <c r="C28" s="228">
        <v>44794.375</v>
      </c>
      <c r="D28" s="493">
        <v>44794.583333333336</v>
      </c>
      <c r="E28" s="493">
        <v>44794.625</v>
      </c>
      <c r="F28" s="493">
        <v>44794.666666666664</v>
      </c>
      <c r="G28" s="258">
        <v>44794.666666666664</v>
      </c>
      <c r="H28" s="226" t="s">
        <v>389</v>
      </c>
      <c r="I28" s="223" t="s">
        <v>140</v>
      </c>
      <c r="J28" s="243" t="s">
        <v>139</v>
      </c>
      <c r="K28" s="497">
        <v>3</v>
      </c>
      <c r="L28" s="497">
        <v>0</v>
      </c>
      <c r="M28" s="248" t="s">
        <v>5</v>
      </c>
      <c r="N28" s="52">
        <v>45122.417974537035</v>
      </c>
      <c r="O28" s="53" t="s">
        <v>49</v>
      </c>
      <c r="P28" s="54" t="s">
        <v>603</v>
      </c>
      <c r="R28" s="210">
        <v>1</v>
      </c>
      <c r="S28" s="210">
        <v>2</v>
      </c>
      <c r="T28" s="56">
        <v>1.1010998487472534</v>
      </c>
      <c r="U28" s="57">
        <v>1.7209998369216919</v>
      </c>
      <c r="V28" s="215">
        <v>0.24278349396860968</v>
      </c>
      <c r="W28" s="494">
        <v>0.23827707094830713</v>
      </c>
      <c r="X28" s="494">
        <v>0.51678287982940674</v>
      </c>
      <c r="Y28" s="59">
        <v>3</v>
      </c>
      <c r="Z28" s="60">
        <v>0</v>
      </c>
      <c r="AA28" s="61"/>
      <c r="AB28" s="62"/>
      <c r="AC28" s="39">
        <f t="shared" si="0"/>
        <v>44794.333333333336</v>
      </c>
      <c r="AD28" s="495">
        <f t="shared" si="1"/>
        <v>44794.291666666664</v>
      </c>
      <c r="AE28" s="40">
        <f t="shared" si="2"/>
        <v>44794.25</v>
      </c>
    </row>
    <row r="29" spans="1:31" ht="21" customHeight="1" thickBot="1" x14ac:dyDescent="0.3">
      <c r="A29" s="445">
        <v>3</v>
      </c>
      <c r="B29" s="220">
        <v>44794</v>
      </c>
      <c r="C29" s="228">
        <v>44794.375</v>
      </c>
      <c r="D29" s="493">
        <v>44794.583333333336</v>
      </c>
      <c r="E29" s="493">
        <v>44794.625</v>
      </c>
      <c r="F29" s="493">
        <v>44794.666666666664</v>
      </c>
      <c r="G29" s="258">
        <v>44794.666666666664</v>
      </c>
      <c r="H29" s="226" t="s">
        <v>280</v>
      </c>
      <c r="I29" s="223" t="s">
        <v>50</v>
      </c>
      <c r="J29" s="246" t="s">
        <v>15</v>
      </c>
      <c r="K29" s="497">
        <v>0</v>
      </c>
      <c r="L29" s="497">
        <v>2</v>
      </c>
      <c r="M29" s="251" t="s">
        <v>4</v>
      </c>
      <c r="N29" s="52">
        <v>45122.417974537035</v>
      </c>
      <c r="O29" s="53" t="s">
        <v>49</v>
      </c>
      <c r="P29" s="54" t="s">
        <v>603</v>
      </c>
      <c r="R29" s="210">
        <v>1</v>
      </c>
      <c r="S29" s="210">
        <v>2</v>
      </c>
      <c r="T29" s="56">
        <v>1.2000997066497803</v>
      </c>
      <c r="U29" s="57">
        <v>1.7209998369216919</v>
      </c>
      <c r="V29" s="215">
        <v>0.26624545167415331</v>
      </c>
      <c r="W29" s="494">
        <v>0.23763439824817514</v>
      </c>
      <c r="X29" s="494">
        <v>0.49386224150657654</v>
      </c>
      <c r="Y29" s="59">
        <v>0</v>
      </c>
      <c r="Z29" s="60">
        <v>2</v>
      </c>
      <c r="AA29" s="61"/>
      <c r="AB29" s="62"/>
      <c r="AC29" s="39">
        <f t="shared" si="0"/>
        <v>44794.333333333336</v>
      </c>
      <c r="AD29" s="495">
        <f t="shared" si="1"/>
        <v>44794.291666666664</v>
      </c>
      <c r="AE29" s="40">
        <f t="shared" si="2"/>
        <v>44794.25</v>
      </c>
    </row>
    <row r="30" spans="1:31" ht="21" customHeight="1" thickBot="1" x14ac:dyDescent="0.3">
      <c r="A30" s="445">
        <v>3</v>
      </c>
      <c r="B30" s="220">
        <v>44794</v>
      </c>
      <c r="C30" s="228">
        <v>44794.479166666664</v>
      </c>
      <c r="D30" s="493">
        <v>44794.6875</v>
      </c>
      <c r="E30" s="493">
        <v>44794.729166666664</v>
      </c>
      <c r="F30" s="493">
        <v>44794.770833333336</v>
      </c>
      <c r="G30" s="258">
        <v>44794.770833333336</v>
      </c>
      <c r="H30" s="226" t="s">
        <v>303</v>
      </c>
      <c r="I30" s="223" t="s">
        <v>55</v>
      </c>
      <c r="J30" s="243" t="s">
        <v>12</v>
      </c>
      <c r="K30" s="497">
        <v>3</v>
      </c>
      <c r="L30" s="497">
        <v>3</v>
      </c>
      <c r="M30" s="248" t="s">
        <v>10</v>
      </c>
      <c r="N30" s="52">
        <v>45122.417974537035</v>
      </c>
      <c r="O30" s="53" t="s">
        <v>49</v>
      </c>
      <c r="P30" s="54" t="s">
        <v>603</v>
      </c>
      <c r="R30" s="210">
        <v>1</v>
      </c>
      <c r="S30" s="210">
        <v>2</v>
      </c>
      <c r="T30" s="56">
        <v>1.2000998258590698</v>
      </c>
      <c r="U30" s="57">
        <v>2.1009998321533203</v>
      </c>
      <c r="V30" s="215">
        <v>0.21173149659688364</v>
      </c>
      <c r="W30" s="494">
        <v>0.20756412690050929</v>
      </c>
      <c r="X30" s="494">
        <v>0.57457780838012695</v>
      </c>
      <c r="Y30" s="59">
        <v>3</v>
      </c>
      <c r="Z30" s="60">
        <v>3</v>
      </c>
      <c r="AA30" s="61"/>
      <c r="AB30" s="62"/>
      <c r="AC30" s="39">
        <f t="shared" si="0"/>
        <v>44794.4375</v>
      </c>
      <c r="AD30" s="495">
        <f t="shared" si="1"/>
        <v>44794.395833333328</v>
      </c>
      <c r="AE30" s="40">
        <f t="shared" si="2"/>
        <v>44794.354166666664</v>
      </c>
    </row>
    <row r="31" spans="1:31" ht="21" customHeight="1" thickBot="1" x14ac:dyDescent="0.3">
      <c r="A31" s="445">
        <v>3</v>
      </c>
      <c r="B31" s="220">
        <v>44795</v>
      </c>
      <c r="C31" s="228">
        <v>44795.625</v>
      </c>
      <c r="D31" s="493">
        <v>44795.833333333336</v>
      </c>
      <c r="E31" s="493">
        <v>44795.875</v>
      </c>
      <c r="F31" s="493">
        <v>44795.916666666664</v>
      </c>
      <c r="G31" s="258">
        <v>44795.916666666664</v>
      </c>
      <c r="H31" s="226" t="s">
        <v>253</v>
      </c>
      <c r="I31" s="223" t="s">
        <v>56</v>
      </c>
      <c r="J31" s="246" t="s">
        <v>11</v>
      </c>
      <c r="K31" s="497">
        <v>2</v>
      </c>
      <c r="L31" s="497">
        <v>1</v>
      </c>
      <c r="M31" s="251" t="s">
        <v>9</v>
      </c>
      <c r="N31" s="52">
        <v>45122.417974537035</v>
      </c>
      <c r="O31" s="53" t="s">
        <v>49</v>
      </c>
      <c r="P31" s="54" t="s">
        <v>603</v>
      </c>
      <c r="R31" s="210">
        <v>1</v>
      </c>
      <c r="S31" s="210">
        <v>2</v>
      </c>
      <c r="T31" s="56">
        <v>1.651099681854248</v>
      </c>
      <c r="U31" s="57">
        <v>1.9709998369216919</v>
      </c>
      <c r="V31" s="215">
        <v>0.32604875131091765</v>
      </c>
      <c r="W31" s="494">
        <v>0.21599528104979673</v>
      </c>
      <c r="X31" s="494">
        <v>0.45217412710189819</v>
      </c>
      <c r="Y31" s="59">
        <v>2</v>
      </c>
      <c r="Z31" s="60">
        <v>1</v>
      </c>
      <c r="AA31" s="61"/>
      <c r="AB31" s="62"/>
      <c r="AC31" s="39">
        <f t="shared" si="0"/>
        <v>44795.583333333336</v>
      </c>
      <c r="AD31" s="495">
        <f t="shared" si="1"/>
        <v>44795.541666666664</v>
      </c>
      <c r="AE31" s="40">
        <f t="shared" si="2"/>
        <v>44795.5</v>
      </c>
    </row>
    <row r="32" spans="1:31" ht="21" customHeight="1" thickBot="1" x14ac:dyDescent="0.3">
      <c r="A32" s="444">
        <v>4</v>
      </c>
      <c r="B32" s="219">
        <v>44800</v>
      </c>
      <c r="C32" s="230">
        <v>44800.3125</v>
      </c>
      <c r="D32" s="256">
        <v>44800.520833333336</v>
      </c>
      <c r="E32" s="256">
        <v>44800.5625</v>
      </c>
      <c r="F32" s="256">
        <v>44800.604166666664</v>
      </c>
      <c r="G32" s="257">
        <v>44800.604166666664</v>
      </c>
      <c r="H32" s="225" t="s">
        <v>212</v>
      </c>
      <c r="I32" s="222" t="s">
        <v>60</v>
      </c>
      <c r="J32" s="252" t="s">
        <v>13</v>
      </c>
      <c r="K32" s="497">
        <v>0</v>
      </c>
      <c r="L32" s="497">
        <v>1</v>
      </c>
      <c r="M32" s="253" t="s">
        <v>11</v>
      </c>
      <c r="N32" s="41">
        <v>45122.417974537035</v>
      </c>
      <c r="O32" s="42" t="s">
        <v>49</v>
      </c>
      <c r="P32" s="43" t="s">
        <v>603</v>
      </c>
      <c r="Q32" s="44"/>
      <c r="R32" s="212">
        <v>1</v>
      </c>
      <c r="S32" s="212">
        <v>1</v>
      </c>
      <c r="T32" s="45">
        <v>1.0130997896194458</v>
      </c>
      <c r="U32" s="46">
        <v>1.2935712337493896</v>
      </c>
      <c r="V32" s="213">
        <v>0.29114646597103749</v>
      </c>
      <c r="W32" s="214">
        <v>0.27963512409518038</v>
      </c>
      <c r="X32" s="214">
        <v>0.42873623967170715</v>
      </c>
      <c r="Y32" s="47">
        <v>0</v>
      </c>
      <c r="Z32" s="48">
        <v>1</v>
      </c>
      <c r="AA32" s="49"/>
      <c r="AB32" s="50"/>
      <c r="AC32" s="75">
        <f t="shared" si="0"/>
        <v>44800.270833333336</v>
      </c>
      <c r="AD32" s="76">
        <f t="shared" si="1"/>
        <v>44800.229166666664</v>
      </c>
      <c r="AE32" s="77">
        <f t="shared" si="2"/>
        <v>44800.1875</v>
      </c>
    </row>
    <row r="33" spans="1:31" ht="21" customHeight="1" thickBot="1" x14ac:dyDescent="0.3">
      <c r="A33" s="445">
        <v>4</v>
      </c>
      <c r="B33" s="220">
        <v>44800</v>
      </c>
      <c r="C33" s="228">
        <v>44800.416666666664</v>
      </c>
      <c r="D33" s="493">
        <v>44800.625</v>
      </c>
      <c r="E33" s="493">
        <v>44800.666666666664</v>
      </c>
      <c r="F33" s="493">
        <v>44800.708333333336</v>
      </c>
      <c r="G33" s="258">
        <v>44800.708333333336</v>
      </c>
      <c r="H33" s="226" t="s">
        <v>165</v>
      </c>
      <c r="I33" s="223" t="s">
        <v>593</v>
      </c>
      <c r="J33" s="243" t="s">
        <v>125</v>
      </c>
      <c r="K33" s="497">
        <v>1</v>
      </c>
      <c r="L33" s="497">
        <v>1</v>
      </c>
      <c r="M33" s="248" t="s">
        <v>7</v>
      </c>
      <c r="N33" s="52">
        <v>45122.417974537035</v>
      </c>
      <c r="O33" s="53" t="s">
        <v>49</v>
      </c>
      <c r="P33" s="54" t="s">
        <v>603</v>
      </c>
      <c r="R33" s="210">
        <v>2</v>
      </c>
      <c r="S33" s="210">
        <v>1</v>
      </c>
      <c r="T33" s="56">
        <v>1.9150997400283813</v>
      </c>
      <c r="U33" s="57">
        <v>1.0809997320175171</v>
      </c>
      <c r="V33" s="215">
        <v>0.56451786149587679</v>
      </c>
      <c r="W33" s="494">
        <v>0.22105983501801194</v>
      </c>
      <c r="X33" s="494">
        <v>0.21069273352622986</v>
      </c>
      <c r="Y33" s="59">
        <v>1</v>
      </c>
      <c r="Z33" s="60">
        <v>1</v>
      </c>
      <c r="AA33" s="61"/>
      <c r="AB33" s="62"/>
      <c r="AC33" s="39">
        <f t="shared" si="0"/>
        <v>44800.375</v>
      </c>
      <c r="AD33" s="495">
        <f t="shared" si="1"/>
        <v>44800.333333333328</v>
      </c>
      <c r="AE33" s="40">
        <f t="shared" si="2"/>
        <v>44800.291666666664</v>
      </c>
    </row>
    <row r="34" spans="1:31" ht="21" customHeight="1" thickBot="1" x14ac:dyDescent="0.3">
      <c r="A34" s="445">
        <v>4</v>
      </c>
      <c r="B34" s="220">
        <v>44800</v>
      </c>
      <c r="C34" s="228">
        <v>44800.416666666664</v>
      </c>
      <c r="D34" s="493">
        <v>44800.625</v>
      </c>
      <c r="E34" s="493">
        <v>44800.666666666664</v>
      </c>
      <c r="F34" s="493">
        <v>44800.708333333336</v>
      </c>
      <c r="G34" s="258">
        <v>44800.708333333336</v>
      </c>
      <c r="H34" s="226" t="s">
        <v>275</v>
      </c>
      <c r="I34" s="223" t="s">
        <v>151</v>
      </c>
      <c r="J34" s="243" t="s">
        <v>4</v>
      </c>
      <c r="K34" s="497">
        <v>1</v>
      </c>
      <c r="L34" s="497">
        <v>0</v>
      </c>
      <c r="M34" s="248" t="s">
        <v>139</v>
      </c>
      <c r="N34" s="52">
        <v>45122.417974537035</v>
      </c>
      <c r="O34" s="53" t="s">
        <v>49</v>
      </c>
      <c r="P34" s="54" t="s">
        <v>603</v>
      </c>
      <c r="R34" s="210">
        <v>2</v>
      </c>
      <c r="S34" s="210">
        <v>1</v>
      </c>
      <c r="T34" s="56">
        <v>2.0186570712498253</v>
      </c>
      <c r="U34" s="57">
        <v>0.90942835807800293</v>
      </c>
      <c r="V34" s="215">
        <v>0.62663652680131199</v>
      </c>
      <c r="W34" s="494">
        <v>0.20712250317859032</v>
      </c>
      <c r="X34" s="494">
        <v>0.16143243014812469</v>
      </c>
      <c r="Y34" s="59">
        <v>1</v>
      </c>
      <c r="Z34" s="60">
        <v>0</v>
      </c>
      <c r="AA34" s="61"/>
      <c r="AB34" s="62"/>
      <c r="AC34" s="39">
        <f t="shared" si="0"/>
        <v>44800.375</v>
      </c>
      <c r="AD34" s="495">
        <f t="shared" si="1"/>
        <v>44800.333333333328</v>
      </c>
      <c r="AE34" s="40">
        <f t="shared" si="2"/>
        <v>44800.291666666664</v>
      </c>
    </row>
    <row r="35" spans="1:31" ht="21" customHeight="1" thickBot="1" x14ac:dyDescent="0.3">
      <c r="A35" s="445">
        <v>4</v>
      </c>
      <c r="B35" s="220">
        <v>44800</v>
      </c>
      <c r="C35" s="228">
        <v>44800.416666666664</v>
      </c>
      <c r="D35" s="493">
        <v>44800.625</v>
      </c>
      <c r="E35" s="493">
        <v>44800.666666666664</v>
      </c>
      <c r="F35" s="493">
        <v>44800.708333333336</v>
      </c>
      <c r="G35" s="258">
        <v>44800.708333333336</v>
      </c>
      <c r="H35" s="226" t="s">
        <v>354</v>
      </c>
      <c r="I35" s="223" t="s">
        <v>62</v>
      </c>
      <c r="J35" s="243" t="s">
        <v>5</v>
      </c>
      <c r="K35" s="497">
        <v>2</v>
      </c>
      <c r="L35" s="497">
        <v>1</v>
      </c>
      <c r="M35" s="248" t="s">
        <v>8</v>
      </c>
      <c r="N35" s="52">
        <v>45122.417974537035</v>
      </c>
      <c r="O35" s="53" t="s">
        <v>49</v>
      </c>
      <c r="P35" s="54" t="s">
        <v>603</v>
      </c>
      <c r="R35" s="210">
        <v>1</v>
      </c>
      <c r="S35" s="210">
        <v>1</v>
      </c>
      <c r="T35" s="56">
        <v>1.3963712964739117</v>
      </c>
      <c r="U35" s="57">
        <v>1.0109997987747192</v>
      </c>
      <c r="V35" s="215">
        <v>0.45725015220558596</v>
      </c>
      <c r="W35" s="494">
        <v>0.26974382138363817</v>
      </c>
      <c r="X35" s="494">
        <v>0.27230402827262878</v>
      </c>
      <c r="Y35" s="59">
        <v>2</v>
      </c>
      <c r="Z35" s="60">
        <v>1</v>
      </c>
      <c r="AA35" s="61"/>
      <c r="AB35" s="62"/>
      <c r="AC35" s="39">
        <f t="shared" si="0"/>
        <v>44800.375</v>
      </c>
      <c r="AD35" s="495">
        <f t="shared" si="1"/>
        <v>44800.333333333328</v>
      </c>
      <c r="AE35" s="40">
        <f t="shared" si="2"/>
        <v>44800.291666666664</v>
      </c>
    </row>
    <row r="36" spans="1:31" ht="21" customHeight="1" thickBot="1" x14ac:dyDescent="0.3">
      <c r="A36" s="445">
        <v>4</v>
      </c>
      <c r="B36" s="220">
        <v>44800</v>
      </c>
      <c r="C36" s="228">
        <v>44800.416666666664</v>
      </c>
      <c r="D36" s="493">
        <v>44800.625</v>
      </c>
      <c r="E36" s="493">
        <v>44800.666666666664</v>
      </c>
      <c r="F36" s="493">
        <v>44800.708333333336</v>
      </c>
      <c r="G36" s="258">
        <v>44800.708333333336</v>
      </c>
      <c r="H36" s="226" t="s">
        <v>442</v>
      </c>
      <c r="I36" s="223" t="s">
        <v>48</v>
      </c>
      <c r="J36" s="243" t="s">
        <v>9</v>
      </c>
      <c r="K36" s="497">
        <v>9</v>
      </c>
      <c r="L36" s="497">
        <v>0</v>
      </c>
      <c r="M36" s="248" t="s">
        <v>3</v>
      </c>
      <c r="N36" s="52">
        <v>45122.417974537035</v>
      </c>
      <c r="O36" s="53" t="s">
        <v>49</v>
      </c>
      <c r="P36" s="54" t="s">
        <v>603</v>
      </c>
      <c r="R36" s="210">
        <v>2</v>
      </c>
      <c r="S36" s="210">
        <v>1</v>
      </c>
      <c r="T36" s="56">
        <v>1.8236427647726876</v>
      </c>
      <c r="U36" s="57">
        <v>0.930999755859375</v>
      </c>
      <c r="V36" s="215">
        <v>0.58101612199260633</v>
      </c>
      <c r="W36" s="494">
        <v>0.22715576608261576</v>
      </c>
      <c r="X36" s="494">
        <v>0.18901547789573669</v>
      </c>
      <c r="Y36" s="59">
        <v>9</v>
      </c>
      <c r="Z36" s="60">
        <v>0</v>
      </c>
      <c r="AA36" s="61"/>
      <c r="AB36" s="62"/>
      <c r="AC36" s="39">
        <f t="shared" si="0"/>
        <v>44800.375</v>
      </c>
      <c r="AD36" s="495">
        <f t="shared" si="1"/>
        <v>44800.333333333328</v>
      </c>
      <c r="AE36" s="40">
        <f t="shared" si="2"/>
        <v>44800.291666666664</v>
      </c>
    </row>
    <row r="37" spans="1:31" ht="21" customHeight="1" thickBot="1" x14ac:dyDescent="0.3">
      <c r="A37" s="445">
        <v>4</v>
      </c>
      <c r="B37" s="220">
        <v>44800</v>
      </c>
      <c r="C37" s="228">
        <v>44800.416666666664</v>
      </c>
      <c r="D37" s="493">
        <v>44800.625</v>
      </c>
      <c r="E37" s="493">
        <v>44800.666666666664</v>
      </c>
      <c r="F37" s="493">
        <v>44800.708333333336</v>
      </c>
      <c r="G37" s="258">
        <v>44800.708333333336</v>
      </c>
      <c r="H37" s="226" t="s">
        <v>258</v>
      </c>
      <c r="I37" s="223" t="s">
        <v>61</v>
      </c>
      <c r="J37" s="245" t="s">
        <v>10</v>
      </c>
      <c r="K37" s="497">
        <v>4</v>
      </c>
      <c r="L37" s="497">
        <v>2</v>
      </c>
      <c r="M37" s="250" t="s">
        <v>6</v>
      </c>
      <c r="N37" s="52">
        <v>45122.417974537035</v>
      </c>
      <c r="O37" s="53" t="s">
        <v>49</v>
      </c>
      <c r="P37" s="54" t="s">
        <v>603</v>
      </c>
      <c r="R37" s="210">
        <v>2</v>
      </c>
      <c r="S37" s="210">
        <v>0</v>
      </c>
      <c r="T37" s="56">
        <v>2.0375140735081261</v>
      </c>
      <c r="U37" s="57">
        <v>0.69099974632263184</v>
      </c>
      <c r="V37" s="215">
        <v>0.68420218738794603</v>
      </c>
      <c r="W37" s="494">
        <v>0.19517989358846158</v>
      </c>
      <c r="X37" s="494">
        <v>0.11560750752687454</v>
      </c>
      <c r="Y37" s="59">
        <v>4</v>
      </c>
      <c r="Z37" s="60">
        <v>2</v>
      </c>
      <c r="AA37" s="61"/>
      <c r="AB37" s="62"/>
      <c r="AC37" s="39">
        <f t="shared" si="0"/>
        <v>44800.375</v>
      </c>
      <c r="AD37" s="495">
        <f t="shared" si="1"/>
        <v>44800.333333333328</v>
      </c>
      <c r="AE37" s="40">
        <f t="shared" si="2"/>
        <v>44800.291666666664</v>
      </c>
    </row>
    <row r="38" spans="1:31" ht="21" customHeight="1" thickBot="1" x14ac:dyDescent="0.3">
      <c r="A38" s="445">
        <v>4</v>
      </c>
      <c r="B38" s="220">
        <v>44800</v>
      </c>
      <c r="C38" s="228">
        <v>44800.520833333336</v>
      </c>
      <c r="D38" s="493">
        <v>44800.729166666664</v>
      </c>
      <c r="E38" s="493">
        <v>44800.770833333336</v>
      </c>
      <c r="F38" s="493">
        <v>44800.8125</v>
      </c>
      <c r="G38" s="258">
        <v>44800.8125</v>
      </c>
      <c r="H38" s="226" t="s">
        <v>441</v>
      </c>
      <c r="I38" s="223" t="s">
        <v>57</v>
      </c>
      <c r="J38" s="243" t="s">
        <v>1</v>
      </c>
      <c r="K38" s="497">
        <v>2</v>
      </c>
      <c r="L38" s="497">
        <v>1</v>
      </c>
      <c r="M38" s="248" t="s">
        <v>126</v>
      </c>
      <c r="N38" s="52">
        <v>45122.417974537035</v>
      </c>
      <c r="O38" s="53" t="s">
        <v>49</v>
      </c>
      <c r="P38" s="54" t="s">
        <v>603</v>
      </c>
      <c r="R38" s="210">
        <v>2</v>
      </c>
      <c r="S38" s="210">
        <v>1</v>
      </c>
      <c r="T38" s="56">
        <v>2.3000996112823486</v>
      </c>
      <c r="U38" s="57">
        <v>1.0609997510910034</v>
      </c>
      <c r="V38" s="215">
        <v>0.6419641602291164</v>
      </c>
      <c r="W38" s="494">
        <v>0.18739964741381146</v>
      </c>
      <c r="X38" s="494">
        <v>0.16115380823612213</v>
      </c>
      <c r="Y38" s="59">
        <v>2</v>
      </c>
      <c r="Z38" s="60">
        <v>1</v>
      </c>
      <c r="AA38" s="61"/>
      <c r="AB38" s="62"/>
      <c r="AC38" s="39">
        <f t="shared" si="0"/>
        <v>44800.479166666672</v>
      </c>
      <c r="AD38" s="495">
        <f t="shared" si="1"/>
        <v>44800.4375</v>
      </c>
      <c r="AE38" s="40">
        <f t="shared" si="2"/>
        <v>44800.395833333336</v>
      </c>
    </row>
    <row r="39" spans="1:31" ht="21" customHeight="1" thickBot="1" x14ac:dyDescent="0.3">
      <c r="A39" s="445">
        <v>4</v>
      </c>
      <c r="B39" s="220">
        <v>44801</v>
      </c>
      <c r="C39" s="228">
        <v>44801.375</v>
      </c>
      <c r="D39" s="493">
        <v>44801.583333333336</v>
      </c>
      <c r="E39" s="493">
        <v>44801.625</v>
      </c>
      <c r="F39" s="493">
        <v>44801.666666666664</v>
      </c>
      <c r="G39" s="258">
        <v>44801.666666666664</v>
      </c>
      <c r="H39" s="226" t="s">
        <v>255</v>
      </c>
      <c r="I39" s="223" t="s">
        <v>58</v>
      </c>
      <c r="J39" s="245" t="s">
        <v>2</v>
      </c>
      <c r="K39" s="497">
        <v>0</v>
      </c>
      <c r="L39" s="497">
        <v>1</v>
      </c>
      <c r="M39" s="250" t="s">
        <v>15</v>
      </c>
      <c r="N39" s="52">
        <v>45122.417974537035</v>
      </c>
      <c r="O39" s="53" t="s">
        <v>49</v>
      </c>
      <c r="P39" s="54" t="s">
        <v>603</v>
      </c>
      <c r="R39" s="210">
        <v>2</v>
      </c>
      <c r="S39" s="210">
        <v>1</v>
      </c>
      <c r="T39" s="56">
        <v>1.4640997648239136</v>
      </c>
      <c r="U39" s="57">
        <v>1.1209996938705444</v>
      </c>
      <c r="V39" s="215">
        <v>0.44929346534761716</v>
      </c>
      <c r="W39" s="494">
        <v>0.26016261455822626</v>
      </c>
      <c r="X39" s="494">
        <v>0.2895713746547699</v>
      </c>
      <c r="Y39" s="59">
        <v>0</v>
      </c>
      <c r="Z39" s="60">
        <v>1</v>
      </c>
      <c r="AA39" s="61"/>
      <c r="AB39" s="62"/>
      <c r="AC39" s="39">
        <f t="shared" si="0"/>
        <v>44801.333333333336</v>
      </c>
      <c r="AD39" s="495">
        <f t="shared" si="1"/>
        <v>44801.291666666664</v>
      </c>
      <c r="AE39" s="40">
        <f t="shared" si="2"/>
        <v>44801.25</v>
      </c>
    </row>
    <row r="40" spans="1:31" ht="21" customHeight="1" thickBot="1" x14ac:dyDescent="0.3">
      <c r="A40" s="445">
        <v>4</v>
      </c>
      <c r="B40" s="220">
        <v>44801</v>
      </c>
      <c r="C40" s="228">
        <v>44801.375</v>
      </c>
      <c r="D40" s="493">
        <v>44801.583333333336</v>
      </c>
      <c r="E40" s="493">
        <v>44801.625</v>
      </c>
      <c r="F40" s="493">
        <v>44801.666666666664</v>
      </c>
      <c r="G40" s="258">
        <v>44801.666666666664</v>
      </c>
      <c r="H40" s="226" t="s">
        <v>243</v>
      </c>
      <c r="I40" s="223" t="s">
        <v>63</v>
      </c>
      <c r="J40" s="243" t="s">
        <v>16</v>
      </c>
      <c r="K40" s="497">
        <v>1</v>
      </c>
      <c r="L40" s="497">
        <v>1</v>
      </c>
      <c r="M40" s="248" t="s">
        <v>12</v>
      </c>
      <c r="N40" s="52">
        <v>45122.417974537035</v>
      </c>
      <c r="O40" s="53" t="s">
        <v>49</v>
      </c>
      <c r="P40" s="54" t="s">
        <v>603</v>
      </c>
      <c r="R40" s="210">
        <v>1</v>
      </c>
      <c r="S40" s="210">
        <v>2</v>
      </c>
      <c r="T40" s="56">
        <v>0.87009978294372559</v>
      </c>
      <c r="U40" s="57">
        <v>1.5909997224807739</v>
      </c>
      <c r="V40" s="215">
        <v>0.20527110230373738</v>
      </c>
      <c r="W40" s="494">
        <v>0.25123158671098289</v>
      </c>
      <c r="X40" s="494">
        <v>0.54216831922531128</v>
      </c>
      <c r="Y40" s="59">
        <v>1</v>
      </c>
      <c r="Z40" s="60">
        <v>1</v>
      </c>
      <c r="AA40" s="61"/>
      <c r="AB40" s="62"/>
      <c r="AC40" s="39">
        <f t="shared" si="0"/>
        <v>44801.333333333336</v>
      </c>
      <c r="AD40" s="495">
        <f t="shared" si="1"/>
        <v>44801.291666666664</v>
      </c>
      <c r="AE40" s="40">
        <f t="shared" si="2"/>
        <v>44801.25</v>
      </c>
    </row>
    <row r="41" spans="1:31" ht="21" customHeight="1" thickBot="1" x14ac:dyDescent="0.3">
      <c r="A41" s="445">
        <v>4</v>
      </c>
      <c r="B41" s="220">
        <v>44801</v>
      </c>
      <c r="C41" s="228">
        <v>44801.479166666664</v>
      </c>
      <c r="D41" s="493">
        <v>44801.6875</v>
      </c>
      <c r="E41" s="493">
        <v>44801.729166666664</v>
      </c>
      <c r="F41" s="493">
        <v>44801.770833333336</v>
      </c>
      <c r="G41" s="258">
        <v>44801.770833333336</v>
      </c>
      <c r="H41" s="226" t="s">
        <v>443</v>
      </c>
      <c r="I41" s="223" t="s">
        <v>436</v>
      </c>
      <c r="J41" s="243" t="s">
        <v>204</v>
      </c>
      <c r="K41" s="497">
        <v>0</v>
      </c>
      <c r="L41" s="497">
        <v>2</v>
      </c>
      <c r="M41" s="248" t="s">
        <v>14</v>
      </c>
      <c r="N41" s="52">
        <v>45122.417974537035</v>
      </c>
      <c r="O41" s="53" t="s">
        <v>49</v>
      </c>
      <c r="P41" s="54" t="s">
        <v>603</v>
      </c>
      <c r="R41" s="210">
        <v>1</v>
      </c>
      <c r="S41" s="210">
        <v>2</v>
      </c>
      <c r="T41" s="56">
        <v>1.0020997524261475</v>
      </c>
      <c r="U41" s="57">
        <v>1.9309998750686646</v>
      </c>
      <c r="V41" s="215">
        <v>0.19136180083806775</v>
      </c>
      <c r="W41" s="494">
        <v>0.21818428401066156</v>
      </c>
      <c r="X41" s="494">
        <v>0.58661055564880371</v>
      </c>
      <c r="Y41" s="59">
        <v>0</v>
      </c>
      <c r="Z41" s="60">
        <v>2</v>
      </c>
      <c r="AA41" s="61"/>
      <c r="AB41" s="62"/>
      <c r="AC41" s="39">
        <f t="shared" si="0"/>
        <v>44801.4375</v>
      </c>
      <c r="AD41" s="495">
        <f t="shared" si="1"/>
        <v>44801.395833333328</v>
      </c>
      <c r="AE41" s="40">
        <f t="shared" si="2"/>
        <v>44801.354166666664</v>
      </c>
    </row>
    <row r="42" spans="1:31" ht="21" customHeight="1" thickBot="1" x14ac:dyDescent="0.3">
      <c r="A42" s="444">
        <v>5</v>
      </c>
      <c r="B42" s="219">
        <v>44803</v>
      </c>
      <c r="C42" s="230">
        <v>44803.604166666664</v>
      </c>
      <c r="D42" s="256">
        <v>44803.8125</v>
      </c>
      <c r="E42" s="256">
        <v>44803.854166666664</v>
      </c>
      <c r="F42" s="256">
        <v>44803.895833333336</v>
      </c>
      <c r="G42" s="257">
        <v>44803.895833333336</v>
      </c>
      <c r="H42" s="225" t="s">
        <v>150</v>
      </c>
      <c r="I42" s="222" t="s">
        <v>52</v>
      </c>
      <c r="J42" s="242" t="s">
        <v>6</v>
      </c>
      <c r="K42" s="497">
        <v>1</v>
      </c>
      <c r="L42" s="497">
        <v>1</v>
      </c>
      <c r="M42" s="247" t="s">
        <v>125</v>
      </c>
      <c r="N42" s="41">
        <v>45122.417974537035</v>
      </c>
      <c r="O42" s="42" t="s">
        <v>49</v>
      </c>
      <c r="P42" s="43" t="s">
        <v>603</v>
      </c>
      <c r="Q42" s="44"/>
      <c r="R42" s="212">
        <v>1</v>
      </c>
      <c r="S42" s="212">
        <v>1</v>
      </c>
      <c r="T42" s="45">
        <v>0.54732845510755268</v>
      </c>
      <c r="U42" s="46">
        <v>0.54471415281295776</v>
      </c>
      <c r="V42" s="213">
        <v>0.27921846023792807</v>
      </c>
      <c r="W42" s="214">
        <v>0.44327229773417665</v>
      </c>
      <c r="X42" s="214">
        <v>0.27750569581985474</v>
      </c>
      <c r="Y42" s="47">
        <v>1</v>
      </c>
      <c r="Z42" s="48">
        <v>1</v>
      </c>
      <c r="AA42" s="49"/>
      <c r="AB42" s="50"/>
      <c r="AC42" s="75">
        <f t="shared" si="0"/>
        <v>44803.5625</v>
      </c>
      <c r="AD42" s="76">
        <f t="shared" si="1"/>
        <v>44803.520833333328</v>
      </c>
      <c r="AE42" s="77">
        <f t="shared" si="2"/>
        <v>44803.479166666664</v>
      </c>
    </row>
    <row r="43" spans="1:31" ht="21" customHeight="1" thickBot="1" x14ac:dyDescent="0.3">
      <c r="A43" s="445">
        <v>5</v>
      </c>
      <c r="B43" s="220">
        <v>44803</v>
      </c>
      <c r="C43" s="228">
        <v>44803.604166666664</v>
      </c>
      <c r="D43" s="493">
        <v>44803.8125</v>
      </c>
      <c r="E43" s="493">
        <v>44803.854166666664</v>
      </c>
      <c r="F43" s="493">
        <v>44803.895833333336</v>
      </c>
      <c r="G43" s="258">
        <v>44803.895833333336</v>
      </c>
      <c r="H43" s="226" t="s">
        <v>445</v>
      </c>
      <c r="I43" s="223" t="s">
        <v>431</v>
      </c>
      <c r="J43" s="243" t="s">
        <v>126</v>
      </c>
      <c r="K43" s="497">
        <v>2</v>
      </c>
      <c r="L43" s="497">
        <v>1</v>
      </c>
      <c r="M43" s="248" t="s">
        <v>4</v>
      </c>
      <c r="N43" s="52">
        <v>45122.417974537035</v>
      </c>
      <c r="O43" s="53" t="s">
        <v>49</v>
      </c>
      <c r="P43" s="54" t="s">
        <v>603</v>
      </c>
      <c r="R43" s="210">
        <v>0</v>
      </c>
      <c r="S43" s="210">
        <v>1</v>
      </c>
      <c r="T43" s="56">
        <v>0.4860427890505109</v>
      </c>
      <c r="U43" s="57">
        <v>0.82757139205932617</v>
      </c>
      <c r="V43" s="215">
        <v>0.2014372321877877</v>
      </c>
      <c r="W43" s="494">
        <v>0.38835899906889093</v>
      </c>
      <c r="X43" s="494">
        <v>0.41017723083496094</v>
      </c>
      <c r="Y43" s="59">
        <v>2</v>
      </c>
      <c r="Z43" s="60">
        <v>1</v>
      </c>
      <c r="AA43" s="61"/>
      <c r="AB43" s="62"/>
      <c r="AC43" s="39">
        <f t="shared" si="0"/>
        <v>44803.5625</v>
      </c>
      <c r="AD43" s="495">
        <f t="shared" si="1"/>
        <v>44803.520833333328</v>
      </c>
      <c r="AE43" s="40">
        <f t="shared" si="2"/>
        <v>44803.479166666664</v>
      </c>
    </row>
    <row r="44" spans="1:31" ht="21" customHeight="1" thickBot="1" x14ac:dyDescent="0.3">
      <c r="A44" s="445">
        <v>5</v>
      </c>
      <c r="B44" s="220">
        <v>44803</v>
      </c>
      <c r="C44" s="228">
        <v>44803.614583333336</v>
      </c>
      <c r="D44" s="493">
        <v>44803.822916666664</v>
      </c>
      <c r="E44" s="493">
        <v>44803.864583333336</v>
      </c>
      <c r="F44" s="493">
        <v>44803.90625</v>
      </c>
      <c r="G44" s="258">
        <v>44803.90625</v>
      </c>
      <c r="H44" s="226" t="s">
        <v>192</v>
      </c>
      <c r="I44" s="223" t="s">
        <v>60</v>
      </c>
      <c r="J44" s="243" t="s">
        <v>13</v>
      </c>
      <c r="K44" s="497">
        <v>2</v>
      </c>
      <c r="L44" s="497">
        <v>1</v>
      </c>
      <c r="M44" s="248" t="s">
        <v>5</v>
      </c>
      <c r="N44" s="52">
        <v>45122.417974537035</v>
      </c>
      <c r="O44" s="53" t="s">
        <v>49</v>
      </c>
      <c r="P44" s="54" t="s">
        <v>603</v>
      </c>
      <c r="R44" s="210">
        <v>0</v>
      </c>
      <c r="S44" s="210">
        <v>1</v>
      </c>
      <c r="T44" s="56">
        <v>0.33518564701080322</v>
      </c>
      <c r="U44" s="57">
        <v>0.64757132530212402</v>
      </c>
      <c r="V44" s="215">
        <v>0.16485658669424971</v>
      </c>
      <c r="W44" s="494">
        <v>0.4600334388091078</v>
      </c>
      <c r="X44" s="494">
        <v>0.37510451674461365</v>
      </c>
      <c r="Y44" s="59">
        <v>2</v>
      </c>
      <c r="Z44" s="60">
        <v>1</v>
      </c>
      <c r="AA44" s="61"/>
      <c r="AB44" s="62"/>
      <c r="AC44" s="39">
        <f t="shared" si="0"/>
        <v>44803.572916666672</v>
      </c>
      <c r="AD44" s="495">
        <f t="shared" si="1"/>
        <v>44803.53125</v>
      </c>
      <c r="AE44" s="40">
        <f t="shared" si="2"/>
        <v>44803.489583333336</v>
      </c>
    </row>
    <row r="45" spans="1:31" ht="21" customHeight="1" thickBot="1" x14ac:dyDescent="0.3">
      <c r="A45" s="445">
        <v>5</v>
      </c>
      <c r="B45" s="220">
        <v>44803</v>
      </c>
      <c r="C45" s="228">
        <v>44803.625</v>
      </c>
      <c r="D45" s="493">
        <v>44803.833333333336</v>
      </c>
      <c r="E45" s="493">
        <v>44803.875</v>
      </c>
      <c r="F45" s="493">
        <v>44803.916666666664</v>
      </c>
      <c r="G45" s="258">
        <v>44803.916666666664</v>
      </c>
      <c r="H45" s="226" t="s">
        <v>210</v>
      </c>
      <c r="I45" s="223" t="s">
        <v>140</v>
      </c>
      <c r="J45" s="243" t="s">
        <v>139</v>
      </c>
      <c r="K45" s="497">
        <v>1</v>
      </c>
      <c r="L45" s="497">
        <v>1</v>
      </c>
      <c r="M45" s="248" t="s">
        <v>7</v>
      </c>
      <c r="N45" s="52">
        <v>45122.417974537035</v>
      </c>
      <c r="O45" s="53" t="s">
        <v>49</v>
      </c>
      <c r="P45" s="54" t="s">
        <v>603</v>
      </c>
      <c r="R45" s="210">
        <v>1</v>
      </c>
      <c r="S45" s="210">
        <v>1</v>
      </c>
      <c r="T45" s="56">
        <v>0.73118560654776432</v>
      </c>
      <c r="U45" s="57">
        <v>0.61328566074371338</v>
      </c>
      <c r="V45" s="215">
        <v>0.34026832606708118</v>
      </c>
      <c r="W45" s="494">
        <v>0.3913481680485576</v>
      </c>
      <c r="X45" s="494">
        <v>0.2683679461479187</v>
      </c>
      <c r="Y45" s="59">
        <v>1</v>
      </c>
      <c r="Z45" s="60">
        <v>1</v>
      </c>
      <c r="AA45" s="61"/>
      <c r="AB45" s="62"/>
      <c r="AC45" s="39">
        <f t="shared" si="0"/>
        <v>44803.583333333336</v>
      </c>
      <c r="AD45" s="495">
        <f t="shared" si="1"/>
        <v>44803.541666666664</v>
      </c>
      <c r="AE45" s="40">
        <f t="shared" si="2"/>
        <v>44803.5</v>
      </c>
    </row>
    <row r="46" spans="1:31" ht="21" customHeight="1" thickBot="1" x14ac:dyDescent="0.3">
      <c r="A46" s="445">
        <v>5</v>
      </c>
      <c r="B46" s="220">
        <v>44804</v>
      </c>
      <c r="C46" s="228">
        <v>44804.604166666664</v>
      </c>
      <c r="D46" s="493">
        <v>44804.8125</v>
      </c>
      <c r="E46" s="493">
        <v>44804.854166666664</v>
      </c>
      <c r="F46" s="493">
        <v>44804.895833333336</v>
      </c>
      <c r="G46" s="258">
        <v>44804.895833333336</v>
      </c>
      <c r="H46" s="226" t="s">
        <v>162</v>
      </c>
      <c r="I46" s="223" t="s">
        <v>57</v>
      </c>
      <c r="J46" s="243" t="s">
        <v>1</v>
      </c>
      <c r="K46" s="497">
        <v>2</v>
      </c>
      <c r="L46" s="497">
        <v>1</v>
      </c>
      <c r="M46" s="248" t="s">
        <v>2</v>
      </c>
      <c r="N46" s="52">
        <v>45122.417974537035</v>
      </c>
      <c r="O46" s="53" t="s">
        <v>49</v>
      </c>
      <c r="P46" s="54" t="s">
        <v>603</v>
      </c>
      <c r="R46" s="210">
        <v>1</v>
      </c>
      <c r="S46" s="210">
        <v>0</v>
      </c>
      <c r="T46" s="56">
        <v>1.1194855145045688</v>
      </c>
      <c r="U46" s="57">
        <v>0.52757132053375244</v>
      </c>
      <c r="V46" s="215">
        <v>0.50206773324149778</v>
      </c>
      <c r="W46" s="494">
        <v>0.3243175324859966</v>
      </c>
      <c r="X46" s="494">
        <v>0.17344781756401062</v>
      </c>
      <c r="Y46" s="59">
        <v>2</v>
      </c>
      <c r="Z46" s="60">
        <v>1</v>
      </c>
      <c r="AA46" s="61"/>
      <c r="AB46" s="62"/>
      <c r="AC46" s="39">
        <f t="shared" si="0"/>
        <v>44804.5625</v>
      </c>
      <c r="AD46" s="495">
        <f t="shared" si="1"/>
        <v>44804.520833333328</v>
      </c>
      <c r="AE46" s="40">
        <f t="shared" si="2"/>
        <v>44804.479166666664</v>
      </c>
    </row>
    <row r="47" spans="1:31" ht="21" customHeight="1" thickBot="1" x14ac:dyDescent="0.3">
      <c r="A47" s="445">
        <v>5</v>
      </c>
      <c r="B47" s="220">
        <v>44804</v>
      </c>
      <c r="C47" s="228">
        <v>44804.604166666664</v>
      </c>
      <c r="D47" s="493">
        <v>44804.8125</v>
      </c>
      <c r="E47" s="493">
        <v>44804.854166666664</v>
      </c>
      <c r="F47" s="493">
        <v>44804.895833333336</v>
      </c>
      <c r="G47" s="258">
        <v>44804.895833333336</v>
      </c>
      <c r="H47" s="226" t="s">
        <v>444</v>
      </c>
      <c r="I47" s="223" t="s">
        <v>51</v>
      </c>
      <c r="J47" s="243" t="s">
        <v>3</v>
      </c>
      <c r="K47" s="497">
        <v>0</v>
      </c>
      <c r="L47" s="497">
        <v>0</v>
      </c>
      <c r="M47" s="248" t="s">
        <v>16</v>
      </c>
      <c r="N47" s="52">
        <v>45122.417974537035</v>
      </c>
      <c r="O47" s="53" t="s">
        <v>49</v>
      </c>
      <c r="P47" s="54" t="s">
        <v>603</v>
      </c>
      <c r="R47" s="210">
        <v>1</v>
      </c>
      <c r="S47" s="210">
        <v>1</v>
      </c>
      <c r="T47" s="56">
        <v>0.71091420309884201</v>
      </c>
      <c r="U47" s="57">
        <v>0.57042843103408813</v>
      </c>
      <c r="V47" s="215">
        <v>0.34244674900774369</v>
      </c>
      <c r="W47" s="494">
        <v>0.40220739277382395</v>
      </c>
      <c r="X47" s="494">
        <v>0.25533372163772583</v>
      </c>
      <c r="Y47" s="59">
        <v>0</v>
      </c>
      <c r="Z47" s="60">
        <v>0</v>
      </c>
      <c r="AA47" s="61"/>
      <c r="AB47" s="62"/>
      <c r="AC47" s="39">
        <f t="shared" si="0"/>
        <v>44804.5625</v>
      </c>
      <c r="AD47" s="495">
        <f t="shared" si="1"/>
        <v>44804.520833333328</v>
      </c>
      <c r="AE47" s="40">
        <f t="shared" si="2"/>
        <v>44804.479166666664</v>
      </c>
    </row>
    <row r="48" spans="1:31" ht="21" customHeight="1" thickBot="1" x14ac:dyDescent="0.3">
      <c r="A48" s="445">
        <v>5</v>
      </c>
      <c r="B48" s="220">
        <v>44804</v>
      </c>
      <c r="C48" s="228">
        <v>44804.604166666664</v>
      </c>
      <c r="D48" s="493">
        <v>44804.8125</v>
      </c>
      <c r="E48" s="493">
        <v>44804.854166666664</v>
      </c>
      <c r="F48" s="493">
        <v>44804.895833333336</v>
      </c>
      <c r="G48" s="258">
        <v>44804.895833333336</v>
      </c>
      <c r="H48" s="226" t="s">
        <v>446</v>
      </c>
      <c r="I48" s="223" t="s">
        <v>61</v>
      </c>
      <c r="J48" s="243" t="s">
        <v>10</v>
      </c>
      <c r="K48" s="497">
        <v>6</v>
      </c>
      <c r="L48" s="497">
        <v>0</v>
      </c>
      <c r="M48" s="248" t="s">
        <v>204</v>
      </c>
      <c r="N48" s="52">
        <v>45122.417974537035</v>
      </c>
      <c r="O48" s="53" t="s">
        <v>49</v>
      </c>
      <c r="P48" s="54" t="s">
        <v>603</v>
      </c>
      <c r="R48" s="210">
        <v>2</v>
      </c>
      <c r="S48" s="210">
        <v>0</v>
      </c>
      <c r="T48" s="56">
        <v>1.704057012285505</v>
      </c>
      <c r="U48" s="57">
        <v>0.17614276707172394</v>
      </c>
      <c r="V48" s="215">
        <v>0.76231439526377887</v>
      </c>
      <c r="W48" s="494">
        <v>0.20190448031702848</v>
      </c>
      <c r="X48" s="494">
        <v>3.388107568025589E-2</v>
      </c>
      <c r="Y48" s="59">
        <v>6</v>
      </c>
      <c r="Z48" s="60">
        <v>0</v>
      </c>
      <c r="AA48" s="61"/>
      <c r="AB48" s="62"/>
      <c r="AC48" s="39">
        <f t="shared" si="0"/>
        <v>44804.5625</v>
      </c>
      <c r="AD48" s="495">
        <f t="shared" si="1"/>
        <v>44804.520833333328</v>
      </c>
      <c r="AE48" s="40">
        <f t="shared" si="2"/>
        <v>44804.479166666664</v>
      </c>
    </row>
    <row r="49" spans="1:31" ht="21" customHeight="1" thickBot="1" x14ac:dyDescent="0.3">
      <c r="A49" s="445">
        <v>5</v>
      </c>
      <c r="B49" s="220">
        <v>44804</v>
      </c>
      <c r="C49" s="228">
        <v>44804.614583333336</v>
      </c>
      <c r="D49" s="493">
        <v>44804.822916666664</v>
      </c>
      <c r="E49" s="493">
        <v>44804.864583333336</v>
      </c>
      <c r="F49" s="493">
        <v>44804.90625</v>
      </c>
      <c r="G49" s="258">
        <v>44804.90625</v>
      </c>
      <c r="H49" s="226" t="s">
        <v>254</v>
      </c>
      <c r="I49" s="223" t="s">
        <v>50</v>
      </c>
      <c r="J49" s="246" t="s">
        <v>15</v>
      </c>
      <c r="K49" s="497">
        <v>1</v>
      </c>
      <c r="L49" s="497">
        <v>1</v>
      </c>
      <c r="M49" s="251" t="s">
        <v>14</v>
      </c>
      <c r="N49" s="52">
        <v>45122.417974537035</v>
      </c>
      <c r="O49" s="53" t="s">
        <v>49</v>
      </c>
      <c r="P49" s="54" t="s">
        <v>603</v>
      </c>
      <c r="R49" s="210">
        <v>1</v>
      </c>
      <c r="S49" s="210">
        <v>1</v>
      </c>
      <c r="T49" s="56">
        <v>0.62275702612740647</v>
      </c>
      <c r="U49" s="57">
        <v>0.63899993896484375</v>
      </c>
      <c r="V49" s="215">
        <v>0.29114953065352039</v>
      </c>
      <c r="W49" s="494">
        <v>0.40755387504099688</v>
      </c>
      <c r="X49" s="494">
        <v>0.301287442445755</v>
      </c>
      <c r="Y49" s="59">
        <v>1</v>
      </c>
      <c r="Z49" s="60">
        <v>1</v>
      </c>
      <c r="AA49" s="61"/>
      <c r="AB49" s="62"/>
      <c r="AC49" s="39">
        <f t="shared" si="0"/>
        <v>44804.572916666672</v>
      </c>
      <c r="AD49" s="495">
        <f t="shared" si="1"/>
        <v>44804.53125</v>
      </c>
      <c r="AE49" s="40">
        <f t="shared" si="2"/>
        <v>44804.489583333336</v>
      </c>
    </row>
    <row r="50" spans="1:31" ht="21" customHeight="1" thickBot="1" x14ac:dyDescent="0.3">
      <c r="A50" s="445">
        <v>5</v>
      </c>
      <c r="B50" s="220">
        <v>44804</v>
      </c>
      <c r="C50" s="228">
        <v>44804.625</v>
      </c>
      <c r="D50" s="493">
        <v>44804.833333333336</v>
      </c>
      <c r="E50" s="493">
        <v>44804.875</v>
      </c>
      <c r="F50" s="493">
        <v>44804.916666666664</v>
      </c>
      <c r="G50" s="258">
        <v>44804.916666666664</v>
      </c>
      <c r="H50" s="226" t="s">
        <v>298</v>
      </c>
      <c r="I50" s="223" t="s">
        <v>48</v>
      </c>
      <c r="J50" s="245" t="s">
        <v>9</v>
      </c>
      <c r="K50" s="497">
        <v>2</v>
      </c>
      <c r="L50" s="497">
        <v>1</v>
      </c>
      <c r="M50" s="250" t="s">
        <v>12</v>
      </c>
      <c r="N50" s="52">
        <v>45122.417974537035</v>
      </c>
      <c r="O50" s="53" t="s">
        <v>49</v>
      </c>
      <c r="P50" s="54" t="s">
        <v>603</v>
      </c>
      <c r="R50" s="210">
        <v>1</v>
      </c>
      <c r="S50" s="210">
        <v>0</v>
      </c>
      <c r="T50" s="56">
        <v>1.1194856507437569</v>
      </c>
      <c r="U50" s="57">
        <v>0.59614282846450806</v>
      </c>
      <c r="V50" s="215">
        <v>0.48278941845541978</v>
      </c>
      <c r="W50" s="494">
        <v>0.32145256548744505</v>
      </c>
      <c r="X50" s="494">
        <v>0.19558937847614288</v>
      </c>
      <c r="Y50" s="59">
        <v>2</v>
      </c>
      <c r="Z50" s="60">
        <v>1</v>
      </c>
      <c r="AA50" s="61"/>
      <c r="AB50" s="62"/>
      <c r="AC50" s="39">
        <f t="shared" si="0"/>
        <v>44804.583333333336</v>
      </c>
      <c r="AD50" s="495">
        <f t="shared" si="1"/>
        <v>44804.541666666664</v>
      </c>
      <c r="AE50" s="40">
        <f t="shared" si="2"/>
        <v>44804.5</v>
      </c>
    </row>
    <row r="51" spans="1:31" ht="21" customHeight="1" thickBot="1" x14ac:dyDescent="0.3">
      <c r="A51" s="445">
        <v>5</v>
      </c>
      <c r="B51" s="220">
        <v>44805</v>
      </c>
      <c r="C51" s="228">
        <v>44805.625</v>
      </c>
      <c r="D51" s="493">
        <v>44805.833333333336</v>
      </c>
      <c r="E51" s="493">
        <v>44805.875</v>
      </c>
      <c r="F51" s="493">
        <v>44805.916666666664</v>
      </c>
      <c r="G51" s="258">
        <v>44805.916666666664</v>
      </c>
      <c r="H51" s="226" t="s">
        <v>246</v>
      </c>
      <c r="I51" s="223" t="s">
        <v>54</v>
      </c>
      <c r="J51" s="245" t="s">
        <v>8</v>
      </c>
      <c r="K51" s="497">
        <v>0</v>
      </c>
      <c r="L51" s="497">
        <v>1</v>
      </c>
      <c r="M51" s="250" t="s">
        <v>11</v>
      </c>
      <c r="N51" s="52">
        <v>45122.417974537035</v>
      </c>
      <c r="O51" s="53" t="s">
        <v>49</v>
      </c>
      <c r="P51" s="54" t="s">
        <v>603</v>
      </c>
      <c r="R51" s="210">
        <v>1</v>
      </c>
      <c r="S51" s="210">
        <v>1</v>
      </c>
      <c r="T51" s="56">
        <v>0.95935693808964317</v>
      </c>
      <c r="U51" s="57">
        <v>1.2721426486968994</v>
      </c>
      <c r="V51" s="215">
        <v>0.2799124253415155</v>
      </c>
      <c r="W51" s="494">
        <v>0.2842385412743188</v>
      </c>
      <c r="X51" s="494">
        <v>0.43542939424514771</v>
      </c>
      <c r="Y51" s="59">
        <v>0</v>
      </c>
      <c r="Z51" s="60">
        <v>1</v>
      </c>
      <c r="AA51" s="61"/>
      <c r="AB51" s="62"/>
      <c r="AC51" s="39">
        <f t="shared" si="0"/>
        <v>44805.583333333336</v>
      </c>
      <c r="AD51" s="495">
        <f t="shared" si="1"/>
        <v>44805.541666666664</v>
      </c>
      <c r="AE51" s="40">
        <f t="shared" si="2"/>
        <v>44805.5</v>
      </c>
    </row>
    <row r="52" spans="1:31" ht="21" customHeight="1" thickBot="1" x14ac:dyDescent="0.3">
      <c r="A52" s="444">
        <v>6</v>
      </c>
      <c r="B52" s="219">
        <v>44807</v>
      </c>
      <c r="C52" s="230">
        <v>44807.3125</v>
      </c>
      <c r="D52" s="256">
        <v>44807.520833333336</v>
      </c>
      <c r="E52" s="256">
        <v>44807.5625</v>
      </c>
      <c r="F52" s="256">
        <v>44807.604166666664</v>
      </c>
      <c r="G52" s="257">
        <v>44807.604166666664</v>
      </c>
      <c r="H52" s="225" t="s">
        <v>168</v>
      </c>
      <c r="I52" s="222" t="s">
        <v>59</v>
      </c>
      <c r="J52" s="254" t="s">
        <v>7</v>
      </c>
      <c r="K52" s="497">
        <v>0</v>
      </c>
      <c r="L52" s="497">
        <v>0</v>
      </c>
      <c r="M52" s="255" t="s">
        <v>9</v>
      </c>
      <c r="N52" s="41">
        <v>45122.417974537035</v>
      </c>
      <c r="O52" s="42" t="s">
        <v>49</v>
      </c>
      <c r="P52" s="43" t="s">
        <v>603</v>
      </c>
      <c r="Q52" s="44"/>
      <c r="R52" s="212">
        <v>0</v>
      </c>
      <c r="S52" s="212">
        <v>1</v>
      </c>
      <c r="T52" s="45">
        <v>0.5726284299577985</v>
      </c>
      <c r="U52" s="46">
        <v>0.99042850732803345</v>
      </c>
      <c r="V52" s="213">
        <v>0.20738910163948926</v>
      </c>
      <c r="W52" s="214">
        <v>0.34625548024014524</v>
      </c>
      <c r="X52" s="214">
        <v>0.44627445936203003</v>
      </c>
      <c r="Y52" s="47">
        <v>0</v>
      </c>
      <c r="Z52" s="48">
        <v>0</v>
      </c>
      <c r="AA52" s="49"/>
      <c r="AB52" s="50"/>
      <c r="AC52" s="75">
        <f t="shared" si="0"/>
        <v>44807.270833333336</v>
      </c>
      <c r="AD52" s="76">
        <f t="shared" si="1"/>
        <v>44807.229166666664</v>
      </c>
      <c r="AE52" s="77">
        <f t="shared" si="2"/>
        <v>44807.1875</v>
      </c>
    </row>
    <row r="53" spans="1:31" ht="21" customHeight="1" thickBot="1" x14ac:dyDescent="0.3">
      <c r="A53" s="445">
        <v>6</v>
      </c>
      <c r="B53" s="220">
        <v>44807</v>
      </c>
      <c r="C53" s="228">
        <v>44807.416666666664</v>
      </c>
      <c r="D53" s="493">
        <v>44807.625</v>
      </c>
      <c r="E53" s="493">
        <v>44807.666666666664</v>
      </c>
      <c r="F53" s="493">
        <v>44807.708333333336</v>
      </c>
      <c r="G53" s="258">
        <v>44807.708333333336</v>
      </c>
      <c r="H53" s="226" t="s">
        <v>415</v>
      </c>
      <c r="I53" s="223" t="s">
        <v>593</v>
      </c>
      <c r="J53" s="243" t="s">
        <v>125</v>
      </c>
      <c r="K53" s="497">
        <v>5</v>
      </c>
      <c r="L53" s="497">
        <v>2</v>
      </c>
      <c r="M53" s="248" t="s">
        <v>139</v>
      </c>
      <c r="N53" s="52">
        <v>45122.417974537035</v>
      </c>
      <c r="O53" s="53" t="s">
        <v>49</v>
      </c>
      <c r="P53" s="54" t="s">
        <v>603</v>
      </c>
      <c r="R53" s="210">
        <v>1</v>
      </c>
      <c r="S53" s="210">
        <v>0</v>
      </c>
      <c r="T53" s="56">
        <v>1.1320569174630302</v>
      </c>
      <c r="U53" s="57">
        <v>0.72057133913040161</v>
      </c>
      <c r="V53" s="215">
        <v>0.45337461913062066</v>
      </c>
      <c r="W53" s="494">
        <v>0.31332783284393739</v>
      </c>
      <c r="X53" s="494">
        <v>0.23310983180999756</v>
      </c>
      <c r="Y53" s="59">
        <v>5</v>
      </c>
      <c r="Z53" s="60">
        <v>2</v>
      </c>
      <c r="AA53" s="61"/>
      <c r="AB53" s="62"/>
      <c r="AC53" s="39">
        <f t="shared" si="0"/>
        <v>44807.375</v>
      </c>
      <c r="AD53" s="495">
        <f t="shared" si="1"/>
        <v>44807.333333333328</v>
      </c>
      <c r="AE53" s="40">
        <f t="shared" si="2"/>
        <v>44807.291666666664</v>
      </c>
    </row>
    <row r="54" spans="1:31" ht="21" customHeight="1" thickBot="1" x14ac:dyDescent="0.3">
      <c r="A54" s="445">
        <v>6</v>
      </c>
      <c r="B54" s="220">
        <v>44807</v>
      </c>
      <c r="C54" s="228">
        <v>44807.416666666664</v>
      </c>
      <c r="D54" s="493">
        <v>44807.625</v>
      </c>
      <c r="E54" s="493">
        <v>44807.666666666664</v>
      </c>
      <c r="F54" s="493">
        <v>44807.708333333336</v>
      </c>
      <c r="G54" s="258">
        <v>44807.708333333336</v>
      </c>
      <c r="H54" s="226" t="s">
        <v>396</v>
      </c>
      <c r="I54" s="223" t="s">
        <v>62</v>
      </c>
      <c r="J54" s="243" t="s">
        <v>5</v>
      </c>
      <c r="K54" s="497">
        <v>2</v>
      </c>
      <c r="L54" s="497">
        <v>1</v>
      </c>
      <c r="M54" s="248" t="s">
        <v>15</v>
      </c>
      <c r="N54" s="52">
        <v>45122.417974537035</v>
      </c>
      <c r="O54" s="53" t="s">
        <v>49</v>
      </c>
      <c r="P54" s="54" t="s">
        <v>603</v>
      </c>
      <c r="R54" s="210">
        <v>1</v>
      </c>
      <c r="S54" s="210">
        <v>0</v>
      </c>
      <c r="T54" s="56">
        <v>0.81777129854474739</v>
      </c>
      <c r="U54" s="57">
        <v>0.44185703992843628</v>
      </c>
      <c r="V54" s="215">
        <v>0.41841847874070714</v>
      </c>
      <c r="W54" s="494">
        <v>0.39593521346096705</v>
      </c>
      <c r="X54" s="494">
        <v>0.18562205135822296</v>
      </c>
      <c r="Y54" s="59">
        <v>2</v>
      </c>
      <c r="Z54" s="60">
        <v>1</v>
      </c>
      <c r="AA54" s="61"/>
      <c r="AB54" s="62"/>
      <c r="AC54" s="39">
        <f t="shared" si="0"/>
        <v>44807.375</v>
      </c>
      <c r="AD54" s="495">
        <f t="shared" si="1"/>
        <v>44807.333333333328</v>
      </c>
      <c r="AE54" s="40">
        <f t="shared" si="2"/>
        <v>44807.291666666664</v>
      </c>
    </row>
    <row r="55" spans="1:31" ht="21" customHeight="1" thickBot="1" x14ac:dyDescent="0.3">
      <c r="A55" s="445">
        <v>6</v>
      </c>
      <c r="B55" s="220">
        <v>44807</v>
      </c>
      <c r="C55" s="228">
        <v>44807.416666666664</v>
      </c>
      <c r="D55" s="493">
        <v>44807.625</v>
      </c>
      <c r="E55" s="493">
        <v>44807.666666666664</v>
      </c>
      <c r="F55" s="493">
        <v>44807.708333333336</v>
      </c>
      <c r="G55" s="258">
        <v>44807.708333333336</v>
      </c>
      <c r="H55" s="226" t="s">
        <v>374</v>
      </c>
      <c r="I55" s="223" t="s">
        <v>55</v>
      </c>
      <c r="J55" s="243" t="s">
        <v>12</v>
      </c>
      <c r="K55" s="497">
        <v>0</v>
      </c>
      <c r="L55" s="497">
        <v>0</v>
      </c>
      <c r="M55" s="248" t="s">
        <v>6</v>
      </c>
      <c r="N55" s="52">
        <v>45122.417974537035</v>
      </c>
      <c r="O55" s="53" t="s">
        <v>49</v>
      </c>
      <c r="P55" s="54" t="s">
        <v>603</v>
      </c>
      <c r="R55" s="210">
        <v>1</v>
      </c>
      <c r="S55" s="210">
        <v>1</v>
      </c>
      <c r="T55" s="56">
        <v>0.65104278496333523</v>
      </c>
      <c r="U55" s="57">
        <v>0.52628552913665771</v>
      </c>
      <c r="V55" s="215">
        <v>0.32829479541013451</v>
      </c>
      <c r="W55" s="494">
        <v>0.42306107723291847</v>
      </c>
      <c r="X55" s="494">
        <v>0.24863715469837189</v>
      </c>
      <c r="Y55" s="59">
        <v>0</v>
      </c>
      <c r="Z55" s="60">
        <v>0</v>
      </c>
      <c r="AA55" s="61"/>
      <c r="AB55" s="62"/>
      <c r="AC55" s="39">
        <f t="shared" si="0"/>
        <v>44807.375</v>
      </c>
      <c r="AD55" s="495">
        <f t="shared" si="1"/>
        <v>44807.333333333328</v>
      </c>
      <c r="AE55" s="40">
        <f t="shared" si="2"/>
        <v>44807.291666666664</v>
      </c>
    </row>
    <row r="56" spans="1:31" ht="21" customHeight="1" thickBot="1" x14ac:dyDescent="0.3">
      <c r="A56" s="445">
        <v>6</v>
      </c>
      <c r="B56" s="220">
        <v>44807</v>
      </c>
      <c r="C56" s="228">
        <v>44807.416666666664</v>
      </c>
      <c r="D56" s="493">
        <v>44807.625</v>
      </c>
      <c r="E56" s="493">
        <v>44807.666666666664</v>
      </c>
      <c r="F56" s="493">
        <v>44807.708333333336</v>
      </c>
      <c r="G56" s="258">
        <v>44807.708333333336</v>
      </c>
      <c r="H56" s="226" t="s">
        <v>447</v>
      </c>
      <c r="I56" s="223" t="s">
        <v>436</v>
      </c>
      <c r="J56" s="245" t="s">
        <v>204</v>
      </c>
      <c r="K56" s="497">
        <v>2</v>
      </c>
      <c r="L56" s="497">
        <v>3</v>
      </c>
      <c r="M56" s="250" t="s">
        <v>3</v>
      </c>
      <c r="N56" s="52">
        <v>45122.417974537035</v>
      </c>
      <c r="O56" s="53" t="s">
        <v>49</v>
      </c>
      <c r="P56" s="54" t="s">
        <v>603</v>
      </c>
      <c r="R56" s="210">
        <v>1</v>
      </c>
      <c r="S56" s="210">
        <v>1</v>
      </c>
      <c r="T56" s="56">
        <v>0.55675705841609402</v>
      </c>
      <c r="U56" s="57">
        <v>0.6304284930229187</v>
      </c>
      <c r="V56" s="215">
        <v>0.26556312278369842</v>
      </c>
      <c r="W56" s="494">
        <v>0.42193079672843015</v>
      </c>
      <c r="X56" s="494">
        <v>0.31249955296516418</v>
      </c>
      <c r="Y56" s="59">
        <v>2</v>
      </c>
      <c r="Z56" s="60">
        <v>3</v>
      </c>
      <c r="AA56" s="61"/>
      <c r="AB56" s="62"/>
      <c r="AC56" s="39">
        <f t="shared" si="0"/>
        <v>44807.375</v>
      </c>
      <c r="AD56" s="495">
        <f t="shared" si="1"/>
        <v>44807.333333333328</v>
      </c>
      <c r="AE56" s="40">
        <f t="shared" si="2"/>
        <v>44807.291666666664</v>
      </c>
    </row>
    <row r="57" spans="1:31" ht="21" customHeight="1" thickBot="1" x14ac:dyDescent="0.3">
      <c r="A57" s="445">
        <v>6</v>
      </c>
      <c r="B57" s="220">
        <v>44807</v>
      </c>
      <c r="C57" s="228">
        <v>44807.416666666664</v>
      </c>
      <c r="D57" s="493">
        <v>44807.625</v>
      </c>
      <c r="E57" s="493">
        <v>44807.666666666664</v>
      </c>
      <c r="F57" s="493">
        <v>44807.708333333336</v>
      </c>
      <c r="G57" s="258">
        <v>44807.708333333336</v>
      </c>
      <c r="H57" s="226" t="s">
        <v>448</v>
      </c>
      <c r="I57" s="223" t="s">
        <v>53</v>
      </c>
      <c r="J57" s="243" t="s">
        <v>14</v>
      </c>
      <c r="K57" s="497">
        <v>2</v>
      </c>
      <c r="L57" s="497">
        <v>1</v>
      </c>
      <c r="M57" s="248" t="s">
        <v>126</v>
      </c>
      <c r="N57" s="52">
        <v>45122.417974537035</v>
      </c>
      <c r="O57" s="53" t="s">
        <v>49</v>
      </c>
      <c r="P57" s="54" t="s">
        <v>603</v>
      </c>
      <c r="R57" s="210">
        <v>1</v>
      </c>
      <c r="S57" s="210">
        <v>1</v>
      </c>
      <c r="T57" s="56">
        <v>0.80189992700304302</v>
      </c>
      <c r="U57" s="57">
        <v>0.72057133913040161</v>
      </c>
      <c r="V57" s="215">
        <v>0.34185580997382758</v>
      </c>
      <c r="W57" s="494">
        <v>0.36366096991527769</v>
      </c>
      <c r="X57" s="494">
        <v>0.29445147514343262</v>
      </c>
      <c r="Y57" s="59">
        <v>2</v>
      </c>
      <c r="Z57" s="60">
        <v>1</v>
      </c>
      <c r="AA57" s="61"/>
      <c r="AB57" s="62"/>
      <c r="AC57" s="39">
        <f t="shared" si="0"/>
        <v>44807.375</v>
      </c>
      <c r="AD57" s="495">
        <f t="shared" si="1"/>
        <v>44807.333333333328</v>
      </c>
      <c r="AE57" s="40">
        <f t="shared" si="2"/>
        <v>44807.291666666664</v>
      </c>
    </row>
    <row r="58" spans="1:31" ht="21" customHeight="1" thickBot="1" x14ac:dyDescent="0.3">
      <c r="A58" s="445">
        <v>6</v>
      </c>
      <c r="B58" s="220">
        <v>44807</v>
      </c>
      <c r="C58" s="228">
        <v>44807.416666666664</v>
      </c>
      <c r="D58" s="493">
        <v>44807.625</v>
      </c>
      <c r="E58" s="493">
        <v>44807.666666666664</v>
      </c>
      <c r="F58" s="493">
        <v>44807.708333333336</v>
      </c>
      <c r="G58" s="258">
        <v>44807.708333333336</v>
      </c>
      <c r="H58" s="226" t="s">
        <v>329</v>
      </c>
      <c r="I58" s="223" t="s">
        <v>63</v>
      </c>
      <c r="J58" s="246" t="s">
        <v>16</v>
      </c>
      <c r="K58" s="497">
        <v>1</v>
      </c>
      <c r="L58" s="497">
        <v>0</v>
      </c>
      <c r="M58" s="251" t="s">
        <v>13</v>
      </c>
      <c r="N58" s="52">
        <v>45122.417974537035</v>
      </c>
      <c r="O58" s="53" t="s">
        <v>49</v>
      </c>
      <c r="P58" s="54" t="s">
        <v>603</v>
      </c>
      <c r="R58" s="210">
        <v>1</v>
      </c>
      <c r="S58" s="210">
        <v>1</v>
      </c>
      <c r="T58" s="56">
        <v>0.55204275676182335</v>
      </c>
      <c r="U58" s="57">
        <v>0.57199990749359131</v>
      </c>
      <c r="V58" s="215">
        <v>0.27553820760818071</v>
      </c>
      <c r="W58" s="494">
        <v>0.43596698758842395</v>
      </c>
      <c r="X58" s="494">
        <v>0.28849053382873535</v>
      </c>
      <c r="Y58" s="59">
        <v>1</v>
      </c>
      <c r="Z58" s="60">
        <v>0</v>
      </c>
      <c r="AA58" s="61"/>
      <c r="AB58" s="62"/>
      <c r="AC58" s="39">
        <f t="shared" si="0"/>
        <v>44807.375</v>
      </c>
      <c r="AD58" s="495">
        <f t="shared" si="1"/>
        <v>44807.333333333328</v>
      </c>
      <c r="AE58" s="40">
        <f t="shared" si="2"/>
        <v>44807.291666666664</v>
      </c>
    </row>
    <row r="59" spans="1:31" ht="21" customHeight="1" thickBot="1" x14ac:dyDescent="0.3">
      <c r="A59" s="445">
        <v>6</v>
      </c>
      <c r="B59" s="220">
        <v>44807</v>
      </c>
      <c r="C59" s="228">
        <v>44807.520833333336</v>
      </c>
      <c r="D59" s="493">
        <v>44807.729166666664</v>
      </c>
      <c r="E59" s="493">
        <v>44807.770833333336</v>
      </c>
      <c r="F59" s="493">
        <v>44807.8125</v>
      </c>
      <c r="G59" s="258">
        <v>44807.8125</v>
      </c>
      <c r="H59" s="226" t="s">
        <v>278</v>
      </c>
      <c r="I59" s="223" t="s">
        <v>58</v>
      </c>
      <c r="J59" s="243" t="s">
        <v>2</v>
      </c>
      <c r="K59" s="497">
        <v>1</v>
      </c>
      <c r="L59" s="497">
        <v>1</v>
      </c>
      <c r="M59" s="248" t="s">
        <v>10</v>
      </c>
      <c r="N59" s="52">
        <v>45122.417974537035</v>
      </c>
      <c r="O59" s="53" t="s">
        <v>49</v>
      </c>
      <c r="P59" s="54" t="s">
        <v>603</v>
      </c>
      <c r="R59" s="210">
        <v>0</v>
      </c>
      <c r="S59" s="210">
        <v>1</v>
      </c>
      <c r="T59" s="56">
        <v>0.43889987468719482</v>
      </c>
      <c r="U59" s="57">
        <v>0.93042844533920288</v>
      </c>
      <c r="V59" s="215">
        <v>0.16842418110373167</v>
      </c>
      <c r="W59" s="494">
        <v>0.36921023316692281</v>
      </c>
      <c r="X59" s="494">
        <v>0.46231174468994141</v>
      </c>
      <c r="Y59" s="59">
        <v>1</v>
      </c>
      <c r="Z59" s="60">
        <v>1</v>
      </c>
      <c r="AA59" s="61"/>
      <c r="AB59" s="62"/>
      <c r="AC59" s="39">
        <f t="shared" si="0"/>
        <v>44807.479166666672</v>
      </c>
      <c r="AD59" s="495">
        <f t="shared" si="1"/>
        <v>44807.4375</v>
      </c>
      <c r="AE59" s="40">
        <f t="shared" si="2"/>
        <v>44807.395833333336</v>
      </c>
    </row>
    <row r="60" spans="1:31" ht="21" customHeight="1" thickBot="1" x14ac:dyDescent="0.3">
      <c r="A60" s="445">
        <v>6</v>
      </c>
      <c r="B60" s="220">
        <v>44808</v>
      </c>
      <c r="C60" s="228">
        <v>44808.375</v>
      </c>
      <c r="D60" s="493">
        <v>44808.583333333336</v>
      </c>
      <c r="E60" s="493">
        <v>44808.625</v>
      </c>
      <c r="F60" s="493">
        <v>44808.666666666664</v>
      </c>
      <c r="G60" s="258">
        <v>44808.666666666664</v>
      </c>
      <c r="H60" s="226" t="s">
        <v>225</v>
      </c>
      <c r="I60" s="223" t="s">
        <v>151</v>
      </c>
      <c r="J60" s="246" t="s">
        <v>4</v>
      </c>
      <c r="K60" s="497">
        <v>5</v>
      </c>
      <c r="L60" s="497">
        <v>2</v>
      </c>
      <c r="M60" s="251" t="s">
        <v>8</v>
      </c>
      <c r="N60" s="52">
        <v>45122.417974537035</v>
      </c>
      <c r="O60" s="53" t="s">
        <v>49</v>
      </c>
      <c r="P60" s="54" t="s">
        <v>603</v>
      </c>
      <c r="R60" s="210">
        <v>2</v>
      </c>
      <c r="S60" s="210">
        <v>0</v>
      </c>
      <c r="T60" s="56">
        <v>1.4936428410666329</v>
      </c>
      <c r="U60" s="57">
        <v>0.45899990200996399</v>
      </c>
      <c r="V60" s="215">
        <v>0.63004802280947336</v>
      </c>
      <c r="W60" s="494">
        <v>0.2571816448099144</v>
      </c>
      <c r="X60" s="494">
        <v>0.11186599731445313</v>
      </c>
      <c r="Y60" s="59">
        <v>5</v>
      </c>
      <c r="Z60" s="60">
        <v>2</v>
      </c>
      <c r="AA60" s="61"/>
      <c r="AB60" s="62"/>
      <c r="AC60" s="39">
        <f t="shared" si="0"/>
        <v>44808.333333333336</v>
      </c>
      <c r="AD60" s="495">
        <f t="shared" si="1"/>
        <v>44808.291666666664</v>
      </c>
      <c r="AE60" s="40">
        <f t="shared" si="2"/>
        <v>44808.25</v>
      </c>
    </row>
    <row r="61" spans="1:31" ht="21" customHeight="1" thickBot="1" x14ac:dyDescent="0.3">
      <c r="A61" s="445">
        <v>6</v>
      </c>
      <c r="B61" s="220">
        <v>44808</v>
      </c>
      <c r="C61" s="228">
        <v>44808.479166666664</v>
      </c>
      <c r="D61" s="493">
        <v>44808.6875</v>
      </c>
      <c r="E61" s="493">
        <v>44808.729166666664</v>
      </c>
      <c r="F61" s="493">
        <v>44808.770833333336</v>
      </c>
      <c r="G61" s="258">
        <v>44808.770833333336</v>
      </c>
      <c r="H61" s="226" t="s">
        <v>281</v>
      </c>
      <c r="I61" s="223" t="s">
        <v>56</v>
      </c>
      <c r="J61" s="243" t="s">
        <v>11</v>
      </c>
      <c r="K61" s="497">
        <v>3</v>
      </c>
      <c r="L61" s="497">
        <v>1</v>
      </c>
      <c r="M61" s="248" t="s">
        <v>1</v>
      </c>
      <c r="N61" s="52">
        <v>45122.417974537035</v>
      </c>
      <c r="O61" s="53" t="s">
        <v>49</v>
      </c>
      <c r="P61" s="54" t="s">
        <v>603</v>
      </c>
      <c r="R61" s="210">
        <v>0</v>
      </c>
      <c r="S61" s="210">
        <v>1</v>
      </c>
      <c r="T61" s="56">
        <v>0.70761414936610623</v>
      </c>
      <c r="U61" s="57">
        <v>1.0862854719161987</v>
      </c>
      <c r="V61" s="215">
        <v>0.23666638759950737</v>
      </c>
      <c r="W61" s="494">
        <v>0.32091675092757727</v>
      </c>
      <c r="X61" s="494">
        <v>0.44226938486099243</v>
      </c>
      <c r="Y61" s="59">
        <v>3</v>
      </c>
      <c r="Z61" s="60">
        <v>1</v>
      </c>
      <c r="AA61" s="61"/>
      <c r="AB61" s="62"/>
      <c r="AC61" s="39">
        <f t="shared" si="0"/>
        <v>44808.4375</v>
      </c>
      <c r="AD61" s="495">
        <f t="shared" si="1"/>
        <v>44808.395833333328</v>
      </c>
      <c r="AE61" s="40">
        <f t="shared" si="2"/>
        <v>44808.354166666664</v>
      </c>
    </row>
    <row r="62" spans="1:31" ht="21" customHeight="1" thickBot="1" x14ac:dyDescent="0.3">
      <c r="A62" s="444">
        <v>8</v>
      </c>
      <c r="B62" s="219">
        <v>44820</v>
      </c>
      <c r="C62" s="230">
        <v>44820.625</v>
      </c>
      <c r="D62" s="256">
        <v>44820.833333333336</v>
      </c>
      <c r="E62" s="256">
        <v>44820.875</v>
      </c>
      <c r="F62" s="256">
        <v>44820.916666666664</v>
      </c>
      <c r="G62" s="257">
        <v>44820.916666666664</v>
      </c>
      <c r="H62" s="225" t="s">
        <v>188</v>
      </c>
      <c r="I62" s="222" t="s">
        <v>58</v>
      </c>
      <c r="J62" s="252" t="s">
        <v>2</v>
      </c>
      <c r="K62" s="497">
        <v>1</v>
      </c>
      <c r="L62" s="497">
        <v>0</v>
      </c>
      <c r="M62" s="253" t="s">
        <v>13</v>
      </c>
      <c r="N62" s="41">
        <v>45122.417974537035</v>
      </c>
      <c r="O62" s="42" t="s">
        <v>49</v>
      </c>
      <c r="P62" s="43" t="s">
        <v>603</v>
      </c>
      <c r="Q62" s="44"/>
      <c r="R62" s="212">
        <v>2</v>
      </c>
      <c r="S62" s="212">
        <v>1</v>
      </c>
      <c r="T62" s="45">
        <v>1.6950998306274414</v>
      </c>
      <c r="U62" s="46">
        <v>0.80099976062774658</v>
      </c>
      <c r="V62" s="213">
        <v>0.58485058007546331</v>
      </c>
      <c r="W62" s="214">
        <v>0.23851752872825807</v>
      </c>
      <c r="X62" s="214">
        <v>0.17476576566696167</v>
      </c>
      <c r="Y62" s="47">
        <v>1</v>
      </c>
      <c r="Z62" s="48">
        <v>0</v>
      </c>
      <c r="AA62" s="49"/>
      <c r="AB62" s="50"/>
      <c r="AC62" s="75">
        <f t="shared" si="0"/>
        <v>44820.583333333336</v>
      </c>
      <c r="AD62" s="76">
        <f t="shared" si="1"/>
        <v>44820.541666666664</v>
      </c>
      <c r="AE62" s="77">
        <f t="shared" si="2"/>
        <v>44820.5</v>
      </c>
    </row>
    <row r="63" spans="1:31" ht="21" customHeight="1" thickBot="1" x14ac:dyDescent="0.3">
      <c r="A63" s="445">
        <v>8</v>
      </c>
      <c r="B63" s="220">
        <v>44820</v>
      </c>
      <c r="C63" s="228">
        <v>44820.625</v>
      </c>
      <c r="D63" s="493">
        <v>44820.833333333336</v>
      </c>
      <c r="E63" s="493">
        <v>44820.875</v>
      </c>
      <c r="F63" s="493">
        <v>44820.916666666664</v>
      </c>
      <c r="G63" s="258">
        <v>44820.916666666664</v>
      </c>
      <c r="H63" s="226" t="s">
        <v>453</v>
      </c>
      <c r="I63" s="223" t="s">
        <v>436</v>
      </c>
      <c r="J63" s="246" t="s">
        <v>204</v>
      </c>
      <c r="K63" s="497">
        <v>2</v>
      </c>
      <c r="L63" s="497">
        <v>3</v>
      </c>
      <c r="M63" s="251" t="s">
        <v>126</v>
      </c>
      <c r="N63" s="52">
        <v>45122.417974537035</v>
      </c>
      <c r="O63" s="53" t="s">
        <v>49</v>
      </c>
      <c r="P63" s="54" t="s">
        <v>603</v>
      </c>
      <c r="R63" s="210">
        <v>1</v>
      </c>
      <c r="S63" s="210">
        <v>2</v>
      </c>
      <c r="T63" s="56">
        <v>1.1230998039245605</v>
      </c>
      <c r="U63" s="57">
        <v>1.6009997129440308</v>
      </c>
      <c r="V63" s="215">
        <v>0.26692967202662693</v>
      </c>
      <c r="W63" s="494">
        <v>0.24847059762582369</v>
      </c>
      <c r="X63" s="494">
        <v>0.48309072852134705</v>
      </c>
      <c r="Y63" s="59">
        <v>2</v>
      </c>
      <c r="Z63" s="60">
        <v>3</v>
      </c>
      <c r="AA63" s="61"/>
      <c r="AB63" s="62"/>
      <c r="AC63" s="39">
        <f t="shared" si="0"/>
        <v>44820.583333333336</v>
      </c>
      <c r="AD63" s="495">
        <f t="shared" si="1"/>
        <v>44820.541666666664</v>
      </c>
      <c r="AE63" s="40">
        <f t="shared" si="2"/>
        <v>44820.5</v>
      </c>
    </row>
    <row r="64" spans="1:31" ht="21" customHeight="1" thickBot="1" x14ac:dyDescent="0.3">
      <c r="A64" s="445">
        <v>8</v>
      </c>
      <c r="B64" s="220">
        <v>44821</v>
      </c>
      <c r="C64" s="228">
        <v>44821.3125</v>
      </c>
      <c r="D64" s="493">
        <v>44821.520833333336</v>
      </c>
      <c r="E64" s="493">
        <v>44821.5625</v>
      </c>
      <c r="F64" s="493">
        <v>44821.604166666664</v>
      </c>
      <c r="G64" s="258">
        <v>44821.604166666664</v>
      </c>
      <c r="H64" s="226" t="s">
        <v>392</v>
      </c>
      <c r="I64" s="223" t="s">
        <v>63</v>
      </c>
      <c r="J64" s="243" t="s">
        <v>16</v>
      </c>
      <c r="K64" s="497">
        <v>0</v>
      </c>
      <c r="L64" s="497">
        <v>3</v>
      </c>
      <c r="M64" s="248" t="s">
        <v>10</v>
      </c>
      <c r="N64" s="52">
        <v>45122.417974537035</v>
      </c>
      <c r="O64" s="53" t="s">
        <v>49</v>
      </c>
      <c r="P64" s="54" t="s">
        <v>603</v>
      </c>
      <c r="R64" s="210">
        <v>0</v>
      </c>
      <c r="S64" s="210">
        <v>2</v>
      </c>
      <c r="T64" s="56">
        <v>0.61709976196289063</v>
      </c>
      <c r="U64" s="57">
        <v>2.370999813079834</v>
      </c>
      <c r="V64" s="215">
        <v>7.8592454682490306E-2</v>
      </c>
      <c r="W64" s="494">
        <v>0.155874692270348</v>
      </c>
      <c r="X64" s="494">
        <v>0.75461810827255249</v>
      </c>
      <c r="Y64" s="59">
        <v>0</v>
      </c>
      <c r="Z64" s="60">
        <v>3</v>
      </c>
      <c r="AA64" s="61"/>
      <c r="AB64" s="62"/>
      <c r="AC64" s="39">
        <f t="shared" si="0"/>
        <v>44821.270833333336</v>
      </c>
      <c r="AD64" s="495">
        <f t="shared" si="1"/>
        <v>44821.229166666664</v>
      </c>
      <c r="AE64" s="40">
        <f t="shared" si="2"/>
        <v>44821.1875</v>
      </c>
    </row>
    <row r="65" spans="1:31" ht="21" customHeight="1" thickBot="1" x14ac:dyDescent="0.3">
      <c r="A65" s="445">
        <v>8</v>
      </c>
      <c r="B65" s="220">
        <v>44821</v>
      </c>
      <c r="C65" s="228">
        <v>44821.416666666664</v>
      </c>
      <c r="D65" s="493">
        <v>44821.625</v>
      </c>
      <c r="E65" s="493">
        <v>44821.666666666664</v>
      </c>
      <c r="F65" s="493">
        <v>44821.708333333336</v>
      </c>
      <c r="G65" s="258">
        <v>44821.708333333336</v>
      </c>
      <c r="H65" s="226" t="s">
        <v>452</v>
      </c>
      <c r="I65" s="223" t="s">
        <v>55</v>
      </c>
      <c r="J65" s="245" t="s">
        <v>12</v>
      </c>
      <c r="K65" s="497">
        <v>1</v>
      </c>
      <c r="L65" s="497">
        <v>1</v>
      </c>
      <c r="M65" s="250" t="s">
        <v>3</v>
      </c>
      <c r="N65" s="52">
        <v>45122.417974537035</v>
      </c>
      <c r="O65" s="53" t="s">
        <v>49</v>
      </c>
      <c r="P65" s="54" t="s">
        <v>603</v>
      </c>
      <c r="R65" s="210">
        <v>2</v>
      </c>
      <c r="S65" s="210">
        <v>1</v>
      </c>
      <c r="T65" s="56">
        <v>2.0470998287200928</v>
      </c>
      <c r="U65" s="57">
        <v>0.86099976301193237</v>
      </c>
      <c r="V65" s="215">
        <v>0.6438741443782815</v>
      </c>
      <c r="W65" s="494">
        <v>0.20245078859575388</v>
      </c>
      <c r="X65" s="494">
        <v>0.14851467311382294</v>
      </c>
      <c r="Y65" s="59">
        <v>1</v>
      </c>
      <c r="Z65" s="60">
        <v>1</v>
      </c>
      <c r="AA65" s="61"/>
      <c r="AB65" s="62"/>
      <c r="AC65" s="39">
        <f t="shared" si="0"/>
        <v>44821.375</v>
      </c>
      <c r="AD65" s="495">
        <f t="shared" si="1"/>
        <v>44821.333333333328</v>
      </c>
      <c r="AE65" s="40">
        <f t="shared" si="2"/>
        <v>44821.291666666664</v>
      </c>
    </row>
    <row r="66" spans="1:31" ht="21" customHeight="1" thickBot="1" x14ac:dyDescent="0.3">
      <c r="A66" s="445">
        <v>8</v>
      </c>
      <c r="B66" s="220">
        <v>44821</v>
      </c>
      <c r="C66" s="228">
        <v>44821.520833333336</v>
      </c>
      <c r="D66" s="493">
        <v>44821.729166666664</v>
      </c>
      <c r="E66" s="493">
        <v>44821.770833333336</v>
      </c>
      <c r="F66" s="493">
        <v>44821.8125</v>
      </c>
      <c r="G66" s="258">
        <v>44821.8125</v>
      </c>
      <c r="H66" s="226" t="s">
        <v>402</v>
      </c>
      <c r="I66" s="223" t="s">
        <v>53</v>
      </c>
      <c r="J66" s="246" t="s">
        <v>14</v>
      </c>
      <c r="K66" s="497">
        <v>6</v>
      </c>
      <c r="L66" s="497">
        <v>2</v>
      </c>
      <c r="M66" s="251" t="s">
        <v>8</v>
      </c>
      <c r="N66" s="52">
        <v>45122.417974537035</v>
      </c>
      <c r="O66" s="53" t="s">
        <v>49</v>
      </c>
      <c r="P66" s="54" t="s">
        <v>603</v>
      </c>
      <c r="R66" s="210">
        <v>2</v>
      </c>
      <c r="S66" s="210">
        <v>1</v>
      </c>
      <c r="T66" s="56">
        <v>1.8380999565124512</v>
      </c>
      <c r="U66" s="57">
        <v>1.3009997606277466</v>
      </c>
      <c r="V66" s="215">
        <v>0.4975902114216666</v>
      </c>
      <c r="W66" s="494">
        <v>0.22802273057687247</v>
      </c>
      <c r="X66" s="494">
        <v>0.27110233902931213</v>
      </c>
      <c r="Y66" s="59">
        <v>6</v>
      </c>
      <c r="Z66" s="60">
        <v>2</v>
      </c>
      <c r="AA66" s="61"/>
      <c r="AB66" s="62"/>
      <c r="AC66" s="39">
        <f t="shared" ref="AC66:AC129" si="3">IF(C66&lt;&gt;"TBC",C66-1/24,"TBC")</f>
        <v>44821.479166666672</v>
      </c>
      <c r="AD66" s="495">
        <f t="shared" ref="AD66:AD129" si="4">IF(C66&lt;&gt;"TBC",C66-1/12,"TBC")</f>
        <v>44821.4375</v>
      </c>
      <c r="AE66" s="40">
        <f t="shared" ref="AE66:AE129" si="5">IF(C66&lt;&gt;"TBC",C66-1/8,"TBC")</f>
        <v>44821.395833333336</v>
      </c>
    </row>
    <row r="67" spans="1:31" ht="21" customHeight="1" thickBot="1" x14ac:dyDescent="0.3">
      <c r="A67" s="445">
        <v>8</v>
      </c>
      <c r="B67" s="220">
        <v>44822</v>
      </c>
      <c r="C67" s="228">
        <v>44822.291666666664</v>
      </c>
      <c r="D67" s="493">
        <v>44822.5</v>
      </c>
      <c r="E67" s="493">
        <v>44822.541666666664</v>
      </c>
      <c r="F67" s="493">
        <v>44822.583333333336</v>
      </c>
      <c r="G67" s="258">
        <v>44822.583333333336</v>
      </c>
      <c r="H67" s="226" t="s">
        <v>147</v>
      </c>
      <c r="I67" s="223" t="s">
        <v>593</v>
      </c>
      <c r="J67" s="246" t="s">
        <v>125</v>
      </c>
      <c r="K67" s="497">
        <v>0</v>
      </c>
      <c r="L67" s="497">
        <v>3</v>
      </c>
      <c r="M67" s="251" t="s">
        <v>1</v>
      </c>
      <c r="N67" s="52">
        <v>45122.417974537035</v>
      </c>
      <c r="O67" s="53" t="s">
        <v>49</v>
      </c>
      <c r="P67" s="54" t="s">
        <v>603</v>
      </c>
      <c r="R67" s="210">
        <v>1</v>
      </c>
      <c r="S67" s="210">
        <v>2</v>
      </c>
      <c r="T67" s="56">
        <v>1.4090996980667114</v>
      </c>
      <c r="U67" s="57">
        <v>1.9509996175765991</v>
      </c>
      <c r="V67" s="215">
        <v>0.27745129302846228</v>
      </c>
      <c r="W67" s="494">
        <v>0.21973694359506671</v>
      </c>
      <c r="X67" s="494">
        <v>0.4981955885887146</v>
      </c>
      <c r="Y67" s="59">
        <v>0</v>
      </c>
      <c r="Z67" s="60">
        <v>3</v>
      </c>
      <c r="AA67" s="61"/>
      <c r="AB67" s="62"/>
      <c r="AC67" s="39">
        <f t="shared" si="3"/>
        <v>44822.25</v>
      </c>
      <c r="AD67" s="495">
        <f t="shared" si="4"/>
        <v>44822.208333333328</v>
      </c>
      <c r="AE67" s="40">
        <f t="shared" si="5"/>
        <v>44822.166666666664</v>
      </c>
    </row>
    <row r="68" spans="1:31" ht="21" customHeight="1" thickBot="1" x14ac:dyDescent="0.3">
      <c r="A68" s="445">
        <v>8</v>
      </c>
      <c r="B68" s="220">
        <v>44822</v>
      </c>
      <c r="C68" s="228">
        <v>44822.385416666664</v>
      </c>
      <c r="D68" s="493">
        <v>44822.59375</v>
      </c>
      <c r="E68" s="493">
        <v>44822.635416666664</v>
      </c>
      <c r="F68" s="493">
        <v>44822.677083333336</v>
      </c>
      <c r="G68" s="258">
        <v>44822.677083333336</v>
      </c>
      <c r="H68" s="226" t="s">
        <v>245</v>
      </c>
      <c r="I68" s="223" t="s">
        <v>59</v>
      </c>
      <c r="J68" s="246" t="s">
        <v>7</v>
      </c>
      <c r="K68" s="497">
        <v>1</v>
      </c>
      <c r="L68" s="497">
        <v>0</v>
      </c>
      <c r="M68" s="251" t="s">
        <v>15</v>
      </c>
      <c r="N68" s="52">
        <v>45122.417974537035</v>
      </c>
      <c r="O68" s="53" t="s">
        <v>49</v>
      </c>
      <c r="P68" s="54" t="s">
        <v>603</v>
      </c>
      <c r="R68" s="210">
        <v>1</v>
      </c>
      <c r="S68" s="210">
        <v>2</v>
      </c>
      <c r="T68" s="56">
        <v>1.1120997667312622</v>
      </c>
      <c r="U68" s="57">
        <v>1.5809997320175171</v>
      </c>
      <c r="V68" s="215">
        <v>0.26746517905083894</v>
      </c>
      <c r="W68" s="494">
        <v>0.2503733386652946</v>
      </c>
      <c r="X68" s="494">
        <v>0.48075398802757263</v>
      </c>
      <c r="Y68" s="59">
        <v>1</v>
      </c>
      <c r="Z68" s="60">
        <v>0</v>
      </c>
      <c r="AA68" s="61"/>
      <c r="AB68" s="62"/>
      <c r="AC68" s="39">
        <f t="shared" si="3"/>
        <v>44822.34375</v>
      </c>
      <c r="AD68" s="495">
        <f t="shared" si="4"/>
        <v>44822.302083333328</v>
      </c>
      <c r="AE68" s="40">
        <f t="shared" si="5"/>
        <v>44822.260416666664</v>
      </c>
    </row>
    <row r="69" spans="1:31" ht="21" customHeight="1" thickBot="1" x14ac:dyDescent="0.3">
      <c r="A69" s="444">
        <v>9</v>
      </c>
      <c r="B69" s="219">
        <v>44835</v>
      </c>
      <c r="C69" s="230">
        <v>44835.3125</v>
      </c>
      <c r="D69" s="256">
        <v>44835.520833333336</v>
      </c>
      <c r="E69" s="256">
        <v>44835.5625</v>
      </c>
      <c r="F69" s="256">
        <v>44835.604166666664</v>
      </c>
      <c r="G69" s="257">
        <v>44835.604166666664</v>
      </c>
      <c r="H69" s="225" t="s">
        <v>231</v>
      </c>
      <c r="I69" s="222" t="s">
        <v>57</v>
      </c>
      <c r="J69" s="242" t="s">
        <v>1</v>
      </c>
      <c r="K69" s="497">
        <v>3</v>
      </c>
      <c r="L69" s="497">
        <v>1</v>
      </c>
      <c r="M69" s="247" t="s">
        <v>14</v>
      </c>
      <c r="N69" s="41">
        <v>45122.417974537035</v>
      </c>
      <c r="O69" s="42" t="s">
        <v>49</v>
      </c>
      <c r="P69" s="43" t="s">
        <v>603</v>
      </c>
      <c r="Q69" s="44"/>
      <c r="R69" s="212">
        <v>2</v>
      </c>
      <c r="S69" s="212">
        <v>1</v>
      </c>
      <c r="T69" s="45">
        <v>2.1790997982025146</v>
      </c>
      <c r="U69" s="46">
        <v>1.3909999132156372</v>
      </c>
      <c r="V69" s="213">
        <v>0.54737656193445627</v>
      </c>
      <c r="W69" s="214">
        <v>0.20460136124183442</v>
      </c>
      <c r="X69" s="214">
        <v>0.24032366275787354</v>
      </c>
      <c r="Y69" s="47">
        <v>3</v>
      </c>
      <c r="Z69" s="48">
        <v>1</v>
      </c>
      <c r="AA69" s="49"/>
      <c r="AB69" s="50"/>
      <c r="AC69" s="75">
        <f t="shared" si="3"/>
        <v>44835.270833333336</v>
      </c>
      <c r="AD69" s="76">
        <f t="shared" si="4"/>
        <v>44835.229166666664</v>
      </c>
      <c r="AE69" s="77">
        <f t="shared" si="5"/>
        <v>44835.1875</v>
      </c>
    </row>
    <row r="70" spans="1:31" ht="21" customHeight="1" thickBot="1" x14ac:dyDescent="0.3">
      <c r="A70" s="445">
        <v>9</v>
      </c>
      <c r="B70" s="220">
        <v>44835</v>
      </c>
      <c r="C70" s="228">
        <v>44835.416666666664</v>
      </c>
      <c r="D70" s="493">
        <v>44835.625</v>
      </c>
      <c r="E70" s="493">
        <v>44835.666666666664</v>
      </c>
      <c r="F70" s="493">
        <v>44835.708333333336</v>
      </c>
      <c r="G70" s="258">
        <v>44835.708333333336</v>
      </c>
      <c r="H70" s="226" t="s">
        <v>454</v>
      </c>
      <c r="I70" s="223" t="s">
        <v>51</v>
      </c>
      <c r="J70" s="246" t="s">
        <v>3</v>
      </c>
      <c r="K70" s="497">
        <v>0</v>
      </c>
      <c r="L70" s="497">
        <v>0</v>
      </c>
      <c r="M70" s="251" t="s">
        <v>125</v>
      </c>
      <c r="N70" s="52">
        <v>45122.417974537035</v>
      </c>
      <c r="O70" s="53" t="s">
        <v>49</v>
      </c>
      <c r="P70" s="54" t="s">
        <v>603</v>
      </c>
      <c r="R70" s="210">
        <v>1</v>
      </c>
      <c r="S70" s="210">
        <v>2</v>
      </c>
      <c r="T70" s="56">
        <v>1.2110998630523682</v>
      </c>
      <c r="U70" s="57">
        <v>1.7509996891021729</v>
      </c>
      <c r="V70" s="215">
        <v>0.26409326075133344</v>
      </c>
      <c r="W70" s="494">
        <v>0.23518239362517923</v>
      </c>
      <c r="X70" s="494">
        <v>0.49825143814086914</v>
      </c>
      <c r="Y70" s="59">
        <v>0</v>
      </c>
      <c r="Z70" s="60">
        <v>0</v>
      </c>
      <c r="AA70" s="61"/>
      <c r="AB70" s="62"/>
      <c r="AC70" s="39">
        <f t="shared" si="3"/>
        <v>44835.375</v>
      </c>
      <c r="AD70" s="495">
        <f t="shared" si="4"/>
        <v>44835.333333333328</v>
      </c>
      <c r="AE70" s="40">
        <f t="shared" si="5"/>
        <v>44835.291666666664</v>
      </c>
    </row>
    <row r="71" spans="1:31" ht="21" customHeight="1" thickBot="1" x14ac:dyDescent="0.3">
      <c r="A71" s="445">
        <v>9</v>
      </c>
      <c r="B71" s="220">
        <v>44835</v>
      </c>
      <c r="C71" s="228">
        <v>44835.416666666664</v>
      </c>
      <c r="D71" s="493">
        <v>44835.625</v>
      </c>
      <c r="E71" s="493">
        <v>44835.666666666664</v>
      </c>
      <c r="F71" s="493">
        <v>44835.708333333336</v>
      </c>
      <c r="G71" s="258">
        <v>44835.708333333336</v>
      </c>
      <c r="H71" s="226" t="s">
        <v>185</v>
      </c>
      <c r="I71" s="223" t="s">
        <v>52</v>
      </c>
      <c r="J71" s="243" t="s">
        <v>6</v>
      </c>
      <c r="K71" s="497">
        <v>1</v>
      </c>
      <c r="L71" s="497">
        <v>2</v>
      </c>
      <c r="M71" s="248" t="s">
        <v>5</v>
      </c>
      <c r="N71" s="52">
        <v>45122.417974537035</v>
      </c>
      <c r="O71" s="53" t="s">
        <v>49</v>
      </c>
      <c r="P71" s="54" t="s">
        <v>603</v>
      </c>
      <c r="R71" s="210">
        <v>1</v>
      </c>
      <c r="S71" s="210">
        <v>1</v>
      </c>
      <c r="T71" s="56">
        <v>0.99109971523284912</v>
      </c>
      <c r="U71" s="57">
        <v>1.1909997463226318</v>
      </c>
      <c r="V71" s="215">
        <v>0.30412468855699987</v>
      </c>
      <c r="W71" s="494">
        <v>0.29080494678008151</v>
      </c>
      <c r="X71" s="494">
        <v>0.40475150942802429</v>
      </c>
      <c r="Y71" s="59">
        <v>1</v>
      </c>
      <c r="Z71" s="60">
        <v>2</v>
      </c>
      <c r="AA71" s="61"/>
      <c r="AB71" s="62"/>
      <c r="AC71" s="39">
        <f t="shared" si="3"/>
        <v>44835.375</v>
      </c>
      <c r="AD71" s="495">
        <f t="shared" si="4"/>
        <v>44835.333333333328</v>
      </c>
      <c r="AE71" s="40">
        <f t="shared" si="5"/>
        <v>44835.291666666664</v>
      </c>
    </row>
    <row r="72" spans="1:31" ht="21" customHeight="1" thickBot="1" x14ac:dyDescent="0.3">
      <c r="A72" s="445">
        <v>9</v>
      </c>
      <c r="B72" s="220">
        <v>44835</v>
      </c>
      <c r="C72" s="228">
        <v>44835.416666666664</v>
      </c>
      <c r="D72" s="493">
        <v>44835.625</v>
      </c>
      <c r="E72" s="493">
        <v>44835.666666666664</v>
      </c>
      <c r="F72" s="493">
        <v>44835.708333333336</v>
      </c>
      <c r="G72" s="258">
        <v>44835.708333333336</v>
      </c>
      <c r="H72" s="226" t="s">
        <v>455</v>
      </c>
      <c r="I72" s="223" t="s">
        <v>431</v>
      </c>
      <c r="J72" s="243" t="s">
        <v>126</v>
      </c>
      <c r="K72" s="497">
        <v>1</v>
      </c>
      <c r="L72" s="497">
        <v>4</v>
      </c>
      <c r="M72" s="248" t="s">
        <v>12</v>
      </c>
      <c r="N72" s="52">
        <v>45122.417974537035</v>
      </c>
      <c r="O72" s="53" t="s">
        <v>49</v>
      </c>
      <c r="P72" s="54" t="s">
        <v>603</v>
      </c>
      <c r="R72" s="210">
        <v>1</v>
      </c>
      <c r="S72" s="210">
        <v>2</v>
      </c>
      <c r="T72" s="56">
        <v>1.0900998115539551</v>
      </c>
      <c r="U72" s="57">
        <v>1.7009998559951782</v>
      </c>
      <c r="V72" s="215">
        <v>0.24317997297458843</v>
      </c>
      <c r="W72" s="494">
        <v>0.24008012900928741</v>
      </c>
      <c r="X72" s="494">
        <v>0.51471805572509766</v>
      </c>
      <c r="Y72" s="59">
        <v>1</v>
      </c>
      <c r="Z72" s="60">
        <v>4</v>
      </c>
      <c r="AA72" s="61"/>
      <c r="AB72" s="62"/>
      <c r="AC72" s="39">
        <f t="shared" si="3"/>
        <v>44835.375</v>
      </c>
      <c r="AD72" s="495">
        <f t="shared" si="4"/>
        <v>44835.333333333328</v>
      </c>
      <c r="AE72" s="40">
        <f t="shared" si="5"/>
        <v>44835.291666666664</v>
      </c>
    </row>
    <row r="73" spans="1:31" ht="21" customHeight="1" thickBot="1" x14ac:dyDescent="0.3">
      <c r="A73" s="445">
        <v>9</v>
      </c>
      <c r="B73" s="220">
        <v>44835</v>
      </c>
      <c r="C73" s="228">
        <v>44835.416666666664</v>
      </c>
      <c r="D73" s="493">
        <v>44835.625</v>
      </c>
      <c r="E73" s="493">
        <v>44835.666666666664</v>
      </c>
      <c r="F73" s="493">
        <v>44835.708333333336</v>
      </c>
      <c r="G73" s="258">
        <v>44835.708333333336</v>
      </c>
      <c r="H73" s="226" t="s">
        <v>257</v>
      </c>
      <c r="I73" s="223" t="s">
        <v>48</v>
      </c>
      <c r="J73" s="245" t="s">
        <v>9</v>
      </c>
      <c r="K73" s="497">
        <v>3</v>
      </c>
      <c r="L73" s="497">
        <v>3</v>
      </c>
      <c r="M73" s="250" t="s">
        <v>4</v>
      </c>
      <c r="N73" s="52">
        <v>45122.417974537035</v>
      </c>
      <c r="O73" s="53" t="s">
        <v>49</v>
      </c>
      <c r="P73" s="54" t="s">
        <v>603</v>
      </c>
      <c r="R73" s="210">
        <v>2</v>
      </c>
      <c r="S73" s="210">
        <v>1</v>
      </c>
      <c r="T73" s="56">
        <v>2.0030999183654785</v>
      </c>
      <c r="U73" s="57">
        <v>1.6209999322891235</v>
      </c>
      <c r="V73" s="215">
        <v>0.46476208284189574</v>
      </c>
      <c r="W73" s="494">
        <v>0.2148269596914005</v>
      </c>
      <c r="X73" s="494">
        <v>0.3144088089466095</v>
      </c>
      <c r="Y73" s="59">
        <v>3</v>
      </c>
      <c r="Z73" s="60">
        <v>3</v>
      </c>
      <c r="AA73" s="61"/>
      <c r="AB73" s="62"/>
      <c r="AC73" s="39">
        <f t="shared" si="3"/>
        <v>44835.375</v>
      </c>
      <c r="AD73" s="495">
        <f t="shared" si="4"/>
        <v>44835.333333333328</v>
      </c>
      <c r="AE73" s="40">
        <f t="shared" si="5"/>
        <v>44835.291666666664</v>
      </c>
    </row>
    <row r="74" spans="1:31" ht="21" customHeight="1" thickBot="1" x14ac:dyDescent="0.3">
      <c r="A74" s="445">
        <v>9</v>
      </c>
      <c r="B74" s="220">
        <v>44835</v>
      </c>
      <c r="C74" s="228">
        <v>44835.416666666664</v>
      </c>
      <c r="D74" s="493">
        <v>44835.625</v>
      </c>
      <c r="E74" s="493">
        <v>44835.666666666664</v>
      </c>
      <c r="F74" s="493">
        <v>44835.708333333336</v>
      </c>
      <c r="G74" s="258">
        <v>44835.708333333336</v>
      </c>
      <c r="H74" s="226" t="s">
        <v>186</v>
      </c>
      <c r="I74" s="223" t="s">
        <v>60</v>
      </c>
      <c r="J74" s="245" t="s">
        <v>13</v>
      </c>
      <c r="K74" s="497">
        <v>1</v>
      </c>
      <c r="L74" s="497">
        <v>2</v>
      </c>
      <c r="M74" s="250" t="s">
        <v>7</v>
      </c>
      <c r="N74" s="52">
        <v>45122.417974537035</v>
      </c>
      <c r="O74" s="53" t="s">
        <v>49</v>
      </c>
      <c r="P74" s="54" t="s">
        <v>603</v>
      </c>
      <c r="R74" s="210">
        <v>1</v>
      </c>
      <c r="S74" s="210">
        <v>1</v>
      </c>
      <c r="T74" s="56">
        <v>1.3870998620986938</v>
      </c>
      <c r="U74" s="57">
        <v>1.2209998369216919</v>
      </c>
      <c r="V74" s="215">
        <v>0.40704886983824756</v>
      </c>
      <c r="W74" s="494">
        <v>0.26235506591492885</v>
      </c>
      <c r="X74" s="494">
        <v>0.32972806692123413</v>
      </c>
      <c r="Y74" s="59">
        <v>1</v>
      </c>
      <c r="Z74" s="60">
        <v>2</v>
      </c>
      <c r="AA74" s="61"/>
      <c r="AB74" s="62"/>
      <c r="AC74" s="39">
        <f t="shared" si="3"/>
        <v>44835.375</v>
      </c>
      <c r="AD74" s="495">
        <f t="shared" si="4"/>
        <v>44835.333333333328</v>
      </c>
      <c r="AE74" s="40">
        <f t="shared" si="5"/>
        <v>44835.291666666664</v>
      </c>
    </row>
    <row r="75" spans="1:31" ht="21" customHeight="1" thickBot="1" x14ac:dyDescent="0.3">
      <c r="A75" s="445">
        <v>9</v>
      </c>
      <c r="B75" s="220">
        <v>44835</v>
      </c>
      <c r="C75" s="228">
        <v>44835.520833333336</v>
      </c>
      <c r="D75" s="493">
        <v>44835.729166666664</v>
      </c>
      <c r="E75" s="493">
        <v>44835.770833333336</v>
      </c>
      <c r="F75" s="493">
        <v>44835.8125</v>
      </c>
      <c r="G75" s="258">
        <v>44835.8125</v>
      </c>
      <c r="H75" s="226" t="s">
        <v>357</v>
      </c>
      <c r="I75" s="223" t="s">
        <v>50</v>
      </c>
      <c r="J75" s="246" t="s">
        <v>15</v>
      </c>
      <c r="K75" s="497">
        <v>2</v>
      </c>
      <c r="L75" s="497">
        <v>0</v>
      </c>
      <c r="M75" s="251" t="s">
        <v>16</v>
      </c>
      <c r="N75" s="52">
        <v>45122.417974537035</v>
      </c>
      <c r="O75" s="53" t="s">
        <v>49</v>
      </c>
      <c r="P75" s="54" t="s">
        <v>603</v>
      </c>
      <c r="R75" s="210">
        <v>2</v>
      </c>
      <c r="S75" s="210">
        <v>1</v>
      </c>
      <c r="T75" s="56">
        <v>1.4530997276306152</v>
      </c>
      <c r="U75" s="57">
        <v>0.96099972724914551</v>
      </c>
      <c r="V75" s="215">
        <v>0.48433941968225663</v>
      </c>
      <c r="W75" s="494">
        <v>0.26535212256789431</v>
      </c>
      <c r="X75" s="494">
        <v>0.24947161972522736</v>
      </c>
      <c r="Y75" s="59">
        <v>2</v>
      </c>
      <c r="Z75" s="60">
        <v>0</v>
      </c>
      <c r="AA75" s="61"/>
      <c r="AB75" s="62"/>
      <c r="AC75" s="39">
        <f t="shared" si="3"/>
        <v>44835.479166666672</v>
      </c>
      <c r="AD75" s="495">
        <f t="shared" si="4"/>
        <v>44835.4375</v>
      </c>
      <c r="AE75" s="40">
        <f t="shared" si="5"/>
        <v>44835.395833333336</v>
      </c>
    </row>
    <row r="76" spans="1:31" ht="21" customHeight="1" thickBot="1" x14ac:dyDescent="0.3">
      <c r="A76" s="445">
        <v>9</v>
      </c>
      <c r="B76" s="220">
        <v>44836</v>
      </c>
      <c r="C76" s="228">
        <v>44836.375</v>
      </c>
      <c r="D76" s="493">
        <v>44836.583333333336</v>
      </c>
      <c r="E76" s="493">
        <v>44836.625</v>
      </c>
      <c r="F76" s="493">
        <v>44836.666666666664</v>
      </c>
      <c r="G76" s="258">
        <v>44836.666666666664</v>
      </c>
      <c r="H76" s="226" t="s">
        <v>360</v>
      </c>
      <c r="I76" s="223" t="s">
        <v>61</v>
      </c>
      <c r="J76" s="245" t="s">
        <v>10</v>
      </c>
      <c r="K76" s="497">
        <v>6</v>
      </c>
      <c r="L76" s="497">
        <v>3</v>
      </c>
      <c r="M76" s="250" t="s">
        <v>11</v>
      </c>
      <c r="N76" s="52">
        <v>45122.417974537035</v>
      </c>
      <c r="O76" s="53" t="s">
        <v>49</v>
      </c>
      <c r="P76" s="54" t="s">
        <v>603</v>
      </c>
      <c r="R76" s="210">
        <v>3</v>
      </c>
      <c r="S76" s="210">
        <v>1</v>
      </c>
      <c r="T76" s="56">
        <v>2.5200998783111572</v>
      </c>
      <c r="U76" s="57">
        <v>1.2009997367858887</v>
      </c>
      <c r="V76" s="215">
        <v>0.64571247671510834</v>
      </c>
      <c r="W76" s="494">
        <v>0.17554530397207932</v>
      </c>
      <c r="X76" s="494">
        <v>0.1637389063835144</v>
      </c>
      <c r="Y76" s="59">
        <v>6</v>
      </c>
      <c r="Z76" s="60">
        <v>3</v>
      </c>
      <c r="AA76" s="61"/>
      <c r="AB76" s="62"/>
      <c r="AC76" s="39">
        <f t="shared" si="3"/>
        <v>44836.333333333336</v>
      </c>
      <c r="AD76" s="495">
        <f t="shared" si="4"/>
        <v>44836.291666666664</v>
      </c>
      <c r="AE76" s="40">
        <f t="shared" si="5"/>
        <v>44836.25</v>
      </c>
    </row>
    <row r="77" spans="1:31" ht="21" customHeight="1" thickBot="1" x14ac:dyDescent="0.3">
      <c r="A77" s="445">
        <v>9</v>
      </c>
      <c r="B77" s="220">
        <v>44836</v>
      </c>
      <c r="C77" s="228">
        <v>44836.479166666664</v>
      </c>
      <c r="D77" s="493">
        <v>44836.6875</v>
      </c>
      <c r="E77" s="493">
        <v>44836.729166666664</v>
      </c>
      <c r="F77" s="493">
        <v>44836.770833333336</v>
      </c>
      <c r="G77" s="258">
        <v>44836.770833333336</v>
      </c>
      <c r="H77" s="226" t="s">
        <v>316</v>
      </c>
      <c r="I77" s="223" t="s">
        <v>140</v>
      </c>
      <c r="J77" s="243" t="s">
        <v>139</v>
      </c>
      <c r="K77" s="497">
        <v>0</v>
      </c>
      <c r="L77" s="497">
        <v>0</v>
      </c>
      <c r="M77" s="248" t="s">
        <v>2</v>
      </c>
      <c r="N77" s="52">
        <v>45122.417974537035</v>
      </c>
      <c r="O77" s="53" t="s">
        <v>49</v>
      </c>
      <c r="P77" s="54" t="s">
        <v>603</v>
      </c>
      <c r="R77" s="210">
        <v>1</v>
      </c>
      <c r="S77" s="210">
        <v>2</v>
      </c>
      <c r="T77" s="56">
        <v>1.2000997066497803</v>
      </c>
      <c r="U77" s="57">
        <v>1.7509996891021729</v>
      </c>
      <c r="V77" s="215">
        <v>0.26151976768458784</v>
      </c>
      <c r="W77" s="494">
        <v>0.23526658914978799</v>
      </c>
      <c r="X77" s="494">
        <v>0.50075477361679077</v>
      </c>
      <c r="Y77" s="59">
        <v>0</v>
      </c>
      <c r="Z77" s="60">
        <v>0</v>
      </c>
      <c r="AA77" s="61"/>
      <c r="AB77" s="62"/>
      <c r="AC77" s="39">
        <f t="shared" si="3"/>
        <v>44836.4375</v>
      </c>
      <c r="AD77" s="495">
        <f t="shared" si="4"/>
        <v>44836.395833333328</v>
      </c>
      <c r="AE77" s="40">
        <f t="shared" si="5"/>
        <v>44836.354166666664</v>
      </c>
    </row>
    <row r="78" spans="1:31" ht="21" customHeight="1" thickBot="1" x14ac:dyDescent="0.3">
      <c r="A78" s="445">
        <v>9</v>
      </c>
      <c r="B78" s="220">
        <v>44837</v>
      </c>
      <c r="C78" s="228">
        <v>44837.625</v>
      </c>
      <c r="D78" s="493">
        <v>44837.833333333336</v>
      </c>
      <c r="E78" s="493">
        <v>44837.875</v>
      </c>
      <c r="F78" s="493">
        <v>44837.916666666664</v>
      </c>
      <c r="G78" s="258">
        <v>44837.916666666664</v>
      </c>
      <c r="H78" s="226" t="s">
        <v>456</v>
      </c>
      <c r="I78" s="223" t="s">
        <v>54</v>
      </c>
      <c r="J78" s="245" t="s">
        <v>8</v>
      </c>
      <c r="K78" s="497">
        <v>4</v>
      </c>
      <c r="L78" s="497">
        <v>0</v>
      </c>
      <c r="M78" s="250" t="s">
        <v>204</v>
      </c>
      <c r="N78" s="52">
        <v>45122.417974537035</v>
      </c>
      <c r="O78" s="53" t="s">
        <v>49</v>
      </c>
      <c r="P78" s="54" t="s">
        <v>603</v>
      </c>
      <c r="R78" s="210">
        <v>2</v>
      </c>
      <c r="S78" s="210">
        <v>1</v>
      </c>
      <c r="T78" s="56">
        <v>1.8050997257232666</v>
      </c>
      <c r="U78" s="57">
        <v>0.99099981784820557</v>
      </c>
      <c r="V78" s="215">
        <v>0.56223558358896752</v>
      </c>
      <c r="W78" s="494">
        <v>0.2299651942623275</v>
      </c>
      <c r="X78" s="494">
        <v>0.20511116087436676</v>
      </c>
      <c r="Y78" s="59">
        <v>4</v>
      </c>
      <c r="Z78" s="60">
        <v>0</v>
      </c>
      <c r="AA78" s="61"/>
      <c r="AB78" s="62"/>
      <c r="AC78" s="39">
        <f t="shared" si="3"/>
        <v>44837.583333333336</v>
      </c>
      <c r="AD78" s="495">
        <f t="shared" si="4"/>
        <v>44837.541666666664</v>
      </c>
      <c r="AE78" s="40">
        <f t="shared" si="5"/>
        <v>44837.5</v>
      </c>
    </row>
    <row r="79" spans="1:31" ht="21" customHeight="1" thickBot="1" x14ac:dyDescent="0.3">
      <c r="A79" s="444">
        <v>10</v>
      </c>
      <c r="B79" s="219">
        <v>44842</v>
      </c>
      <c r="C79" s="230">
        <v>44842.416666666664</v>
      </c>
      <c r="D79" s="256">
        <v>44842.625</v>
      </c>
      <c r="E79" s="256">
        <v>44842.666666666664</v>
      </c>
      <c r="F79" s="256">
        <v>44842.708333333336</v>
      </c>
      <c r="G79" s="257">
        <v>44842.708333333336</v>
      </c>
      <c r="H79" s="225" t="s">
        <v>457</v>
      </c>
      <c r="I79" s="222" t="s">
        <v>51</v>
      </c>
      <c r="J79" s="252" t="s">
        <v>3</v>
      </c>
      <c r="K79" s="497">
        <v>2</v>
      </c>
      <c r="L79" s="497">
        <v>1</v>
      </c>
      <c r="M79" s="253" t="s">
        <v>8</v>
      </c>
      <c r="N79" s="41">
        <v>45122.417974537035</v>
      </c>
      <c r="O79" s="42" t="s">
        <v>49</v>
      </c>
      <c r="P79" s="43" t="s">
        <v>603</v>
      </c>
      <c r="Q79" s="44"/>
      <c r="R79" s="212">
        <v>1</v>
      </c>
      <c r="S79" s="212">
        <v>1</v>
      </c>
      <c r="T79" s="45">
        <v>1.3320999145507813</v>
      </c>
      <c r="U79" s="46">
        <v>1.1221426725387573</v>
      </c>
      <c r="V79" s="213">
        <v>0.41430489819672667</v>
      </c>
      <c r="W79" s="214">
        <v>0.27113842531295451</v>
      </c>
      <c r="X79" s="214">
        <v>0.31392312049865723</v>
      </c>
      <c r="Y79" s="47">
        <v>2</v>
      </c>
      <c r="Z79" s="48">
        <v>1</v>
      </c>
      <c r="AA79" s="49"/>
      <c r="AB79" s="50"/>
      <c r="AC79" s="75">
        <f t="shared" si="3"/>
        <v>44842.375</v>
      </c>
      <c r="AD79" s="76">
        <f t="shared" si="4"/>
        <v>44842.333333333328</v>
      </c>
      <c r="AE79" s="77">
        <f t="shared" si="5"/>
        <v>44842.291666666664</v>
      </c>
    </row>
    <row r="80" spans="1:31" ht="21" customHeight="1" thickBot="1" x14ac:dyDescent="0.3">
      <c r="A80" s="445">
        <v>10</v>
      </c>
      <c r="B80" s="220">
        <v>44842</v>
      </c>
      <c r="C80" s="228">
        <v>44842.416666666664</v>
      </c>
      <c r="D80" s="493">
        <v>44842.625</v>
      </c>
      <c r="E80" s="493">
        <v>44842.666666666664</v>
      </c>
      <c r="F80" s="493">
        <v>44842.708333333336</v>
      </c>
      <c r="G80" s="258">
        <v>44842.708333333336</v>
      </c>
      <c r="H80" s="226" t="s">
        <v>407</v>
      </c>
      <c r="I80" s="223" t="s">
        <v>62</v>
      </c>
      <c r="J80" s="243" t="s">
        <v>5</v>
      </c>
      <c r="K80" s="497">
        <v>3</v>
      </c>
      <c r="L80" s="497">
        <v>0</v>
      </c>
      <c r="M80" s="248" t="s">
        <v>16</v>
      </c>
      <c r="N80" s="52">
        <v>45122.417974537035</v>
      </c>
      <c r="O80" s="53" t="s">
        <v>49</v>
      </c>
      <c r="P80" s="54" t="s">
        <v>603</v>
      </c>
      <c r="R80" s="210">
        <v>2</v>
      </c>
      <c r="S80" s="210">
        <v>0</v>
      </c>
      <c r="T80" s="56">
        <v>1.5410997867584229</v>
      </c>
      <c r="U80" s="57">
        <v>0.77099978923797607</v>
      </c>
      <c r="V80" s="215">
        <v>0.55533806393774932</v>
      </c>
      <c r="W80" s="494">
        <v>0.25668231547647968</v>
      </c>
      <c r="X80" s="494">
        <v>0.18688292801380157</v>
      </c>
      <c r="Y80" s="59">
        <v>3</v>
      </c>
      <c r="Z80" s="60">
        <v>0</v>
      </c>
      <c r="AA80" s="61"/>
      <c r="AB80" s="62"/>
      <c r="AC80" s="39">
        <f t="shared" si="3"/>
        <v>44842.375</v>
      </c>
      <c r="AD80" s="495">
        <f t="shared" si="4"/>
        <v>44842.333333333328</v>
      </c>
      <c r="AE80" s="40">
        <f t="shared" si="5"/>
        <v>44842.291666666664</v>
      </c>
    </row>
    <row r="81" spans="1:31" ht="21" customHeight="1" thickBot="1" x14ac:dyDescent="0.3">
      <c r="A81" s="445">
        <v>10</v>
      </c>
      <c r="B81" s="220">
        <v>44842</v>
      </c>
      <c r="C81" s="228">
        <v>44842.416666666664</v>
      </c>
      <c r="D81" s="493">
        <v>44842.625</v>
      </c>
      <c r="E81" s="493">
        <v>44842.666666666664</v>
      </c>
      <c r="F81" s="493">
        <v>44842.708333333336</v>
      </c>
      <c r="G81" s="258">
        <v>44842.708333333336</v>
      </c>
      <c r="H81" s="226" t="s">
        <v>226</v>
      </c>
      <c r="I81" s="223" t="s">
        <v>61</v>
      </c>
      <c r="J81" s="243" t="s">
        <v>10</v>
      </c>
      <c r="K81" s="497">
        <v>4</v>
      </c>
      <c r="L81" s="497">
        <v>0</v>
      </c>
      <c r="M81" s="248" t="s">
        <v>13</v>
      </c>
      <c r="N81" s="52">
        <v>45122.417974537035</v>
      </c>
      <c r="O81" s="53" t="s">
        <v>49</v>
      </c>
      <c r="P81" s="54" t="s">
        <v>603</v>
      </c>
      <c r="R81" s="210">
        <v>2</v>
      </c>
      <c r="S81" s="210">
        <v>0</v>
      </c>
      <c r="T81" s="56">
        <v>2.339228561946324</v>
      </c>
      <c r="U81" s="57">
        <v>0.5009998083114624</v>
      </c>
      <c r="V81" s="215">
        <v>0.77746645563911554</v>
      </c>
      <c r="W81" s="494">
        <v>0.14973809931980978</v>
      </c>
      <c r="X81" s="494">
        <v>6.2598042190074921E-2</v>
      </c>
      <c r="Y81" s="59">
        <v>4</v>
      </c>
      <c r="Z81" s="60">
        <v>0</v>
      </c>
      <c r="AA81" s="61"/>
      <c r="AB81" s="62"/>
      <c r="AC81" s="39">
        <f t="shared" si="3"/>
        <v>44842.375</v>
      </c>
      <c r="AD81" s="495">
        <f t="shared" si="4"/>
        <v>44842.333333333328</v>
      </c>
      <c r="AE81" s="40">
        <f t="shared" si="5"/>
        <v>44842.291666666664</v>
      </c>
    </row>
    <row r="82" spans="1:31" ht="21" customHeight="1" thickBot="1" x14ac:dyDescent="0.3">
      <c r="A82" s="445">
        <v>10</v>
      </c>
      <c r="B82" s="220">
        <v>44842</v>
      </c>
      <c r="C82" s="228">
        <v>44842.416666666664</v>
      </c>
      <c r="D82" s="493">
        <v>44842.625</v>
      </c>
      <c r="E82" s="493">
        <v>44842.666666666664</v>
      </c>
      <c r="F82" s="493">
        <v>44842.708333333336</v>
      </c>
      <c r="G82" s="258">
        <v>44842.708333333336</v>
      </c>
      <c r="H82" s="226" t="s">
        <v>271</v>
      </c>
      <c r="I82" s="223" t="s">
        <v>55</v>
      </c>
      <c r="J82" s="243" t="s">
        <v>12</v>
      </c>
      <c r="K82" s="497">
        <v>5</v>
      </c>
      <c r="L82" s="497">
        <v>1</v>
      </c>
      <c r="M82" s="248" t="s">
        <v>125</v>
      </c>
      <c r="N82" s="52">
        <v>45122.417974537035</v>
      </c>
      <c r="O82" s="53" t="s">
        <v>49</v>
      </c>
      <c r="P82" s="54" t="s">
        <v>603</v>
      </c>
      <c r="R82" s="210">
        <v>2</v>
      </c>
      <c r="S82" s="210">
        <v>1</v>
      </c>
      <c r="T82" s="56">
        <v>1.7170999050140381</v>
      </c>
      <c r="U82" s="57">
        <v>1.210999608039856</v>
      </c>
      <c r="V82" s="215">
        <v>0.4904827891043928</v>
      </c>
      <c r="W82" s="494">
        <v>0.23782605880631538</v>
      </c>
      <c r="X82" s="494">
        <v>0.26944440603256226</v>
      </c>
      <c r="Y82" s="59">
        <v>5</v>
      </c>
      <c r="Z82" s="60">
        <v>1</v>
      </c>
      <c r="AA82" s="61"/>
      <c r="AB82" s="62"/>
      <c r="AC82" s="39">
        <f t="shared" si="3"/>
        <v>44842.375</v>
      </c>
      <c r="AD82" s="495">
        <f t="shared" si="4"/>
        <v>44842.333333333328</v>
      </c>
      <c r="AE82" s="40">
        <f t="shared" si="5"/>
        <v>44842.291666666664</v>
      </c>
    </row>
    <row r="83" spans="1:31" ht="21" customHeight="1" thickBot="1" x14ac:dyDescent="0.3">
      <c r="A83" s="445">
        <v>10</v>
      </c>
      <c r="B83" s="220">
        <v>44842</v>
      </c>
      <c r="C83" s="228">
        <v>44842.520833333336</v>
      </c>
      <c r="D83" s="493">
        <v>44842.729166666664</v>
      </c>
      <c r="E83" s="493">
        <v>44842.770833333336</v>
      </c>
      <c r="F83" s="493">
        <v>44842.8125</v>
      </c>
      <c r="G83" s="258">
        <v>44842.8125</v>
      </c>
      <c r="H83" s="226" t="s">
        <v>290</v>
      </c>
      <c r="I83" s="223" t="s">
        <v>151</v>
      </c>
      <c r="J83" s="243" t="s">
        <v>4</v>
      </c>
      <c r="K83" s="497">
        <v>0</v>
      </c>
      <c r="L83" s="497">
        <v>1</v>
      </c>
      <c r="M83" s="248" t="s">
        <v>14</v>
      </c>
      <c r="N83" s="52">
        <v>45122.417974537035</v>
      </c>
      <c r="O83" s="53" t="s">
        <v>49</v>
      </c>
      <c r="P83" s="54" t="s">
        <v>603</v>
      </c>
      <c r="R83" s="210">
        <v>2</v>
      </c>
      <c r="S83" s="210">
        <v>1</v>
      </c>
      <c r="T83" s="56">
        <v>2.0030999183654785</v>
      </c>
      <c r="U83" s="57">
        <v>1.3609998226165771</v>
      </c>
      <c r="V83" s="215">
        <v>0.51936804038799367</v>
      </c>
      <c r="W83" s="494">
        <v>0.21635482543721962</v>
      </c>
      <c r="X83" s="494">
        <v>0.25918036699295044</v>
      </c>
      <c r="Y83" s="59">
        <v>0</v>
      </c>
      <c r="Z83" s="60">
        <v>1</v>
      </c>
      <c r="AA83" s="61"/>
      <c r="AB83" s="62"/>
      <c r="AC83" s="39">
        <f t="shared" si="3"/>
        <v>44842.479166666672</v>
      </c>
      <c r="AD83" s="495">
        <f t="shared" si="4"/>
        <v>44842.4375</v>
      </c>
      <c r="AE83" s="40">
        <f t="shared" si="5"/>
        <v>44842.395833333336</v>
      </c>
    </row>
    <row r="84" spans="1:31" ht="21" customHeight="1" thickBot="1" x14ac:dyDescent="0.3">
      <c r="A84" s="445">
        <v>10</v>
      </c>
      <c r="B84" s="220">
        <v>44843</v>
      </c>
      <c r="C84" s="228">
        <v>44843.375</v>
      </c>
      <c r="D84" s="493">
        <v>44843.583333333336</v>
      </c>
      <c r="E84" s="493">
        <v>44843.625</v>
      </c>
      <c r="F84" s="493">
        <v>44843.666666666664</v>
      </c>
      <c r="G84" s="258">
        <v>44843.666666666664</v>
      </c>
      <c r="H84" s="226" t="s">
        <v>397</v>
      </c>
      <c r="I84" s="223" t="s">
        <v>52</v>
      </c>
      <c r="J84" s="246" t="s">
        <v>6</v>
      </c>
      <c r="K84" s="497">
        <v>2</v>
      </c>
      <c r="L84" s="497">
        <v>1</v>
      </c>
      <c r="M84" s="251" t="s">
        <v>139</v>
      </c>
      <c r="N84" s="52">
        <v>45122.417974537035</v>
      </c>
      <c r="O84" s="53" t="s">
        <v>49</v>
      </c>
      <c r="P84" s="54" t="s">
        <v>603</v>
      </c>
      <c r="R84" s="210">
        <v>2</v>
      </c>
      <c r="S84" s="210">
        <v>1</v>
      </c>
      <c r="T84" s="56">
        <v>1.6620998382568359</v>
      </c>
      <c r="U84" s="57">
        <v>1.0809997320175171</v>
      </c>
      <c r="V84" s="215">
        <v>0.50768888339687734</v>
      </c>
      <c r="W84" s="494">
        <v>0.24360155339698386</v>
      </c>
      <c r="X84" s="494">
        <v>0.24692201614379883</v>
      </c>
      <c r="Y84" s="59">
        <v>2</v>
      </c>
      <c r="Z84" s="60">
        <v>1</v>
      </c>
      <c r="AA84" s="61"/>
      <c r="AB84" s="62"/>
      <c r="AC84" s="39">
        <f t="shared" si="3"/>
        <v>44843.333333333336</v>
      </c>
      <c r="AD84" s="495">
        <f t="shared" si="4"/>
        <v>44843.291666666664</v>
      </c>
      <c r="AE84" s="40">
        <f t="shared" si="5"/>
        <v>44843.25</v>
      </c>
    </row>
    <row r="85" spans="1:31" ht="21" customHeight="1" thickBot="1" x14ac:dyDescent="0.3">
      <c r="A85" s="445">
        <v>10</v>
      </c>
      <c r="B85" s="220">
        <v>44843</v>
      </c>
      <c r="C85" s="228">
        <v>44843.375</v>
      </c>
      <c r="D85" s="493">
        <v>44843.583333333336</v>
      </c>
      <c r="E85" s="493">
        <v>44843.625</v>
      </c>
      <c r="F85" s="493">
        <v>44843.666666666664</v>
      </c>
      <c r="G85" s="258">
        <v>44843.666666666664</v>
      </c>
      <c r="H85" s="226" t="s">
        <v>459</v>
      </c>
      <c r="I85" s="223" t="s">
        <v>50</v>
      </c>
      <c r="J85" s="246" t="s">
        <v>15</v>
      </c>
      <c r="K85" s="497">
        <v>3</v>
      </c>
      <c r="L85" s="497">
        <v>1</v>
      </c>
      <c r="M85" s="251" t="s">
        <v>126</v>
      </c>
      <c r="N85" s="52">
        <v>45122.417974537035</v>
      </c>
      <c r="O85" s="53" t="s">
        <v>49</v>
      </c>
      <c r="P85" s="54" t="s">
        <v>603</v>
      </c>
      <c r="R85" s="210">
        <v>2</v>
      </c>
      <c r="S85" s="210">
        <v>1</v>
      </c>
      <c r="T85" s="56">
        <v>1.5740997791290283</v>
      </c>
      <c r="U85" s="57">
        <v>1.1609997749328613</v>
      </c>
      <c r="V85" s="215">
        <v>0.46777022267068452</v>
      </c>
      <c r="W85" s="494">
        <v>0.25000497222626517</v>
      </c>
      <c r="X85" s="494">
        <v>0.28080078959465027</v>
      </c>
      <c r="Y85" s="59">
        <v>3</v>
      </c>
      <c r="Z85" s="60">
        <v>1</v>
      </c>
      <c r="AA85" s="61"/>
      <c r="AB85" s="62"/>
      <c r="AC85" s="39">
        <f t="shared" si="3"/>
        <v>44843.333333333336</v>
      </c>
      <c r="AD85" s="495">
        <f t="shared" si="4"/>
        <v>44843.291666666664</v>
      </c>
      <c r="AE85" s="40">
        <f t="shared" si="5"/>
        <v>44843.25</v>
      </c>
    </row>
    <row r="86" spans="1:31" ht="21" customHeight="1" thickBot="1" x14ac:dyDescent="0.3">
      <c r="A86" s="445">
        <v>10</v>
      </c>
      <c r="B86" s="220">
        <v>44843</v>
      </c>
      <c r="C86" s="228">
        <v>44843.479166666664</v>
      </c>
      <c r="D86" s="493">
        <v>44843.6875</v>
      </c>
      <c r="E86" s="493">
        <v>44843.729166666664</v>
      </c>
      <c r="F86" s="493">
        <v>44843.770833333336</v>
      </c>
      <c r="G86" s="258">
        <v>44843.770833333336</v>
      </c>
      <c r="H86" s="226" t="s">
        <v>187</v>
      </c>
      <c r="I86" s="223" t="s">
        <v>57</v>
      </c>
      <c r="J86" s="246" t="s">
        <v>1</v>
      </c>
      <c r="K86" s="497">
        <v>3</v>
      </c>
      <c r="L86" s="497">
        <v>2</v>
      </c>
      <c r="M86" s="251" t="s">
        <v>9</v>
      </c>
      <c r="N86" s="52">
        <v>45122.417974537035</v>
      </c>
      <c r="O86" s="53" t="s">
        <v>49</v>
      </c>
      <c r="P86" s="54" t="s">
        <v>603</v>
      </c>
      <c r="R86" s="210">
        <v>2</v>
      </c>
      <c r="S86" s="210">
        <v>2</v>
      </c>
      <c r="T86" s="56">
        <v>1.9590996503829956</v>
      </c>
      <c r="U86" s="57">
        <v>1.8509999513626099</v>
      </c>
      <c r="V86" s="215">
        <v>0.41110848663397481</v>
      </c>
      <c r="W86" s="494">
        <v>0.21230335943444117</v>
      </c>
      <c r="X86" s="494">
        <v>0.3695468008518219</v>
      </c>
      <c r="Y86" s="59">
        <v>3</v>
      </c>
      <c r="Z86" s="60">
        <v>2</v>
      </c>
      <c r="AA86" s="61"/>
      <c r="AB86" s="62"/>
      <c r="AC86" s="39">
        <f t="shared" si="3"/>
        <v>44843.4375</v>
      </c>
      <c r="AD86" s="495">
        <f t="shared" si="4"/>
        <v>44843.395833333328</v>
      </c>
      <c r="AE86" s="40">
        <f t="shared" si="5"/>
        <v>44843.354166666664</v>
      </c>
    </row>
    <row r="87" spans="1:31" ht="21" customHeight="1" thickBot="1" x14ac:dyDescent="0.3">
      <c r="A87" s="445">
        <v>10</v>
      </c>
      <c r="B87" s="220">
        <v>44843</v>
      </c>
      <c r="C87" s="228">
        <v>44843.583333333336</v>
      </c>
      <c r="D87" s="493">
        <v>44843.791666666664</v>
      </c>
      <c r="E87" s="493">
        <v>44843.833333333336</v>
      </c>
      <c r="F87" s="493">
        <v>44843.875</v>
      </c>
      <c r="G87" s="258">
        <v>44843.875</v>
      </c>
      <c r="H87" s="226" t="s">
        <v>385</v>
      </c>
      <c r="I87" s="223" t="s">
        <v>59</v>
      </c>
      <c r="J87" s="243" t="s">
        <v>7</v>
      </c>
      <c r="K87" s="497">
        <v>1</v>
      </c>
      <c r="L87" s="497">
        <v>2</v>
      </c>
      <c r="M87" s="248" t="s">
        <v>11</v>
      </c>
      <c r="N87" s="52">
        <v>45122.417974537035</v>
      </c>
      <c r="O87" s="53" t="s">
        <v>49</v>
      </c>
      <c r="P87" s="54" t="s">
        <v>603</v>
      </c>
      <c r="R87" s="210">
        <v>1</v>
      </c>
      <c r="S87" s="210">
        <v>2</v>
      </c>
      <c r="T87" s="56">
        <v>1.1340998411178589</v>
      </c>
      <c r="U87" s="57">
        <v>1.9609997272491455</v>
      </c>
      <c r="V87" s="215">
        <v>0.21617384289831235</v>
      </c>
      <c r="W87" s="494">
        <v>0.21786490736829076</v>
      </c>
      <c r="X87" s="494">
        <v>0.56170040369033813</v>
      </c>
      <c r="Y87" s="59">
        <v>1</v>
      </c>
      <c r="Z87" s="60">
        <v>2</v>
      </c>
      <c r="AA87" s="61"/>
      <c r="AB87" s="62"/>
      <c r="AC87" s="39">
        <f t="shared" si="3"/>
        <v>44843.541666666672</v>
      </c>
      <c r="AD87" s="495">
        <f t="shared" si="4"/>
        <v>44843.5</v>
      </c>
      <c r="AE87" s="40">
        <f t="shared" si="5"/>
        <v>44843.458333333336</v>
      </c>
    </row>
    <row r="88" spans="1:31" ht="21" customHeight="1" thickBot="1" x14ac:dyDescent="0.3">
      <c r="A88" s="445">
        <v>10</v>
      </c>
      <c r="B88" s="220">
        <v>44844</v>
      </c>
      <c r="C88" s="228">
        <v>44844.625</v>
      </c>
      <c r="D88" s="493">
        <v>44844.833333333336</v>
      </c>
      <c r="E88" s="493">
        <v>44844.875</v>
      </c>
      <c r="F88" s="493">
        <v>44844.916666666664</v>
      </c>
      <c r="G88" s="258">
        <v>44844.916666666664</v>
      </c>
      <c r="H88" s="226" t="s">
        <v>458</v>
      </c>
      <c r="I88" s="223" t="s">
        <v>436</v>
      </c>
      <c r="J88" s="243" t="s">
        <v>204</v>
      </c>
      <c r="K88" s="497">
        <v>1</v>
      </c>
      <c r="L88" s="497">
        <v>1</v>
      </c>
      <c r="M88" s="248" t="s">
        <v>2</v>
      </c>
      <c r="N88" s="52">
        <v>45122.417974537035</v>
      </c>
      <c r="O88" s="53" t="s">
        <v>49</v>
      </c>
      <c r="P88" s="54" t="s">
        <v>603</v>
      </c>
      <c r="R88" s="210">
        <v>0</v>
      </c>
      <c r="S88" s="210">
        <v>2</v>
      </c>
      <c r="T88" s="56">
        <v>0.78209972381591797</v>
      </c>
      <c r="U88" s="57">
        <v>1.7709996700286865</v>
      </c>
      <c r="V88" s="215">
        <v>0.16138783111734306</v>
      </c>
      <c r="W88" s="494">
        <v>0.2292618228896233</v>
      </c>
      <c r="X88" s="494">
        <v>0.60698193311691284</v>
      </c>
      <c r="Y88" s="59">
        <v>1</v>
      </c>
      <c r="Z88" s="60">
        <v>1</v>
      </c>
      <c r="AA88" s="61"/>
      <c r="AB88" s="62"/>
      <c r="AC88" s="39">
        <f t="shared" si="3"/>
        <v>44844.583333333336</v>
      </c>
      <c r="AD88" s="495">
        <f t="shared" si="4"/>
        <v>44844.541666666664</v>
      </c>
      <c r="AE88" s="40">
        <f t="shared" si="5"/>
        <v>44844.5</v>
      </c>
    </row>
    <row r="89" spans="1:31" ht="21" customHeight="1" thickBot="1" x14ac:dyDescent="0.3">
      <c r="A89" s="444">
        <v>11</v>
      </c>
      <c r="B89" s="219">
        <v>44848</v>
      </c>
      <c r="C89" s="230">
        <v>44848.625</v>
      </c>
      <c r="D89" s="256">
        <v>44848.833333333336</v>
      </c>
      <c r="E89" s="256">
        <v>44848.875</v>
      </c>
      <c r="F89" s="256">
        <v>44848.916666666664</v>
      </c>
      <c r="G89" s="257">
        <v>44848.916666666664</v>
      </c>
      <c r="H89" s="225" t="s">
        <v>219</v>
      </c>
      <c r="I89" s="222" t="s">
        <v>593</v>
      </c>
      <c r="J89" s="252" t="s">
        <v>125</v>
      </c>
      <c r="K89" s="497">
        <v>2</v>
      </c>
      <c r="L89" s="497">
        <v>0</v>
      </c>
      <c r="M89" s="253" t="s">
        <v>4</v>
      </c>
      <c r="N89" s="41">
        <v>45122.417974537035</v>
      </c>
      <c r="O89" s="42" t="s">
        <v>49</v>
      </c>
      <c r="P89" s="43" t="s">
        <v>603</v>
      </c>
      <c r="Q89" s="44"/>
      <c r="R89" s="212">
        <v>1</v>
      </c>
      <c r="S89" s="212">
        <v>2</v>
      </c>
      <c r="T89" s="45">
        <v>1.179514033453805</v>
      </c>
      <c r="U89" s="46">
        <v>1.5351426601409912</v>
      </c>
      <c r="V89" s="213">
        <v>0.29210267562681647</v>
      </c>
      <c r="W89" s="214">
        <v>0.25268486796802009</v>
      </c>
      <c r="X89" s="214">
        <v>0.45392945408821106</v>
      </c>
      <c r="Y89" s="47">
        <v>2</v>
      </c>
      <c r="Z89" s="48">
        <v>0</v>
      </c>
      <c r="AA89" s="49"/>
      <c r="AB89" s="50"/>
      <c r="AC89" s="75">
        <f t="shared" si="3"/>
        <v>44848.583333333336</v>
      </c>
      <c r="AD89" s="76">
        <f t="shared" si="4"/>
        <v>44848.541666666664</v>
      </c>
      <c r="AE89" s="77">
        <f t="shared" si="5"/>
        <v>44848.5</v>
      </c>
    </row>
    <row r="90" spans="1:31" ht="21" customHeight="1" thickBot="1" x14ac:dyDescent="0.3">
      <c r="A90" s="445">
        <v>11</v>
      </c>
      <c r="B90" s="220">
        <v>44849</v>
      </c>
      <c r="C90" s="228">
        <v>44849.3125</v>
      </c>
      <c r="D90" s="493">
        <v>44849.520833333336</v>
      </c>
      <c r="E90" s="493">
        <v>44849.5625</v>
      </c>
      <c r="F90" s="493">
        <v>44849.604166666664</v>
      </c>
      <c r="G90" s="258">
        <v>44849.604166666664</v>
      </c>
      <c r="H90" s="226" t="s">
        <v>386</v>
      </c>
      <c r="I90" s="223" t="s">
        <v>54</v>
      </c>
      <c r="J90" s="245" t="s">
        <v>8</v>
      </c>
      <c r="K90" s="497">
        <v>0</v>
      </c>
      <c r="L90" s="497">
        <v>0</v>
      </c>
      <c r="M90" s="250" t="s">
        <v>6</v>
      </c>
      <c r="N90" s="52">
        <v>45122.417974537035</v>
      </c>
      <c r="O90" s="53" t="s">
        <v>49</v>
      </c>
      <c r="P90" s="54" t="s">
        <v>603</v>
      </c>
      <c r="R90" s="210">
        <v>1</v>
      </c>
      <c r="S90" s="210">
        <v>1</v>
      </c>
      <c r="T90" s="56">
        <v>1.2000997066497803</v>
      </c>
      <c r="U90" s="57">
        <v>1.0894284248352051</v>
      </c>
      <c r="V90" s="215">
        <v>0.38517246164808905</v>
      </c>
      <c r="W90" s="494">
        <v>0.28390160305262674</v>
      </c>
      <c r="X90" s="494">
        <v>0.33053436875343323</v>
      </c>
      <c r="Y90" s="59">
        <v>0</v>
      </c>
      <c r="Z90" s="60">
        <v>0</v>
      </c>
      <c r="AA90" s="61"/>
      <c r="AB90" s="62"/>
      <c r="AC90" s="39">
        <f t="shared" si="3"/>
        <v>44849.270833333336</v>
      </c>
      <c r="AD90" s="495">
        <f t="shared" si="4"/>
        <v>44849.229166666664</v>
      </c>
      <c r="AE90" s="40">
        <f t="shared" si="5"/>
        <v>44849.1875</v>
      </c>
    </row>
    <row r="91" spans="1:31" ht="21" customHeight="1" thickBot="1" x14ac:dyDescent="0.3">
      <c r="A91" s="445">
        <v>11</v>
      </c>
      <c r="B91" s="220">
        <v>44849</v>
      </c>
      <c r="C91" s="228">
        <v>44849.416666666664</v>
      </c>
      <c r="D91" s="493">
        <v>44849.625</v>
      </c>
      <c r="E91" s="493">
        <v>44849.666666666664</v>
      </c>
      <c r="F91" s="493">
        <v>44849.708333333336</v>
      </c>
      <c r="G91" s="258">
        <v>44849.708333333336</v>
      </c>
      <c r="H91" s="226" t="s">
        <v>460</v>
      </c>
      <c r="I91" s="223" t="s">
        <v>431</v>
      </c>
      <c r="J91" s="245" t="s">
        <v>126</v>
      </c>
      <c r="K91" s="497">
        <v>2</v>
      </c>
      <c r="L91" s="497">
        <v>2</v>
      </c>
      <c r="M91" s="250" t="s">
        <v>3</v>
      </c>
      <c r="N91" s="52">
        <v>45122.417974537035</v>
      </c>
      <c r="O91" s="53" t="s">
        <v>49</v>
      </c>
      <c r="P91" s="54" t="s">
        <v>603</v>
      </c>
      <c r="R91" s="210">
        <v>1</v>
      </c>
      <c r="S91" s="210">
        <v>1</v>
      </c>
      <c r="T91" s="56">
        <v>1.4435141086578369</v>
      </c>
      <c r="U91" s="57">
        <v>1.2409998178482056</v>
      </c>
      <c r="V91" s="215">
        <v>0.41721472074512567</v>
      </c>
      <c r="W91" s="494">
        <v>0.25749595115263546</v>
      </c>
      <c r="X91" s="494">
        <v>0.3242400586605072</v>
      </c>
      <c r="Y91" s="59">
        <v>2</v>
      </c>
      <c r="Z91" s="60">
        <v>2</v>
      </c>
      <c r="AA91" s="61"/>
      <c r="AB91" s="62"/>
      <c r="AC91" s="39">
        <f t="shared" si="3"/>
        <v>44849.375</v>
      </c>
      <c r="AD91" s="495">
        <f t="shared" si="4"/>
        <v>44849.333333333328</v>
      </c>
      <c r="AE91" s="40">
        <f t="shared" si="5"/>
        <v>44849.291666666664</v>
      </c>
    </row>
    <row r="92" spans="1:31" ht="21" customHeight="1" thickBot="1" x14ac:dyDescent="0.3">
      <c r="A92" s="445">
        <v>11</v>
      </c>
      <c r="B92" s="220">
        <v>44849</v>
      </c>
      <c r="C92" s="228">
        <v>44849.416666666664</v>
      </c>
      <c r="D92" s="493">
        <v>44849.625</v>
      </c>
      <c r="E92" s="493">
        <v>44849.666666666664</v>
      </c>
      <c r="F92" s="493">
        <v>44849.708333333336</v>
      </c>
      <c r="G92" s="258">
        <v>44849.708333333336</v>
      </c>
      <c r="H92" s="226" t="s">
        <v>461</v>
      </c>
      <c r="I92" s="223" t="s">
        <v>63</v>
      </c>
      <c r="J92" s="245" t="s">
        <v>16</v>
      </c>
      <c r="K92" s="497">
        <v>1</v>
      </c>
      <c r="L92" s="497">
        <v>0</v>
      </c>
      <c r="M92" s="250" t="s">
        <v>204</v>
      </c>
      <c r="N92" s="52">
        <v>45122.417974537035</v>
      </c>
      <c r="O92" s="53" t="s">
        <v>49</v>
      </c>
      <c r="P92" s="54" t="s">
        <v>603</v>
      </c>
      <c r="R92" s="210">
        <v>2</v>
      </c>
      <c r="S92" s="210">
        <v>0</v>
      </c>
      <c r="T92" s="56">
        <v>1.5410996675491333</v>
      </c>
      <c r="U92" s="57">
        <v>0.65071409940719604</v>
      </c>
      <c r="V92" s="215">
        <v>0.58765720239817043</v>
      </c>
      <c r="W92" s="494">
        <v>0.25516202536911259</v>
      </c>
      <c r="X92" s="494">
        <v>0.15609492361545563</v>
      </c>
      <c r="Y92" s="59">
        <v>1</v>
      </c>
      <c r="Z92" s="60">
        <v>0</v>
      </c>
      <c r="AA92" s="61"/>
      <c r="AB92" s="62"/>
      <c r="AC92" s="39">
        <f t="shared" si="3"/>
        <v>44849.375</v>
      </c>
      <c r="AD92" s="495">
        <f t="shared" si="4"/>
        <v>44849.333333333328</v>
      </c>
      <c r="AE92" s="40">
        <f t="shared" si="5"/>
        <v>44849.291666666664</v>
      </c>
    </row>
    <row r="93" spans="1:31" ht="21" customHeight="1" thickBot="1" x14ac:dyDescent="0.3">
      <c r="A93" s="445">
        <v>11</v>
      </c>
      <c r="B93" s="220">
        <v>44849</v>
      </c>
      <c r="C93" s="228">
        <v>44849.520833333336</v>
      </c>
      <c r="D93" s="493">
        <v>44849.729166666664</v>
      </c>
      <c r="E93" s="493">
        <v>44849.770833333336</v>
      </c>
      <c r="F93" s="493">
        <v>44849.8125</v>
      </c>
      <c r="G93" s="258">
        <v>44849.8125</v>
      </c>
      <c r="H93" s="226" t="s">
        <v>362</v>
      </c>
      <c r="I93" s="223" t="s">
        <v>53</v>
      </c>
      <c r="J93" s="243" t="s">
        <v>14</v>
      </c>
      <c r="K93" s="497">
        <v>2</v>
      </c>
      <c r="L93" s="497">
        <v>0</v>
      </c>
      <c r="M93" s="248" t="s">
        <v>7</v>
      </c>
      <c r="N93" s="52">
        <v>45122.417974537035</v>
      </c>
      <c r="O93" s="53" t="s">
        <v>49</v>
      </c>
      <c r="P93" s="54" t="s">
        <v>603</v>
      </c>
      <c r="R93" s="210">
        <v>2</v>
      </c>
      <c r="S93" s="210">
        <v>1</v>
      </c>
      <c r="T93" s="56">
        <v>2.036099910736084</v>
      </c>
      <c r="U93" s="57">
        <v>0.95228546857833862</v>
      </c>
      <c r="V93" s="215">
        <v>0.61968927693508846</v>
      </c>
      <c r="W93" s="494">
        <v>0.20690750372389424</v>
      </c>
      <c r="X93" s="494">
        <v>0.16835792362689972</v>
      </c>
      <c r="Y93" s="59">
        <v>2</v>
      </c>
      <c r="Z93" s="60">
        <v>0</v>
      </c>
      <c r="AA93" s="61"/>
      <c r="AB93" s="62"/>
      <c r="AC93" s="39">
        <f t="shared" si="3"/>
        <v>44849.479166666672</v>
      </c>
      <c r="AD93" s="495">
        <f t="shared" si="4"/>
        <v>44849.4375</v>
      </c>
      <c r="AE93" s="40">
        <f t="shared" si="5"/>
        <v>44849.395833333336</v>
      </c>
    </row>
    <row r="94" spans="1:31" ht="21" customHeight="1" thickBot="1" x14ac:dyDescent="0.3">
      <c r="A94" s="445">
        <v>11</v>
      </c>
      <c r="B94" s="220">
        <v>44850</v>
      </c>
      <c r="C94" s="228">
        <v>44850.375</v>
      </c>
      <c r="D94" s="493">
        <v>44850.583333333336</v>
      </c>
      <c r="E94" s="493">
        <v>44850.625</v>
      </c>
      <c r="F94" s="493">
        <v>44850.666666666664</v>
      </c>
      <c r="G94" s="258">
        <v>44850.666666666664</v>
      </c>
      <c r="H94" s="226" t="s">
        <v>176</v>
      </c>
      <c r="I94" s="223" t="s">
        <v>58</v>
      </c>
      <c r="J94" s="243" t="s">
        <v>2</v>
      </c>
      <c r="K94" s="497">
        <v>0</v>
      </c>
      <c r="L94" s="497">
        <v>2</v>
      </c>
      <c r="M94" s="248" t="s">
        <v>5</v>
      </c>
      <c r="N94" s="52">
        <v>45122.417974537035</v>
      </c>
      <c r="O94" s="53" t="s">
        <v>49</v>
      </c>
      <c r="P94" s="54" t="s">
        <v>603</v>
      </c>
      <c r="R94" s="210">
        <v>1</v>
      </c>
      <c r="S94" s="210">
        <v>1</v>
      </c>
      <c r="T94" s="56">
        <v>1.0757998057774134</v>
      </c>
      <c r="U94" s="57">
        <v>1.2009997367858887</v>
      </c>
      <c r="V94" s="215">
        <v>0.32649062588254413</v>
      </c>
      <c r="W94" s="494">
        <v>0.28468534687832953</v>
      </c>
      <c r="X94" s="494">
        <v>0.38844159245491028</v>
      </c>
      <c r="Y94" s="59">
        <v>0</v>
      </c>
      <c r="Z94" s="60">
        <v>2</v>
      </c>
      <c r="AA94" s="61"/>
      <c r="AB94" s="62"/>
      <c r="AC94" s="39">
        <f t="shared" si="3"/>
        <v>44850.333333333336</v>
      </c>
      <c r="AD94" s="495">
        <f t="shared" si="4"/>
        <v>44850.291666666664</v>
      </c>
      <c r="AE94" s="40">
        <f t="shared" si="5"/>
        <v>44850.25</v>
      </c>
    </row>
    <row r="95" spans="1:31" ht="21" customHeight="1" thickBot="1" x14ac:dyDescent="0.3">
      <c r="A95" s="445">
        <v>11</v>
      </c>
      <c r="B95" s="220">
        <v>44850</v>
      </c>
      <c r="C95" s="228">
        <v>44850.375</v>
      </c>
      <c r="D95" s="493">
        <v>44850.583333333336</v>
      </c>
      <c r="E95" s="493">
        <v>44850.625</v>
      </c>
      <c r="F95" s="493">
        <v>44850.666666666664</v>
      </c>
      <c r="G95" s="258">
        <v>44850.666666666664</v>
      </c>
      <c r="H95" s="226" t="s">
        <v>301</v>
      </c>
      <c r="I95" s="223" t="s">
        <v>140</v>
      </c>
      <c r="J95" s="243" t="s">
        <v>139</v>
      </c>
      <c r="K95" s="497">
        <v>0</v>
      </c>
      <c r="L95" s="497">
        <v>1</v>
      </c>
      <c r="M95" s="248" t="s">
        <v>1</v>
      </c>
      <c r="N95" s="52">
        <v>45122.417974537035</v>
      </c>
      <c r="O95" s="53" t="s">
        <v>49</v>
      </c>
      <c r="P95" s="54" t="s">
        <v>603</v>
      </c>
      <c r="R95" s="210">
        <v>1</v>
      </c>
      <c r="S95" s="210">
        <v>2</v>
      </c>
      <c r="T95" s="56">
        <v>1.2000997066497803</v>
      </c>
      <c r="U95" s="57">
        <v>2.300999641418457</v>
      </c>
      <c r="V95" s="215">
        <v>0.18732807039328228</v>
      </c>
      <c r="W95" s="494">
        <v>0.19201575712184479</v>
      </c>
      <c r="X95" s="494">
        <v>0.61102479696273804</v>
      </c>
      <c r="Y95" s="59">
        <v>0</v>
      </c>
      <c r="Z95" s="60">
        <v>1</v>
      </c>
      <c r="AA95" s="61"/>
      <c r="AB95" s="62"/>
      <c r="AC95" s="39">
        <f t="shared" si="3"/>
        <v>44850.333333333336</v>
      </c>
      <c r="AD95" s="495">
        <f t="shared" si="4"/>
        <v>44850.291666666664</v>
      </c>
      <c r="AE95" s="40">
        <f t="shared" si="5"/>
        <v>44850.25</v>
      </c>
    </row>
    <row r="96" spans="1:31" ht="21" customHeight="1" thickBot="1" x14ac:dyDescent="0.3">
      <c r="A96" s="445">
        <v>11</v>
      </c>
      <c r="B96" s="220">
        <v>44850</v>
      </c>
      <c r="C96" s="228">
        <v>44850.375</v>
      </c>
      <c r="D96" s="493">
        <v>44850.583333333336</v>
      </c>
      <c r="E96" s="493">
        <v>44850.625</v>
      </c>
      <c r="F96" s="493">
        <v>44850.666666666664</v>
      </c>
      <c r="G96" s="258">
        <v>44850.666666666664</v>
      </c>
      <c r="H96" s="226" t="s">
        <v>223</v>
      </c>
      <c r="I96" s="223" t="s">
        <v>56</v>
      </c>
      <c r="J96" s="243" t="s">
        <v>11</v>
      </c>
      <c r="K96" s="497">
        <v>0</v>
      </c>
      <c r="L96" s="497">
        <v>0</v>
      </c>
      <c r="M96" s="248" t="s">
        <v>12</v>
      </c>
      <c r="N96" s="52">
        <v>45122.417974537035</v>
      </c>
      <c r="O96" s="53" t="s">
        <v>49</v>
      </c>
      <c r="P96" s="54" t="s">
        <v>603</v>
      </c>
      <c r="R96" s="210">
        <v>2</v>
      </c>
      <c r="S96" s="210">
        <v>2</v>
      </c>
      <c r="T96" s="56">
        <v>1.5740997791290283</v>
      </c>
      <c r="U96" s="57">
        <v>1.5109997987747192</v>
      </c>
      <c r="V96" s="215">
        <v>0.39296459159490299</v>
      </c>
      <c r="W96" s="494">
        <v>0.23903857055059716</v>
      </c>
      <c r="X96" s="494">
        <v>0.36581438779830933</v>
      </c>
      <c r="Y96" s="59">
        <v>0</v>
      </c>
      <c r="Z96" s="60">
        <v>0</v>
      </c>
      <c r="AA96" s="61"/>
      <c r="AB96" s="62"/>
      <c r="AC96" s="39">
        <f t="shared" si="3"/>
        <v>44850.333333333336</v>
      </c>
      <c r="AD96" s="495">
        <f t="shared" si="4"/>
        <v>44850.291666666664</v>
      </c>
      <c r="AE96" s="40">
        <f t="shared" si="5"/>
        <v>44850.25</v>
      </c>
    </row>
    <row r="97" spans="1:31" ht="21" customHeight="1" thickBot="1" x14ac:dyDescent="0.3">
      <c r="A97" s="445">
        <v>11</v>
      </c>
      <c r="B97" s="220">
        <v>44850</v>
      </c>
      <c r="C97" s="228">
        <v>44850.375</v>
      </c>
      <c r="D97" s="493">
        <v>44850.583333333336</v>
      </c>
      <c r="E97" s="493">
        <v>44850.625</v>
      </c>
      <c r="F97" s="493">
        <v>44850.666666666664</v>
      </c>
      <c r="G97" s="258">
        <v>44850.666666666664</v>
      </c>
      <c r="H97" s="226" t="s">
        <v>224</v>
      </c>
      <c r="I97" s="223" t="s">
        <v>60</v>
      </c>
      <c r="J97" s="246" t="s">
        <v>13</v>
      </c>
      <c r="K97" s="497">
        <v>1</v>
      </c>
      <c r="L97" s="497">
        <v>1</v>
      </c>
      <c r="M97" s="251" t="s">
        <v>15</v>
      </c>
      <c r="N97" s="52">
        <v>45122.417974537035</v>
      </c>
      <c r="O97" s="53" t="s">
        <v>49</v>
      </c>
      <c r="P97" s="54" t="s">
        <v>603</v>
      </c>
      <c r="R97" s="210">
        <v>1</v>
      </c>
      <c r="S97" s="210">
        <v>1</v>
      </c>
      <c r="T97" s="56">
        <v>0.9910997748374939</v>
      </c>
      <c r="U97" s="57">
        <v>1.4309996366500854</v>
      </c>
      <c r="V97" s="215">
        <v>0.26110034479224975</v>
      </c>
      <c r="W97" s="494">
        <v>0.266898771913816</v>
      </c>
      <c r="X97" s="494">
        <v>0.47121575474739075</v>
      </c>
      <c r="Y97" s="59">
        <v>1</v>
      </c>
      <c r="Z97" s="60">
        <v>1</v>
      </c>
      <c r="AA97" s="61"/>
      <c r="AB97" s="62"/>
      <c r="AC97" s="39">
        <f t="shared" si="3"/>
        <v>44850.333333333336</v>
      </c>
      <c r="AD97" s="495">
        <f t="shared" si="4"/>
        <v>44850.291666666664</v>
      </c>
      <c r="AE97" s="40">
        <f t="shared" si="5"/>
        <v>44850.25</v>
      </c>
    </row>
    <row r="98" spans="1:31" ht="21" customHeight="1" thickBot="1" x14ac:dyDescent="0.3">
      <c r="A98" s="445">
        <v>11</v>
      </c>
      <c r="B98" s="220">
        <v>44850</v>
      </c>
      <c r="C98" s="228">
        <v>44850.479166666664</v>
      </c>
      <c r="D98" s="493">
        <v>44850.6875</v>
      </c>
      <c r="E98" s="493">
        <v>44850.729166666664</v>
      </c>
      <c r="F98" s="493">
        <v>44850.770833333336</v>
      </c>
      <c r="G98" s="258">
        <v>44850.770833333336</v>
      </c>
      <c r="H98" s="226" t="s">
        <v>239</v>
      </c>
      <c r="I98" s="223" t="s">
        <v>48</v>
      </c>
      <c r="J98" s="246" t="s">
        <v>9</v>
      </c>
      <c r="K98" s="497">
        <v>1</v>
      </c>
      <c r="L98" s="497">
        <v>0</v>
      </c>
      <c r="M98" s="251" t="s">
        <v>10</v>
      </c>
      <c r="N98" s="52">
        <v>45122.417974537035</v>
      </c>
      <c r="O98" s="53" t="s">
        <v>49</v>
      </c>
      <c r="P98" s="54" t="s">
        <v>603</v>
      </c>
      <c r="R98" s="210">
        <v>1</v>
      </c>
      <c r="S98" s="210">
        <v>2</v>
      </c>
      <c r="T98" s="56">
        <v>1.7060998678207397</v>
      </c>
      <c r="U98" s="57">
        <v>2.1709997653961182</v>
      </c>
      <c r="V98" s="215">
        <v>0.30498081180957515</v>
      </c>
      <c r="W98" s="494">
        <v>0.20556362051015267</v>
      </c>
      <c r="X98" s="494">
        <v>0.48058828711509705</v>
      </c>
      <c r="Y98" s="59">
        <v>1</v>
      </c>
      <c r="Z98" s="60">
        <v>0</v>
      </c>
      <c r="AA98" s="61"/>
      <c r="AB98" s="62"/>
      <c r="AC98" s="39">
        <f t="shared" si="3"/>
        <v>44850.4375</v>
      </c>
      <c r="AD98" s="495">
        <f t="shared" si="4"/>
        <v>44850.395833333328</v>
      </c>
      <c r="AE98" s="40">
        <f t="shared" si="5"/>
        <v>44850.354166666664</v>
      </c>
    </row>
    <row r="99" spans="1:31" ht="21" customHeight="1" thickBot="1" x14ac:dyDescent="0.3">
      <c r="A99" s="444">
        <v>12</v>
      </c>
      <c r="B99" s="219">
        <v>44852</v>
      </c>
      <c r="C99" s="230">
        <v>44852.604166666664</v>
      </c>
      <c r="D99" s="256">
        <v>44852.8125</v>
      </c>
      <c r="E99" s="256">
        <v>44852.854166666664</v>
      </c>
      <c r="F99" s="256">
        <v>44852.895833333336</v>
      </c>
      <c r="G99" s="257">
        <v>44852.895833333336</v>
      </c>
      <c r="H99" s="225" t="s">
        <v>463</v>
      </c>
      <c r="I99" s="222" t="s">
        <v>151</v>
      </c>
      <c r="J99" s="254" t="s">
        <v>4</v>
      </c>
      <c r="K99" s="497">
        <v>0</v>
      </c>
      <c r="L99" s="497">
        <v>0</v>
      </c>
      <c r="M99" s="255" t="s">
        <v>204</v>
      </c>
      <c r="N99" s="41">
        <v>45122.417974537035</v>
      </c>
      <c r="O99" s="42" t="s">
        <v>49</v>
      </c>
      <c r="P99" s="43" t="s">
        <v>603</v>
      </c>
      <c r="Q99" s="44"/>
      <c r="R99" s="212">
        <v>1</v>
      </c>
      <c r="S99" s="212">
        <v>0</v>
      </c>
      <c r="T99" s="45">
        <v>1.3583427156720842</v>
      </c>
      <c r="U99" s="46">
        <v>0.2918570339679718</v>
      </c>
      <c r="V99" s="213">
        <v>0.64529526803738557</v>
      </c>
      <c r="W99" s="214">
        <v>0.27601809101599806</v>
      </c>
      <c r="X99" s="214">
        <v>7.8164614737033844E-2</v>
      </c>
      <c r="Y99" s="47">
        <v>0</v>
      </c>
      <c r="Z99" s="48">
        <v>0</v>
      </c>
      <c r="AA99" s="49"/>
      <c r="AB99" s="50"/>
      <c r="AC99" s="75">
        <f t="shared" si="3"/>
        <v>44852.5625</v>
      </c>
      <c r="AD99" s="76">
        <f t="shared" si="4"/>
        <v>44852.520833333328</v>
      </c>
      <c r="AE99" s="77">
        <f t="shared" si="5"/>
        <v>44852.479166666664</v>
      </c>
    </row>
    <row r="100" spans="1:31" ht="21" customHeight="1" thickBot="1" x14ac:dyDescent="0.3">
      <c r="A100" s="445">
        <v>12</v>
      </c>
      <c r="B100" s="220">
        <v>44852</v>
      </c>
      <c r="C100" s="228">
        <v>44852.635416666664</v>
      </c>
      <c r="D100" s="493">
        <v>44852.84375</v>
      </c>
      <c r="E100" s="493">
        <v>44852.885416666664</v>
      </c>
      <c r="F100" s="493">
        <v>44852.927083333336</v>
      </c>
      <c r="G100" s="258">
        <v>44852.927083333336</v>
      </c>
      <c r="H100" s="226" t="s">
        <v>263</v>
      </c>
      <c r="I100" s="223" t="s">
        <v>52</v>
      </c>
      <c r="J100" s="243" t="s">
        <v>6</v>
      </c>
      <c r="K100" s="497">
        <v>2</v>
      </c>
      <c r="L100" s="497">
        <v>1</v>
      </c>
      <c r="M100" s="248" t="s">
        <v>16</v>
      </c>
      <c r="N100" s="52">
        <v>45122.417974537035</v>
      </c>
      <c r="O100" s="53" t="s">
        <v>49</v>
      </c>
      <c r="P100" s="54" t="s">
        <v>603</v>
      </c>
      <c r="R100" s="210">
        <v>1</v>
      </c>
      <c r="S100" s="210">
        <v>1</v>
      </c>
      <c r="T100" s="56">
        <v>0.56147130898066921</v>
      </c>
      <c r="U100" s="57">
        <v>0.36471417546272278</v>
      </c>
      <c r="V100" s="215">
        <v>0.32694837299183915</v>
      </c>
      <c r="W100" s="494">
        <v>0.48141349169711434</v>
      </c>
      <c r="X100" s="494">
        <v>0.19163587689399719</v>
      </c>
      <c r="Y100" s="59">
        <v>2</v>
      </c>
      <c r="Z100" s="60">
        <v>1</v>
      </c>
      <c r="AA100" s="61"/>
      <c r="AB100" s="62"/>
      <c r="AC100" s="39">
        <f t="shared" si="3"/>
        <v>44852.59375</v>
      </c>
      <c r="AD100" s="495">
        <f t="shared" si="4"/>
        <v>44852.552083333328</v>
      </c>
      <c r="AE100" s="40">
        <f t="shared" si="5"/>
        <v>44852.510416666664</v>
      </c>
    </row>
    <row r="101" spans="1:31" ht="21" customHeight="1" thickBot="1" x14ac:dyDescent="0.3">
      <c r="A101" s="445">
        <v>12</v>
      </c>
      <c r="B101" s="220">
        <v>44853</v>
      </c>
      <c r="C101" s="228">
        <v>44853.604166666664</v>
      </c>
      <c r="D101" s="493">
        <v>44853.8125</v>
      </c>
      <c r="E101" s="493">
        <v>44853.854166666664</v>
      </c>
      <c r="F101" s="493">
        <v>44853.895833333336</v>
      </c>
      <c r="G101" s="258">
        <v>44853.895833333336</v>
      </c>
      <c r="H101" s="226" t="s">
        <v>462</v>
      </c>
      <c r="I101" s="223" t="s">
        <v>51</v>
      </c>
      <c r="J101" s="245" t="s">
        <v>3</v>
      </c>
      <c r="K101" s="497">
        <v>0</v>
      </c>
      <c r="L101" s="497">
        <v>1</v>
      </c>
      <c r="M101" s="250" t="s">
        <v>13</v>
      </c>
      <c r="N101" s="52">
        <v>45122.417974537035</v>
      </c>
      <c r="O101" s="53" t="s">
        <v>49</v>
      </c>
      <c r="P101" s="54" t="s">
        <v>603</v>
      </c>
      <c r="R101" s="210">
        <v>1</v>
      </c>
      <c r="S101" s="210">
        <v>0</v>
      </c>
      <c r="T101" s="56">
        <v>0.78005702154976975</v>
      </c>
      <c r="U101" s="57">
        <v>0.54471421241760254</v>
      </c>
      <c r="V101" s="215">
        <v>0.37624748937393432</v>
      </c>
      <c r="W101" s="494">
        <v>0.39141353697962611</v>
      </c>
      <c r="X101" s="494">
        <v>0.23231950402259827</v>
      </c>
      <c r="Y101" s="59">
        <v>0</v>
      </c>
      <c r="Z101" s="60">
        <v>1</v>
      </c>
      <c r="AA101" s="61"/>
      <c r="AB101" s="62"/>
      <c r="AC101" s="39">
        <f t="shared" si="3"/>
        <v>44853.5625</v>
      </c>
      <c r="AD101" s="495">
        <f t="shared" si="4"/>
        <v>44853.520833333328</v>
      </c>
      <c r="AE101" s="40">
        <f t="shared" si="5"/>
        <v>44853.479166666664</v>
      </c>
    </row>
    <row r="102" spans="1:31" ht="21" customHeight="1" thickBot="1" x14ac:dyDescent="0.3">
      <c r="A102" s="445">
        <v>12</v>
      </c>
      <c r="B102" s="220">
        <v>44853</v>
      </c>
      <c r="C102" s="228">
        <v>44853.604166666664</v>
      </c>
      <c r="D102" s="493">
        <v>44853.8125</v>
      </c>
      <c r="E102" s="493">
        <v>44853.854166666664</v>
      </c>
      <c r="F102" s="493">
        <v>44853.895833333336</v>
      </c>
      <c r="G102" s="258">
        <v>44853.895833333336</v>
      </c>
      <c r="H102" s="226" t="s">
        <v>161</v>
      </c>
      <c r="I102" s="223" t="s">
        <v>593</v>
      </c>
      <c r="J102" s="243" t="s">
        <v>125</v>
      </c>
      <c r="K102" s="497">
        <v>0</v>
      </c>
      <c r="L102" s="497">
        <v>0</v>
      </c>
      <c r="M102" s="248" t="s">
        <v>5</v>
      </c>
      <c r="N102" s="52">
        <v>45122.417974537035</v>
      </c>
      <c r="O102" s="53" t="s">
        <v>49</v>
      </c>
      <c r="P102" s="54" t="s">
        <v>603</v>
      </c>
      <c r="R102" s="210">
        <v>1</v>
      </c>
      <c r="S102" s="210">
        <v>0</v>
      </c>
      <c r="T102" s="56">
        <v>0.93578551496778217</v>
      </c>
      <c r="U102" s="57">
        <v>0.58757132291793823</v>
      </c>
      <c r="V102" s="215">
        <v>0.42310987955839663</v>
      </c>
      <c r="W102" s="494">
        <v>0.35534962995828406</v>
      </c>
      <c r="X102" s="494">
        <v>0.22148232161998749</v>
      </c>
      <c r="Y102" s="59">
        <v>0</v>
      </c>
      <c r="Z102" s="60">
        <v>0</v>
      </c>
      <c r="AA102" s="61"/>
      <c r="AB102" s="62"/>
      <c r="AC102" s="39">
        <f t="shared" si="3"/>
        <v>44853.5625</v>
      </c>
      <c r="AD102" s="495">
        <f t="shared" si="4"/>
        <v>44853.520833333328</v>
      </c>
      <c r="AE102" s="40">
        <f t="shared" si="5"/>
        <v>44853.479166666664</v>
      </c>
    </row>
    <row r="103" spans="1:31" ht="21" customHeight="1" thickBot="1" x14ac:dyDescent="0.3">
      <c r="A103" s="445">
        <v>12</v>
      </c>
      <c r="B103" s="220">
        <v>44853</v>
      </c>
      <c r="C103" s="228">
        <v>44853.604166666664</v>
      </c>
      <c r="D103" s="493">
        <v>44853.8125</v>
      </c>
      <c r="E103" s="493">
        <v>44853.854166666664</v>
      </c>
      <c r="F103" s="493">
        <v>44853.895833333336</v>
      </c>
      <c r="G103" s="258">
        <v>44853.895833333336</v>
      </c>
      <c r="H103" s="226" t="s">
        <v>359</v>
      </c>
      <c r="I103" s="223" t="s">
        <v>48</v>
      </c>
      <c r="J103" s="246" t="s">
        <v>9</v>
      </c>
      <c r="K103" s="497">
        <v>1</v>
      </c>
      <c r="L103" s="497">
        <v>0</v>
      </c>
      <c r="M103" s="251" t="s">
        <v>15</v>
      </c>
      <c r="N103" s="52">
        <v>45122.417974537035</v>
      </c>
      <c r="O103" s="53" t="s">
        <v>49</v>
      </c>
      <c r="P103" s="54" t="s">
        <v>603</v>
      </c>
      <c r="R103" s="210">
        <v>1</v>
      </c>
      <c r="S103" s="210">
        <v>0</v>
      </c>
      <c r="T103" s="56">
        <v>0.91975705964224674</v>
      </c>
      <c r="U103" s="57">
        <v>0.48042842745780945</v>
      </c>
      <c r="V103" s="215">
        <v>0.44656621079321457</v>
      </c>
      <c r="W103" s="494">
        <v>0.36813928936407014</v>
      </c>
      <c r="X103" s="494">
        <v>0.18524409830570221</v>
      </c>
      <c r="Y103" s="59">
        <v>1</v>
      </c>
      <c r="Z103" s="60">
        <v>0</v>
      </c>
      <c r="AA103" s="61"/>
      <c r="AB103" s="62"/>
      <c r="AC103" s="39">
        <f t="shared" si="3"/>
        <v>44853.5625</v>
      </c>
      <c r="AD103" s="495">
        <f t="shared" si="4"/>
        <v>44853.520833333328</v>
      </c>
      <c r="AE103" s="40">
        <f t="shared" si="5"/>
        <v>44853.479166666664</v>
      </c>
    </row>
    <row r="104" spans="1:31" ht="21" customHeight="1" thickBot="1" x14ac:dyDescent="0.3">
      <c r="A104" s="445">
        <v>12</v>
      </c>
      <c r="B104" s="220">
        <v>44853</v>
      </c>
      <c r="C104" s="228">
        <v>44853.604166666664</v>
      </c>
      <c r="D104" s="493">
        <v>44853.8125</v>
      </c>
      <c r="E104" s="493">
        <v>44853.854166666664</v>
      </c>
      <c r="F104" s="493">
        <v>44853.895833333336</v>
      </c>
      <c r="G104" s="258">
        <v>44853.895833333336</v>
      </c>
      <c r="H104" s="226" t="s">
        <v>339</v>
      </c>
      <c r="I104" s="223" t="s">
        <v>55</v>
      </c>
      <c r="J104" s="243" t="s">
        <v>12</v>
      </c>
      <c r="K104" s="497">
        <v>1</v>
      </c>
      <c r="L104" s="497">
        <v>0</v>
      </c>
      <c r="M104" s="248" t="s">
        <v>7</v>
      </c>
      <c r="N104" s="52">
        <v>45122.417974537035</v>
      </c>
      <c r="O104" s="53" t="s">
        <v>49</v>
      </c>
      <c r="P104" s="54" t="s">
        <v>603</v>
      </c>
      <c r="R104" s="210">
        <v>1</v>
      </c>
      <c r="S104" s="210">
        <v>0</v>
      </c>
      <c r="T104" s="56">
        <v>0.87261424745832161</v>
      </c>
      <c r="U104" s="57">
        <v>0.48057129979133606</v>
      </c>
      <c r="V104" s="215">
        <v>0.42893745895272273</v>
      </c>
      <c r="W104" s="494">
        <v>0.37868781479222025</v>
      </c>
      <c r="X104" s="494">
        <v>0.19233812391757965</v>
      </c>
      <c r="Y104" s="59">
        <v>1</v>
      </c>
      <c r="Z104" s="60">
        <v>0</v>
      </c>
      <c r="AA104" s="61"/>
      <c r="AB104" s="62"/>
      <c r="AC104" s="39">
        <f t="shared" si="3"/>
        <v>44853.5625</v>
      </c>
      <c r="AD104" s="495">
        <f t="shared" si="4"/>
        <v>44853.520833333328</v>
      </c>
      <c r="AE104" s="40">
        <f t="shared" si="5"/>
        <v>44853.479166666664</v>
      </c>
    </row>
    <row r="105" spans="1:31" ht="21" customHeight="1" thickBot="1" x14ac:dyDescent="0.3">
      <c r="A105" s="445">
        <v>12</v>
      </c>
      <c r="B105" s="220">
        <v>44853</v>
      </c>
      <c r="C105" s="228">
        <v>44853.635416666664</v>
      </c>
      <c r="D105" s="493">
        <v>44853.84375</v>
      </c>
      <c r="E105" s="493">
        <v>44853.885416666664</v>
      </c>
      <c r="F105" s="493">
        <v>44853.927083333336</v>
      </c>
      <c r="G105" s="258">
        <v>44853.927083333336</v>
      </c>
      <c r="H105" s="226" t="s">
        <v>369</v>
      </c>
      <c r="I105" s="223" t="s">
        <v>56</v>
      </c>
      <c r="J105" s="243" t="s">
        <v>11</v>
      </c>
      <c r="K105" s="497">
        <v>2</v>
      </c>
      <c r="L105" s="497">
        <v>0</v>
      </c>
      <c r="M105" s="248" t="s">
        <v>14</v>
      </c>
      <c r="N105" s="52">
        <v>45122.417974537035</v>
      </c>
      <c r="O105" s="53" t="s">
        <v>49</v>
      </c>
      <c r="P105" s="54" t="s">
        <v>603</v>
      </c>
      <c r="R105" s="210">
        <v>1</v>
      </c>
      <c r="S105" s="210">
        <v>1</v>
      </c>
      <c r="T105" s="56">
        <v>0.80189987591334744</v>
      </c>
      <c r="U105" s="57">
        <v>0.86342847347259521</v>
      </c>
      <c r="V105" s="215">
        <v>0.31036140742990365</v>
      </c>
      <c r="W105" s="494">
        <v>0.34456614957473924</v>
      </c>
      <c r="X105" s="494">
        <v>0.3450179398059845</v>
      </c>
      <c r="Y105" s="59">
        <v>2</v>
      </c>
      <c r="Z105" s="60">
        <v>0</v>
      </c>
      <c r="AA105" s="61"/>
      <c r="AB105" s="62"/>
      <c r="AC105" s="39">
        <f t="shared" si="3"/>
        <v>44853.59375</v>
      </c>
      <c r="AD105" s="495">
        <f t="shared" si="4"/>
        <v>44853.552083333328</v>
      </c>
      <c r="AE105" s="40">
        <f t="shared" si="5"/>
        <v>44853.510416666664</v>
      </c>
    </row>
    <row r="106" spans="1:31" ht="21" customHeight="1" thickBot="1" x14ac:dyDescent="0.3">
      <c r="A106" s="445">
        <v>12</v>
      </c>
      <c r="B106" s="220">
        <v>44854</v>
      </c>
      <c r="C106" s="228">
        <v>44854.604166666664</v>
      </c>
      <c r="D106" s="493">
        <v>44854.8125</v>
      </c>
      <c r="E106" s="493">
        <v>44854.854166666664</v>
      </c>
      <c r="F106" s="493">
        <v>44854.895833333336</v>
      </c>
      <c r="G106" s="258">
        <v>44854.895833333336</v>
      </c>
      <c r="H106" s="226" t="s">
        <v>464</v>
      </c>
      <c r="I106" s="223" t="s">
        <v>431</v>
      </c>
      <c r="J106" s="246" t="s">
        <v>126</v>
      </c>
      <c r="K106" s="497">
        <v>3</v>
      </c>
      <c r="L106" s="497">
        <v>0</v>
      </c>
      <c r="M106" s="251" t="s">
        <v>2</v>
      </c>
      <c r="N106" s="52">
        <v>45122.417974537035</v>
      </c>
      <c r="O106" s="53" t="s">
        <v>49</v>
      </c>
      <c r="P106" s="54" t="s">
        <v>603</v>
      </c>
      <c r="R106" s="210">
        <v>1</v>
      </c>
      <c r="S106" s="210">
        <v>1</v>
      </c>
      <c r="T106" s="56">
        <v>0.8336426530565535</v>
      </c>
      <c r="U106" s="57">
        <v>0.88057130575180054</v>
      </c>
      <c r="V106" s="215">
        <v>0.31757246479802881</v>
      </c>
      <c r="W106" s="494">
        <v>0.33865338321692429</v>
      </c>
      <c r="X106" s="494">
        <v>0.34370943903923035</v>
      </c>
      <c r="Y106" s="59">
        <v>3</v>
      </c>
      <c r="Z106" s="60">
        <v>0</v>
      </c>
      <c r="AA106" s="61"/>
      <c r="AB106" s="62"/>
      <c r="AC106" s="39">
        <f t="shared" si="3"/>
        <v>44854.5625</v>
      </c>
      <c r="AD106" s="495">
        <f t="shared" si="4"/>
        <v>44854.520833333328</v>
      </c>
      <c r="AE106" s="40">
        <f t="shared" si="5"/>
        <v>44854.479166666664</v>
      </c>
    </row>
    <row r="107" spans="1:31" ht="21" customHeight="1" thickBot="1" x14ac:dyDescent="0.3">
      <c r="A107" s="445">
        <v>12</v>
      </c>
      <c r="B107" s="220">
        <v>44854</v>
      </c>
      <c r="C107" s="228">
        <v>44854.635416666664</v>
      </c>
      <c r="D107" s="493">
        <v>44854.84375</v>
      </c>
      <c r="E107" s="493">
        <v>44854.885416666664</v>
      </c>
      <c r="F107" s="493">
        <v>44854.927083333336</v>
      </c>
      <c r="G107" s="258">
        <v>44854.927083333336</v>
      </c>
      <c r="H107" s="226" t="s">
        <v>358</v>
      </c>
      <c r="I107" s="223" t="s">
        <v>54</v>
      </c>
      <c r="J107" s="243" t="s">
        <v>8</v>
      </c>
      <c r="K107" s="497">
        <v>2</v>
      </c>
      <c r="L107" s="497">
        <v>0</v>
      </c>
      <c r="M107" s="248" t="s">
        <v>139</v>
      </c>
      <c r="N107" s="52">
        <v>45122.417974537035</v>
      </c>
      <c r="O107" s="53" t="s">
        <v>49</v>
      </c>
      <c r="P107" s="54" t="s">
        <v>603</v>
      </c>
      <c r="R107" s="210">
        <v>1</v>
      </c>
      <c r="S107" s="210">
        <v>0</v>
      </c>
      <c r="T107" s="56">
        <v>1.2736426080976213</v>
      </c>
      <c r="U107" s="57">
        <v>0.7834283709526062</v>
      </c>
      <c r="V107" s="215">
        <v>0.47960233263586821</v>
      </c>
      <c r="W107" s="494">
        <v>0.29094891041359283</v>
      </c>
      <c r="X107" s="494">
        <v>0.22907289862632751</v>
      </c>
      <c r="Y107" s="59">
        <v>2</v>
      </c>
      <c r="Z107" s="60">
        <v>0</v>
      </c>
      <c r="AA107" s="61"/>
      <c r="AB107" s="62"/>
      <c r="AC107" s="39">
        <f t="shared" si="3"/>
        <v>44854.59375</v>
      </c>
      <c r="AD107" s="495">
        <f t="shared" si="4"/>
        <v>44854.552083333328</v>
      </c>
      <c r="AE107" s="40">
        <f t="shared" si="5"/>
        <v>44854.510416666664</v>
      </c>
    </row>
    <row r="108" spans="1:31" ht="21" customHeight="1" thickBot="1" x14ac:dyDescent="0.3">
      <c r="A108" s="444">
        <v>13</v>
      </c>
      <c r="B108" s="219">
        <v>44856</v>
      </c>
      <c r="C108" s="230">
        <v>44856.3125</v>
      </c>
      <c r="D108" s="256">
        <v>44856.520833333336</v>
      </c>
      <c r="E108" s="256">
        <v>44856.5625</v>
      </c>
      <c r="F108" s="256">
        <v>44856.604166666664</v>
      </c>
      <c r="G108" s="257">
        <v>44856.604166666664</v>
      </c>
      <c r="H108" s="225" t="s">
        <v>466</v>
      </c>
      <c r="I108" s="222" t="s">
        <v>436</v>
      </c>
      <c r="J108" s="254" t="s">
        <v>204</v>
      </c>
      <c r="K108" s="497">
        <v>1</v>
      </c>
      <c r="L108" s="497">
        <v>0</v>
      </c>
      <c r="M108" s="255" t="s">
        <v>9</v>
      </c>
      <c r="N108" s="41">
        <v>45122.417974537035</v>
      </c>
      <c r="O108" s="42" t="s">
        <v>49</v>
      </c>
      <c r="P108" s="43" t="s">
        <v>603</v>
      </c>
      <c r="Q108" s="44"/>
      <c r="R108" s="212">
        <v>0</v>
      </c>
      <c r="S108" s="212">
        <v>1</v>
      </c>
      <c r="T108" s="45">
        <v>0.44691412789481022</v>
      </c>
      <c r="U108" s="46">
        <v>1.0247142314910889</v>
      </c>
      <c r="V108" s="213">
        <v>0.15885569885476147</v>
      </c>
      <c r="W108" s="214">
        <v>0.34734262407865329</v>
      </c>
      <c r="X108" s="214">
        <v>0.49370455741882324</v>
      </c>
      <c r="Y108" s="47">
        <v>1</v>
      </c>
      <c r="Z108" s="48">
        <v>0</v>
      </c>
      <c r="AA108" s="49"/>
      <c r="AB108" s="50"/>
      <c r="AC108" s="75">
        <f t="shared" si="3"/>
        <v>44856.270833333336</v>
      </c>
      <c r="AD108" s="76">
        <f t="shared" si="4"/>
        <v>44856.229166666664</v>
      </c>
      <c r="AE108" s="77">
        <f t="shared" si="5"/>
        <v>44856.1875</v>
      </c>
    </row>
    <row r="109" spans="1:31" ht="21" customHeight="1" thickBot="1" x14ac:dyDescent="0.3">
      <c r="A109" s="445">
        <v>13</v>
      </c>
      <c r="B109" s="220">
        <v>44856</v>
      </c>
      <c r="C109" s="228">
        <v>44856.416666666664</v>
      </c>
      <c r="D109" s="493">
        <v>44856.625</v>
      </c>
      <c r="E109" s="493">
        <v>44856.666666666664</v>
      </c>
      <c r="F109" s="493">
        <v>44856.708333333336</v>
      </c>
      <c r="G109" s="258">
        <v>44856.708333333336</v>
      </c>
      <c r="H109" s="226" t="s">
        <v>194</v>
      </c>
      <c r="I109" s="223" t="s">
        <v>59</v>
      </c>
      <c r="J109" s="246" t="s">
        <v>7</v>
      </c>
      <c r="K109" s="497">
        <v>3</v>
      </c>
      <c r="L109" s="497">
        <v>0</v>
      </c>
      <c r="M109" s="251" t="s">
        <v>6</v>
      </c>
      <c r="N109" s="52">
        <v>45122.417974537035</v>
      </c>
      <c r="O109" s="53" t="s">
        <v>49</v>
      </c>
      <c r="P109" s="54" t="s">
        <v>603</v>
      </c>
      <c r="R109" s="210">
        <v>0</v>
      </c>
      <c r="S109" s="210">
        <v>1</v>
      </c>
      <c r="T109" s="56">
        <v>0.42475704635892592</v>
      </c>
      <c r="U109" s="57">
        <v>0.82914274930953979</v>
      </c>
      <c r="V109" s="215">
        <v>0.17719091505006015</v>
      </c>
      <c r="W109" s="494">
        <v>0.39510291092323935</v>
      </c>
      <c r="X109" s="494">
        <v>0.42767980694770813</v>
      </c>
      <c r="Y109" s="59">
        <v>3</v>
      </c>
      <c r="Z109" s="60">
        <v>0</v>
      </c>
      <c r="AA109" s="61"/>
      <c r="AB109" s="62"/>
      <c r="AC109" s="39">
        <f t="shared" si="3"/>
        <v>44856.375</v>
      </c>
      <c r="AD109" s="495">
        <f t="shared" si="4"/>
        <v>44856.333333333328</v>
      </c>
      <c r="AE109" s="40">
        <f t="shared" si="5"/>
        <v>44856.291666666664</v>
      </c>
    </row>
    <row r="110" spans="1:31" ht="21" customHeight="1" thickBot="1" x14ac:dyDescent="0.3">
      <c r="A110" s="445">
        <v>13</v>
      </c>
      <c r="B110" s="220">
        <v>44856</v>
      </c>
      <c r="C110" s="228">
        <v>44856.416666666664</v>
      </c>
      <c r="D110" s="493">
        <v>44856.625</v>
      </c>
      <c r="E110" s="493">
        <v>44856.666666666664</v>
      </c>
      <c r="F110" s="493">
        <v>44856.708333333336</v>
      </c>
      <c r="G110" s="258">
        <v>44856.708333333336</v>
      </c>
      <c r="H110" s="226" t="s">
        <v>373</v>
      </c>
      <c r="I110" s="223" t="s">
        <v>61</v>
      </c>
      <c r="J110" s="246" t="s">
        <v>10</v>
      </c>
      <c r="K110" s="497">
        <v>3</v>
      </c>
      <c r="L110" s="497">
        <v>1</v>
      </c>
      <c r="M110" s="251" t="s">
        <v>4</v>
      </c>
      <c r="N110" s="52">
        <v>45122.417974537035</v>
      </c>
      <c r="O110" s="53" t="s">
        <v>49</v>
      </c>
      <c r="P110" s="54" t="s">
        <v>603</v>
      </c>
      <c r="R110" s="210">
        <v>2</v>
      </c>
      <c r="S110" s="210">
        <v>0</v>
      </c>
      <c r="T110" s="56">
        <v>2.0186570712498253</v>
      </c>
      <c r="U110" s="57">
        <v>0.75485706329345703</v>
      </c>
      <c r="V110" s="215">
        <v>0.66470025311031922</v>
      </c>
      <c r="W110" s="494">
        <v>0.20059711657732518</v>
      </c>
      <c r="X110" s="494">
        <v>0.12992590665817261</v>
      </c>
      <c r="Y110" s="59">
        <v>3</v>
      </c>
      <c r="Z110" s="60">
        <v>1</v>
      </c>
      <c r="AA110" s="61"/>
      <c r="AB110" s="62"/>
      <c r="AC110" s="39">
        <f t="shared" si="3"/>
        <v>44856.375</v>
      </c>
      <c r="AD110" s="495">
        <f t="shared" si="4"/>
        <v>44856.333333333328</v>
      </c>
      <c r="AE110" s="40">
        <f t="shared" si="5"/>
        <v>44856.291666666664</v>
      </c>
    </row>
    <row r="111" spans="1:31" ht="21" customHeight="1" thickBot="1" x14ac:dyDescent="0.3">
      <c r="A111" s="445">
        <v>13</v>
      </c>
      <c r="B111" s="220">
        <v>44856</v>
      </c>
      <c r="C111" s="228">
        <v>44856.520833333336</v>
      </c>
      <c r="D111" s="493">
        <v>44856.729166666664</v>
      </c>
      <c r="E111" s="493">
        <v>44856.770833333336</v>
      </c>
      <c r="F111" s="493">
        <v>44856.8125</v>
      </c>
      <c r="G111" s="258">
        <v>44856.8125</v>
      </c>
      <c r="H111" s="226" t="s">
        <v>276</v>
      </c>
      <c r="I111" s="223" t="s">
        <v>62</v>
      </c>
      <c r="J111" s="243" t="s">
        <v>5</v>
      </c>
      <c r="K111" s="497">
        <v>1</v>
      </c>
      <c r="L111" s="497">
        <v>1</v>
      </c>
      <c r="M111" s="248" t="s">
        <v>11</v>
      </c>
      <c r="N111" s="52">
        <v>45122.417974537035</v>
      </c>
      <c r="O111" s="53" t="s">
        <v>49</v>
      </c>
      <c r="P111" s="54" t="s">
        <v>603</v>
      </c>
      <c r="R111" s="210">
        <v>1</v>
      </c>
      <c r="S111" s="210">
        <v>1</v>
      </c>
      <c r="T111" s="56">
        <v>0.62275702612740647</v>
      </c>
      <c r="U111" s="57">
        <v>0.60471415519714355</v>
      </c>
      <c r="V111" s="215">
        <v>0.29857042455389465</v>
      </c>
      <c r="W111" s="494">
        <v>0.41422043006275566</v>
      </c>
      <c r="X111" s="494">
        <v>0.28720149397850037</v>
      </c>
      <c r="Y111" s="59">
        <v>1</v>
      </c>
      <c r="Z111" s="60">
        <v>1</v>
      </c>
      <c r="AA111" s="61"/>
      <c r="AB111" s="62"/>
      <c r="AC111" s="39">
        <f t="shared" si="3"/>
        <v>44856.479166666672</v>
      </c>
      <c r="AD111" s="495">
        <f t="shared" si="4"/>
        <v>44856.4375</v>
      </c>
      <c r="AE111" s="40">
        <f t="shared" si="5"/>
        <v>44856.395833333336</v>
      </c>
    </row>
    <row r="112" spans="1:31" ht="21" customHeight="1" thickBot="1" x14ac:dyDescent="0.3">
      <c r="A112" s="445">
        <v>13</v>
      </c>
      <c r="B112" s="220">
        <v>44857</v>
      </c>
      <c r="C112" s="228">
        <v>44857.375</v>
      </c>
      <c r="D112" s="493">
        <v>44857.583333333336</v>
      </c>
      <c r="E112" s="493">
        <v>44857.625</v>
      </c>
      <c r="F112" s="493">
        <v>44857.666666666664</v>
      </c>
      <c r="G112" s="258">
        <v>44857.666666666664</v>
      </c>
      <c r="H112" s="226" t="s">
        <v>153</v>
      </c>
      <c r="I112" s="223" t="s">
        <v>58</v>
      </c>
      <c r="J112" s="245" t="s">
        <v>2</v>
      </c>
      <c r="K112" s="497">
        <v>4</v>
      </c>
      <c r="L112" s="497">
        <v>0</v>
      </c>
      <c r="M112" s="250" t="s">
        <v>125</v>
      </c>
      <c r="N112" s="52">
        <v>45122.417974537035</v>
      </c>
      <c r="O112" s="53" t="s">
        <v>49</v>
      </c>
      <c r="P112" s="54" t="s">
        <v>603</v>
      </c>
      <c r="R112" s="210">
        <v>1</v>
      </c>
      <c r="S112" s="210">
        <v>1</v>
      </c>
      <c r="T112" s="56">
        <v>0.66047133718218121</v>
      </c>
      <c r="U112" s="57">
        <v>0.73199981451034546</v>
      </c>
      <c r="V112" s="215">
        <v>0.2864908001792022</v>
      </c>
      <c r="W112" s="494">
        <v>0.38390515689537008</v>
      </c>
      <c r="X112" s="494">
        <v>0.3295862078666687</v>
      </c>
      <c r="Y112" s="59">
        <v>4</v>
      </c>
      <c r="Z112" s="60">
        <v>0</v>
      </c>
      <c r="AA112" s="61"/>
      <c r="AB112" s="62"/>
      <c r="AC112" s="39">
        <f t="shared" si="3"/>
        <v>44857.333333333336</v>
      </c>
      <c r="AD112" s="495">
        <f t="shared" si="4"/>
        <v>44857.291666666664</v>
      </c>
      <c r="AE112" s="40">
        <f t="shared" si="5"/>
        <v>44857.25</v>
      </c>
    </row>
    <row r="113" spans="1:31" ht="21" customHeight="1" thickBot="1" x14ac:dyDescent="0.3">
      <c r="A113" s="445">
        <v>13</v>
      </c>
      <c r="B113" s="220">
        <v>44857</v>
      </c>
      <c r="C113" s="228">
        <v>44857.375</v>
      </c>
      <c r="D113" s="493">
        <v>44857.583333333336</v>
      </c>
      <c r="E113" s="493">
        <v>44857.625</v>
      </c>
      <c r="F113" s="493">
        <v>44857.666666666664</v>
      </c>
      <c r="G113" s="258">
        <v>44857.666666666664</v>
      </c>
      <c r="H113" s="226" t="s">
        <v>465</v>
      </c>
      <c r="I113" s="223" t="s">
        <v>140</v>
      </c>
      <c r="J113" s="246" t="s">
        <v>139</v>
      </c>
      <c r="K113" s="497">
        <v>2</v>
      </c>
      <c r="L113" s="497">
        <v>3</v>
      </c>
      <c r="M113" s="251" t="s">
        <v>126</v>
      </c>
      <c r="N113" s="52">
        <v>45122.417974537035</v>
      </c>
      <c r="O113" s="53" t="s">
        <v>49</v>
      </c>
      <c r="P113" s="54" t="s">
        <v>603</v>
      </c>
      <c r="R113" s="210">
        <v>1</v>
      </c>
      <c r="S113" s="210">
        <v>1</v>
      </c>
      <c r="T113" s="56">
        <v>0.66047133718218121</v>
      </c>
      <c r="U113" s="57">
        <v>0.67757129669189453</v>
      </c>
      <c r="V113" s="215">
        <v>0.29797811686758535</v>
      </c>
      <c r="W113" s="494">
        <v>0.39357599040853858</v>
      </c>
      <c r="X113" s="494">
        <v>0.30843248963356018</v>
      </c>
      <c r="Y113" s="59">
        <v>2</v>
      </c>
      <c r="Z113" s="60">
        <v>3</v>
      </c>
      <c r="AA113" s="61"/>
      <c r="AB113" s="62"/>
      <c r="AC113" s="39">
        <f t="shared" si="3"/>
        <v>44857.333333333336</v>
      </c>
      <c r="AD113" s="495">
        <f t="shared" si="4"/>
        <v>44857.291666666664</v>
      </c>
      <c r="AE113" s="40">
        <f t="shared" si="5"/>
        <v>44857.25</v>
      </c>
    </row>
    <row r="114" spans="1:31" ht="21" customHeight="1" thickBot="1" x14ac:dyDescent="0.3">
      <c r="A114" s="445">
        <v>13</v>
      </c>
      <c r="B114" s="220">
        <v>44857</v>
      </c>
      <c r="C114" s="228">
        <v>44857.375</v>
      </c>
      <c r="D114" s="493">
        <v>44857.583333333336</v>
      </c>
      <c r="E114" s="493">
        <v>44857.625</v>
      </c>
      <c r="F114" s="493">
        <v>44857.666666666664</v>
      </c>
      <c r="G114" s="258">
        <v>44857.666666666664</v>
      </c>
      <c r="H114" s="226" t="s">
        <v>195</v>
      </c>
      <c r="I114" s="223" t="s">
        <v>60</v>
      </c>
      <c r="J114" s="245" t="s">
        <v>13</v>
      </c>
      <c r="K114" s="497">
        <v>1</v>
      </c>
      <c r="L114" s="497">
        <v>1</v>
      </c>
      <c r="M114" s="250" t="s">
        <v>1</v>
      </c>
      <c r="N114" s="52">
        <v>45122.417974537035</v>
      </c>
      <c r="O114" s="53" t="s">
        <v>49</v>
      </c>
      <c r="P114" s="54" t="s">
        <v>603</v>
      </c>
      <c r="R114" s="210">
        <v>0</v>
      </c>
      <c r="S114" s="210">
        <v>2</v>
      </c>
      <c r="T114" s="56">
        <v>0.50348557744707378</v>
      </c>
      <c r="U114" s="57">
        <v>2.0909996032714844</v>
      </c>
      <c r="V114" s="215">
        <v>7.6772449710501303E-2</v>
      </c>
      <c r="W114" s="494">
        <v>0.17659234390361794</v>
      </c>
      <c r="X114" s="494">
        <v>0.74090224504470825</v>
      </c>
      <c r="Y114" s="59">
        <v>1</v>
      </c>
      <c r="Z114" s="60">
        <v>1</v>
      </c>
      <c r="AA114" s="61"/>
      <c r="AB114" s="62"/>
      <c r="AC114" s="39">
        <f t="shared" si="3"/>
        <v>44857.333333333336</v>
      </c>
      <c r="AD114" s="495">
        <f t="shared" si="4"/>
        <v>44857.291666666664</v>
      </c>
      <c r="AE114" s="40">
        <f t="shared" si="5"/>
        <v>44857.25</v>
      </c>
    </row>
    <row r="115" spans="1:31" ht="21" customHeight="1" thickBot="1" x14ac:dyDescent="0.3">
      <c r="A115" s="445">
        <v>13</v>
      </c>
      <c r="B115" s="220">
        <v>44857</v>
      </c>
      <c r="C115" s="228">
        <v>44857.375</v>
      </c>
      <c r="D115" s="493">
        <v>44857.583333333336</v>
      </c>
      <c r="E115" s="493">
        <v>44857.625</v>
      </c>
      <c r="F115" s="493">
        <v>44857.666666666664</v>
      </c>
      <c r="G115" s="258">
        <v>44857.666666666664</v>
      </c>
      <c r="H115" s="226" t="s">
        <v>351</v>
      </c>
      <c r="I115" s="223" t="s">
        <v>63</v>
      </c>
      <c r="J115" s="243" t="s">
        <v>16</v>
      </c>
      <c r="K115" s="497">
        <v>0</v>
      </c>
      <c r="L115" s="497">
        <v>4</v>
      </c>
      <c r="M115" s="248" t="s">
        <v>8</v>
      </c>
      <c r="N115" s="52">
        <v>45122.417974537035</v>
      </c>
      <c r="O115" s="53" t="s">
        <v>49</v>
      </c>
      <c r="P115" s="54" t="s">
        <v>603</v>
      </c>
      <c r="R115" s="210">
        <v>1</v>
      </c>
      <c r="S115" s="210">
        <v>0</v>
      </c>
      <c r="T115" s="56">
        <v>0.89649983814784462</v>
      </c>
      <c r="U115" s="57">
        <v>0.55757135152816772</v>
      </c>
      <c r="V115" s="215">
        <v>0.41693650878940436</v>
      </c>
      <c r="W115" s="494">
        <v>0.36582317419261284</v>
      </c>
      <c r="X115" s="494">
        <v>0.21719591319561005</v>
      </c>
      <c r="Y115" s="59">
        <v>0</v>
      </c>
      <c r="Z115" s="60">
        <v>4</v>
      </c>
      <c r="AA115" s="61"/>
      <c r="AB115" s="62"/>
      <c r="AC115" s="39">
        <f t="shared" si="3"/>
        <v>44857.333333333336</v>
      </c>
      <c r="AD115" s="495">
        <f t="shared" si="4"/>
        <v>44857.291666666664</v>
      </c>
      <c r="AE115" s="40">
        <f t="shared" si="5"/>
        <v>44857.25</v>
      </c>
    </row>
    <row r="116" spans="1:31" ht="21" customHeight="1" thickBot="1" x14ac:dyDescent="0.3">
      <c r="A116" s="445">
        <v>13</v>
      </c>
      <c r="B116" s="220">
        <v>44857</v>
      </c>
      <c r="C116" s="228">
        <v>44857.479166666664</v>
      </c>
      <c r="D116" s="493">
        <v>44857.6875</v>
      </c>
      <c r="E116" s="493">
        <v>44857.729166666664</v>
      </c>
      <c r="F116" s="493">
        <v>44857.770833333336</v>
      </c>
      <c r="G116" s="258">
        <v>44857.770833333336</v>
      </c>
      <c r="H116" s="226" t="s">
        <v>379</v>
      </c>
      <c r="I116" s="223" t="s">
        <v>53</v>
      </c>
      <c r="J116" s="243" t="s">
        <v>14</v>
      </c>
      <c r="K116" s="497">
        <v>1</v>
      </c>
      <c r="L116" s="497">
        <v>2</v>
      </c>
      <c r="M116" s="248" t="s">
        <v>12</v>
      </c>
      <c r="N116" s="52">
        <v>45122.417974537035</v>
      </c>
      <c r="O116" s="53" t="s">
        <v>49</v>
      </c>
      <c r="P116" s="54" t="s">
        <v>603</v>
      </c>
      <c r="R116" s="210">
        <v>1</v>
      </c>
      <c r="S116" s="210">
        <v>1</v>
      </c>
      <c r="T116" s="56">
        <v>0.83034276962280273</v>
      </c>
      <c r="U116" s="57">
        <v>0.90914267301559448</v>
      </c>
      <c r="V116" s="215">
        <v>0.3104517488995529</v>
      </c>
      <c r="W116" s="494">
        <v>0.33539889865156863</v>
      </c>
      <c r="X116" s="494">
        <v>0.35407689213752747</v>
      </c>
      <c r="Y116" s="59">
        <v>1</v>
      </c>
      <c r="Z116" s="60">
        <v>2</v>
      </c>
      <c r="AA116" s="61"/>
      <c r="AB116" s="62"/>
      <c r="AC116" s="39">
        <f t="shared" si="3"/>
        <v>44857.4375</v>
      </c>
      <c r="AD116" s="495">
        <f t="shared" si="4"/>
        <v>44857.395833333328</v>
      </c>
      <c r="AE116" s="40">
        <f t="shared" si="5"/>
        <v>44857.354166666664</v>
      </c>
    </row>
    <row r="117" spans="1:31" ht="21" customHeight="1" thickBot="1" x14ac:dyDescent="0.3">
      <c r="A117" s="445">
        <v>13</v>
      </c>
      <c r="B117" s="220">
        <v>44858</v>
      </c>
      <c r="C117" s="228">
        <v>44858.625</v>
      </c>
      <c r="D117" s="493">
        <v>44858.833333333336</v>
      </c>
      <c r="E117" s="493">
        <v>44858.875</v>
      </c>
      <c r="F117" s="493">
        <v>44858.916666666664</v>
      </c>
      <c r="G117" s="258">
        <v>44858.916666666664</v>
      </c>
      <c r="H117" s="226" t="s">
        <v>467</v>
      </c>
      <c r="I117" s="223" t="s">
        <v>50</v>
      </c>
      <c r="J117" s="245" t="s">
        <v>15</v>
      </c>
      <c r="K117" s="497">
        <v>2</v>
      </c>
      <c r="L117" s="497">
        <v>0</v>
      </c>
      <c r="M117" s="250" t="s">
        <v>3</v>
      </c>
      <c r="N117" s="52">
        <v>45122.417974537035</v>
      </c>
      <c r="O117" s="53" t="s">
        <v>49</v>
      </c>
      <c r="P117" s="54" t="s">
        <v>603</v>
      </c>
      <c r="R117" s="210">
        <v>1</v>
      </c>
      <c r="S117" s="210">
        <v>0</v>
      </c>
      <c r="T117" s="56">
        <v>1.250071270125253</v>
      </c>
      <c r="U117" s="57">
        <v>0.73642843961715698</v>
      </c>
      <c r="V117" s="215">
        <v>0.48499781274633208</v>
      </c>
      <c r="W117" s="494">
        <v>0.29566976979461207</v>
      </c>
      <c r="X117" s="494">
        <v>0.21899992227554321</v>
      </c>
      <c r="Y117" s="59">
        <v>2</v>
      </c>
      <c r="Z117" s="60">
        <v>0</v>
      </c>
      <c r="AA117" s="61"/>
      <c r="AB117" s="62"/>
      <c r="AC117" s="39">
        <f t="shared" si="3"/>
        <v>44858.583333333336</v>
      </c>
      <c r="AD117" s="495">
        <f t="shared" si="4"/>
        <v>44858.541666666664</v>
      </c>
      <c r="AE117" s="40">
        <f t="shared" si="5"/>
        <v>44858.5</v>
      </c>
    </row>
    <row r="118" spans="1:31" ht="21" customHeight="1" thickBot="1" x14ac:dyDescent="0.3">
      <c r="A118" s="444">
        <v>14</v>
      </c>
      <c r="B118" s="219">
        <v>44863</v>
      </c>
      <c r="C118" s="230">
        <v>44863.3125</v>
      </c>
      <c r="D118" s="256">
        <v>44863.520833333336</v>
      </c>
      <c r="E118" s="256">
        <v>44863.5625</v>
      </c>
      <c r="F118" s="256">
        <v>44863.604166666664</v>
      </c>
      <c r="G118" s="257">
        <v>44863.604166666664</v>
      </c>
      <c r="H118" s="225" t="s">
        <v>222</v>
      </c>
      <c r="I118" s="222" t="s">
        <v>54</v>
      </c>
      <c r="J118" s="242" t="s">
        <v>8</v>
      </c>
      <c r="K118" s="497">
        <v>0</v>
      </c>
      <c r="L118" s="497">
        <v>1</v>
      </c>
      <c r="M118" s="247" t="s">
        <v>10</v>
      </c>
      <c r="N118" s="41">
        <v>45122.417974537035</v>
      </c>
      <c r="O118" s="42" t="s">
        <v>49</v>
      </c>
      <c r="P118" s="43" t="s">
        <v>603</v>
      </c>
      <c r="Q118" s="44"/>
      <c r="R118" s="212">
        <v>0</v>
      </c>
      <c r="S118" s="212">
        <v>3</v>
      </c>
      <c r="T118" s="45">
        <v>0.75522836617061062</v>
      </c>
      <c r="U118" s="46">
        <v>2.4509997367858887</v>
      </c>
      <c r="V118" s="213">
        <v>9.5105531893232578E-2</v>
      </c>
      <c r="W118" s="214">
        <v>0.15822159484372567</v>
      </c>
      <c r="X118" s="214">
        <v>0.73378890752792358</v>
      </c>
      <c r="Y118" s="47">
        <v>0</v>
      </c>
      <c r="Z118" s="48">
        <v>1</v>
      </c>
      <c r="AA118" s="49"/>
      <c r="AB118" s="50"/>
      <c r="AC118" s="75">
        <f t="shared" si="3"/>
        <v>44863.270833333336</v>
      </c>
      <c r="AD118" s="76">
        <f t="shared" si="4"/>
        <v>44863.229166666664</v>
      </c>
      <c r="AE118" s="77">
        <f t="shared" si="5"/>
        <v>44863.1875</v>
      </c>
    </row>
    <row r="119" spans="1:31" ht="21" customHeight="1" thickBot="1" x14ac:dyDescent="0.3">
      <c r="A119" s="445">
        <v>14</v>
      </c>
      <c r="B119" s="220">
        <v>44863</v>
      </c>
      <c r="C119" s="228">
        <v>44863.416666666664</v>
      </c>
      <c r="D119" s="493">
        <v>44863.625</v>
      </c>
      <c r="E119" s="493">
        <v>44863.666666666664</v>
      </c>
      <c r="F119" s="493">
        <v>44863.708333333336</v>
      </c>
      <c r="G119" s="258">
        <v>44863.708333333336</v>
      </c>
      <c r="H119" s="226" t="s">
        <v>469</v>
      </c>
      <c r="I119" s="223" t="s">
        <v>51</v>
      </c>
      <c r="J119" s="243" t="s">
        <v>3</v>
      </c>
      <c r="K119" s="497">
        <v>2</v>
      </c>
      <c r="L119" s="497">
        <v>3</v>
      </c>
      <c r="M119" s="248" t="s">
        <v>14</v>
      </c>
      <c r="N119" s="52">
        <v>45122.417974537035</v>
      </c>
      <c r="O119" s="53" t="s">
        <v>49</v>
      </c>
      <c r="P119" s="54" t="s">
        <v>603</v>
      </c>
      <c r="R119" s="210">
        <v>1</v>
      </c>
      <c r="S119" s="210">
        <v>2</v>
      </c>
      <c r="T119" s="56">
        <v>0.88864275387355263</v>
      </c>
      <c r="U119" s="57">
        <v>1.5951427221298218</v>
      </c>
      <c r="V119" s="215">
        <v>0.20934158314108778</v>
      </c>
      <c r="W119" s="494">
        <v>0.25081338939762954</v>
      </c>
      <c r="X119" s="494">
        <v>0.53849196434020996</v>
      </c>
      <c r="Y119" s="59">
        <v>2</v>
      </c>
      <c r="Z119" s="60">
        <v>3</v>
      </c>
      <c r="AA119" s="61"/>
      <c r="AB119" s="62"/>
      <c r="AC119" s="39">
        <f t="shared" si="3"/>
        <v>44863.375</v>
      </c>
      <c r="AD119" s="495">
        <f t="shared" si="4"/>
        <v>44863.333333333328</v>
      </c>
      <c r="AE119" s="40">
        <f t="shared" si="5"/>
        <v>44863.291666666664</v>
      </c>
    </row>
    <row r="120" spans="1:31" ht="21" customHeight="1" thickBot="1" x14ac:dyDescent="0.3">
      <c r="A120" s="445">
        <v>14</v>
      </c>
      <c r="B120" s="220">
        <v>44863</v>
      </c>
      <c r="C120" s="228">
        <v>44863.416666666664</v>
      </c>
      <c r="D120" s="493">
        <v>44863.625</v>
      </c>
      <c r="E120" s="493">
        <v>44863.666666666664</v>
      </c>
      <c r="F120" s="493">
        <v>44863.708333333336</v>
      </c>
      <c r="G120" s="258">
        <v>44863.708333333336</v>
      </c>
      <c r="H120" s="226" t="s">
        <v>330</v>
      </c>
      <c r="I120" s="223" t="s">
        <v>593</v>
      </c>
      <c r="J120" s="243" t="s">
        <v>125</v>
      </c>
      <c r="K120" s="497">
        <v>1</v>
      </c>
      <c r="L120" s="497">
        <v>1</v>
      </c>
      <c r="M120" s="248" t="s">
        <v>16</v>
      </c>
      <c r="N120" s="52">
        <v>45122.417974537035</v>
      </c>
      <c r="O120" s="53" t="s">
        <v>49</v>
      </c>
      <c r="P120" s="54" t="s">
        <v>603</v>
      </c>
      <c r="R120" s="210">
        <v>1</v>
      </c>
      <c r="S120" s="210">
        <v>1</v>
      </c>
      <c r="T120" s="56">
        <v>1.3963711942945207</v>
      </c>
      <c r="U120" s="57">
        <v>0.88371407985687256</v>
      </c>
      <c r="V120" s="215">
        <v>0.48837213624541237</v>
      </c>
      <c r="W120" s="494">
        <v>0.27318849498776671</v>
      </c>
      <c r="X120" s="494">
        <v>0.2377876490354538</v>
      </c>
      <c r="Y120" s="59">
        <v>1</v>
      </c>
      <c r="Z120" s="60">
        <v>1</v>
      </c>
      <c r="AA120" s="61"/>
      <c r="AB120" s="62"/>
      <c r="AC120" s="39">
        <f t="shared" si="3"/>
        <v>44863.375</v>
      </c>
      <c r="AD120" s="495">
        <f t="shared" si="4"/>
        <v>44863.333333333328</v>
      </c>
      <c r="AE120" s="40">
        <f t="shared" si="5"/>
        <v>44863.291666666664</v>
      </c>
    </row>
    <row r="121" spans="1:31" ht="21" customHeight="1" thickBot="1" x14ac:dyDescent="0.3">
      <c r="A121" s="445">
        <v>14</v>
      </c>
      <c r="B121" s="220">
        <v>44863</v>
      </c>
      <c r="C121" s="228">
        <v>44863.416666666664</v>
      </c>
      <c r="D121" s="493">
        <v>44863.625</v>
      </c>
      <c r="E121" s="493">
        <v>44863.666666666664</v>
      </c>
      <c r="F121" s="493">
        <v>44863.708333333336</v>
      </c>
      <c r="G121" s="258">
        <v>44863.708333333336</v>
      </c>
      <c r="H121" s="226" t="s">
        <v>337</v>
      </c>
      <c r="I121" s="223" t="s">
        <v>151</v>
      </c>
      <c r="J121" s="246" t="s">
        <v>4</v>
      </c>
      <c r="K121" s="497">
        <v>4</v>
      </c>
      <c r="L121" s="497">
        <v>1</v>
      </c>
      <c r="M121" s="251" t="s">
        <v>5</v>
      </c>
      <c r="N121" s="52">
        <v>45122.417974537035</v>
      </c>
      <c r="O121" s="53" t="s">
        <v>49</v>
      </c>
      <c r="P121" s="54" t="s">
        <v>603</v>
      </c>
      <c r="R121" s="210">
        <v>2</v>
      </c>
      <c r="S121" s="210">
        <v>1</v>
      </c>
      <c r="T121" s="56">
        <v>1.6840999126434326</v>
      </c>
      <c r="U121" s="57">
        <v>1.1709997653961182</v>
      </c>
      <c r="V121" s="215">
        <v>0.49191530341861378</v>
      </c>
      <c r="W121" s="494">
        <v>0.2408957258854966</v>
      </c>
      <c r="X121" s="494">
        <v>0.26519277691841125</v>
      </c>
      <c r="Y121" s="59">
        <v>4</v>
      </c>
      <c r="Z121" s="60">
        <v>1</v>
      </c>
      <c r="AA121" s="61"/>
      <c r="AB121" s="62"/>
      <c r="AC121" s="39">
        <f t="shared" si="3"/>
        <v>44863.375</v>
      </c>
      <c r="AD121" s="495">
        <f t="shared" si="4"/>
        <v>44863.333333333328</v>
      </c>
      <c r="AE121" s="40">
        <f t="shared" si="5"/>
        <v>44863.291666666664</v>
      </c>
    </row>
    <row r="122" spans="1:31" ht="21" customHeight="1" thickBot="1" x14ac:dyDescent="0.3">
      <c r="A122" s="445">
        <v>14</v>
      </c>
      <c r="B122" s="220">
        <v>44863</v>
      </c>
      <c r="C122" s="228">
        <v>44863.416666666664</v>
      </c>
      <c r="D122" s="493">
        <v>44863.625</v>
      </c>
      <c r="E122" s="493">
        <v>44863.666666666664</v>
      </c>
      <c r="F122" s="493">
        <v>44863.708333333336</v>
      </c>
      <c r="G122" s="258">
        <v>44863.708333333336</v>
      </c>
      <c r="H122" s="226" t="s">
        <v>173</v>
      </c>
      <c r="I122" s="223" t="s">
        <v>52</v>
      </c>
      <c r="J122" s="245" t="s">
        <v>6</v>
      </c>
      <c r="K122" s="497">
        <v>1</v>
      </c>
      <c r="L122" s="497">
        <v>0</v>
      </c>
      <c r="M122" s="250" t="s">
        <v>13</v>
      </c>
      <c r="N122" s="52">
        <v>45122.417974537035</v>
      </c>
      <c r="O122" s="53" t="s">
        <v>49</v>
      </c>
      <c r="P122" s="54" t="s">
        <v>603</v>
      </c>
      <c r="R122" s="210">
        <v>1</v>
      </c>
      <c r="S122" s="210">
        <v>0</v>
      </c>
      <c r="T122" s="56">
        <v>1.4310997724533081</v>
      </c>
      <c r="U122" s="57">
        <v>0.67799979448318481</v>
      </c>
      <c r="V122" s="215">
        <v>0.55162824021805268</v>
      </c>
      <c r="W122" s="494">
        <v>0.27092254453198006</v>
      </c>
      <c r="X122" s="494">
        <v>0.17673523724079132</v>
      </c>
      <c r="Y122" s="59">
        <v>1</v>
      </c>
      <c r="Z122" s="60">
        <v>0</v>
      </c>
      <c r="AA122" s="61"/>
      <c r="AB122" s="62"/>
      <c r="AC122" s="39">
        <f t="shared" si="3"/>
        <v>44863.375</v>
      </c>
      <c r="AD122" s="495">
        <f t="shared" si="4"/>
        <v>44863.333333333328</v>
      </c>
      <c r="AE122" s="40">
        <f t="shared" si="5"/>
        <v>44863.291666666664</v>
      </c>
    </row>
    <row r="123" spans="1:31" ht="21" customHeight="1" thickBot="1" x14ac:dyDescent="0.3">
      <c r="A123" s="445">
        <v>14</v>
      </c>
      <c r="B123" s="220">
        <v>44863</v>
      </c>
      <c r="C123" s="228">
        <v>44863.416666666664</v>
      </c>
      <c r="D123" s="493">
        <v>44863.625</v>
      </c>
      <c r="E123" s="493">
        <v>44863.666666666664</v>
      </c>
      <c r="F123" s="493">
        <v>44863.708333333336</v>
      </c>
      <c r="G123" s="258">
        <v>44863.708333333336</v>
      </c>
      <c r="H123" s="226" t="s">
        <v>346</v>
      </c>
      <c r="I123" s="223" t="s">
        <v>55</v>
      </c>
      <c r="J123" s="245" t="s">
        <v>12</v>
      </c>
      <c r="K123" s="497">
        <v>4</v>
      </c>
      <c r="L123" s="497">
        <v>0</v>
      </c>
      <c r="M123" s="250" t="s">
        <v>2</v>
      </c>
      <c r="N123" s="52">
        <v>45122.417974537035</v>
      </c>
      <c r="O123" s="53" t="s">
        <v>49</v>
      </c>
      <c r="P123" s="54" t="s">
        <v>603</v>
      </c>
      <c r="R123" s="210">
        <v>1</v>
      </c>
      <c r="S123" s="210">
        <v>1</v>
      </c>
      <c r="T123" s="56">
        <v>1.311514275414603</v>
      </c>
      <c r="U123" s="57">
        <v>0.99514257907867432</v>
      </c>
      <c r="V123" s="215">
        <v>0.4379357797153331</v>
      </c>
      <c r="W123" s="494">
        <v>0.27866888737350504</v>
      </c>
      <c r="X123" s="494">
        <v>0.28288957476615906</v>
      </c>
      <c r="Y123" s="59">
        <v>4</v>
      </c>
      <c r="Z123" s="60">
        <v>0</v>
      </c>
      <c r="AA123" s="61"/>
      <c r="AB123" s="62"/>
      <c r="AC123" s="39">
        <f t="shared" si="3"/>
        <v>44863.375</v>
      </c>
      <c r="AD123" s="495">
        <f t="shared" si="4"/>
        <v>44863.333333333328</v>
      </c>
      <c r="AE123" s="40">
        <f t="shared" si="5"/>
        <v>44863.291666666664</v>
      </c>
    </row>
    <row r="124" spans="1:31" ht="21" customHeight="1" thickBot="1" x14ac:dyDescent="0.3">
      <c r="A124" s="445">
        <v>14</v>
      </c>
      <c r="B124" s="220">
        <v>44863</v>
      </c>
      <c r="C124" s="228">
        <v>44863.520833333336</v>
      </c>
      <c r="D124" s="493">
        <v>44863.729166666664</v>
      </c>
      <c r="E124" s="493">
        <v>44863.770833333336</v>
      </c>
      <c r="F124" s="493">
        <v>44863.8125</v>
      </c>
      <c r="G124" s="258">
        <v>44863.8125</v>
      </c>
      <c r="H124" s="226" t="s">
        <v>470</v>
      </c>
      <c r="I124" s="223" t="s">
        <v>431</v>
      </c>
      <c r="J124" s="245" t="s">
        <v>126</v>
      </c>
      <c r="K124" s="497">
        <v>0</v>
      </c>
      <c r="L124" s="497">
        <v>0</v>
      </c>
      <c r="M124" s="250" t="s">
        <v>7</v>
      </c>
      <c r="N124" s="52">
        <v>45122.417974537035</v>
      </c>
      <c r="O124" s="53" t="s">
        <v>49</v>
      </c>
      <c r="P124" s="54" t="s">
        <v>603</v>
      </c>
      <c r="R124" s="210">
        <v>1</v>
      </c>
      <c r="S124" s="210">
        <v>1</v>
      </c>
      <c r="T124" s="56">
        <v>1.4340855053492954</v>
      </c>
      <c r="U124" s="57">
        <v>1.2209998369216919</v>
      </c>
      <c r="V124" s="215">
        <v>0.41917103348592583</v>
      </c>
      <c r="W124" s="494">
        <v>0.25897184700362752</v>
      </c>
      <c r="X124" s="494">
        <v>0.32086366415023804</v>
      </c>
      <c r="Y124" s="59">
        <v>0</v>
      </c>
      <c r="Z124" s="60">
        <v>0</v>
      </c>
      <c r="AA124" s="61"/>
      <c r="AB124" s="62"/>
      <c r="AC124" s="39">
        <f t="shared" si="3"/>
        <v>44863.479166666672</v>
      </c>
      <c r="AD124" s="495">
        <f t="shared" si="4"/>
        <v>44863.4375</v>
      </c>
      <c r="AE124" s="40">
        <f t="shared" si="5"/>
        <v>44863.395833333336</v>
      </c>
    </row>
    <row r="125" spans="1:31" ht="21" customHeight="1" thickBot="1" x14ac:dyDescent="0.3">
      <c r="A125" s="445">
        <v>14</v>
      </c>
      <c r="B125" s="220">
        <v>44863</v>
      </c>
      <c r="C125" s="228">
        <v>44863.614583333336</v>
      </c>
      <c r="D125" s="493">
        <v>44863.822916666664</v>
      </c>
      <c r="E125" s="493">
        <v>44863.864583333336</v>
      </c>
      <c r="F125" s="493">
        <v>44863.90625</v>
      </c>
      <c r="G125" s="258">
        <v>44863.90625</v>
      </c>
      <c r="H125" s="226" t="s">
        <v>307</v>
      </c>
      <c r="I125" s="223" t="s">
        <v>48</v>
      </c>
      <c r="J125" s="243" t="s">
        <v>9</v>
      </c>
      <c r="K125" s="497">
        <v>1</v>
      </c>
      <c r="L125" s="497">
        <v>2</v>
      </c>
      <c r="M125" s="248" t="s">
        <v>139</v>
      </c>
      <c r="N125" s="52">
        <v>45122.417974537035</v>
      </c>
      <c r="O125" s="53" t="s">
        <v>49</v>
      </c>
      <c r="P125" s="54" t="s">
        <v>603</v>
      </c>
      <c r="R125" s="210">
        <v>3</v>
      </c>
      <c r="S125" s="210">
        <v>1</v>
      </c>
      <c r="T125" s="56">
        <v>2.6080999374389648</v>
      </c>
      <c r="U125" s="57">
        <v>0.9351426362991333</v>
      </c>
      <c r="V125" s="215">
        <v>0.71456651312516561</v>
      </c>
      <c r="W125" s="494">
        <v>0.15607476604710377</v>
      </c>
      <c r="X125" s="494">
        <v>0.11187505722045898</v>
      </c>
      <c r="Y125" s="59">
        <v>1</v>
      </c>
      <c r="Z125" s="60">
        <v>2</v>
      </c>
      <c r="AA125" s="61"/>
      <c r="AB125" s="62"/>
      <c r="AC125" s="39">
        <f t="shared" si="3"/>
        <v>44863.572916666672</v>
      </c>
      <c r="AD125" s="495">
        <f t="shared" si="4"/>
        <v>44863.53125</v>
      </c>
      <c r="AE125" s="40">
        <f t="shared" si="5"/>
        <v>44863.489583333336</v>
      </c>
    </row>
    <row r="126" spans="1:31" ht="21" customHeight="1" thickBot="1" x14ac:dyDescent="0.3">
      <c r="A126" s="445">
        <v>14</v>
      </c>
      <c r="B126" s="220">
        <v>44864</v>
      </c>
      <c r="C126" s="228">
        <v>44864.416666666664</v>
      </c>
      <c r="D126" s="493">
        <v>44864.583333333336</v>
      </c>
      <c r="E126" s="493">
        <v>44864.625</v>
      </c>
      <c r="F126" s="493">
        <v>44864.666666666664</v>
      </c>
      <c r="G126" s="258">
        <v>44864.708333333336</v>
      </c>
      <c r="H126" s="226" t="s">
        <v>468</v>
      </c>
      <c r="I126" s="223" t="s">
        <v>57</v>
      </c>
      <c r="J126" s="246" t="s">
        <v>1</v>
      </c>
      <c r="K126" s="497">
        <v>5</v>
      </c>
      <c r="L126" s="497">
        <v>0</v>
      </c>
      <c r="M126" s="251" t="s">
        <v>204</v>
      </c>
      <c r="N126" s="52">
        <v>45122.417974537035</v>
      </c>
      <c r="O126" s="53" t="s">
        <v>49</v>
      </c>
      <c r="P126" s="54" t="s">
        <v>603</v>
      </c>
      <c r="R126" s="210">
        <v>3</v>
      </c>
      <c r="S126" s="210">
        <v>0</v>
      </c>
      <c r="T126" s="56">
        <v>2.5530996322631836</v>
      </c>
      <c r="U126" s="57">
        <v>0.71099972724914551</v>
      </c>
      <c r="V126" s="215">
        <v>0.75625341204806118</v>
      </c>
      <c r="W126" s="494">
        <v>0.14625330774996581</v>
      </c>
      <c r="X126" s="494">
        <v>8.1762731075286865E-2</v>
      </c>
      <c r="Y126" s="59">
        <v>5</v>
      </c>
      <c r="Z126" s="60">
        <v>0</v>
      </c>
      <c r="AA126" s="61"/>
      <c r="AB126" s="62"/>
      <c r="AC126" s="39">
        <f t="shared" si="3"/>
        <v>44864.375</v>
      </c>
      <c r="AD126" s="495">
        <f t="shared" si="4"/>
        <v>44864.333333333328</v>
      </c>
      <c r="AE126" s="40">
        <f t="shared" si="5"/>
        <v>44864.291666666664</v>
      </c>
    </row>
    <row r="127" spans="1:31" ht="21" customHeight="1" thickBot="1" x14ac:dyDescent="0.3">
      <c r="A127" s="445">
        <v>14</v>
      </c>
      <c r="B127" s="220">
        <v>44864</v>
      </c>
      <c r="C127" s="228">
        <v>44864.510416666664</v>
      </c>
      <c r="D127" s="493">
        <v>44864.677083333336</v>
      </c>
      <c r="E127" s="493">
        <v>44864.71875</v>
      </c>
      <c r="F127" s="493">
        <v>44864.760416666664</v>
      </c>
      <c r="G127" s="258">
        <v>44864.802083333336</v>
      </c>
      <c r="H127" s="226" t="s">
        <v>334</v>
      </c>
      <c r="I127" s="223" t="s">
        <v>56</v>
      </c>
      <c r="J127" s="246" t="s">
        <v>11</v>
      </c>
      <c r="K127" s="497">
        <v>1</v>
      </c>
      <c r="L127" s="497">
        <v>0</v>
      </c>
      <c r="M127" s="251" t="s">
        <v>15</v>
      </c>
      <c r="N127" s="52">
        <v>45122.417974537035</v>
      </c>
      <c r="O127" s="53" t="s">
        <v>49</v>
      </c>
      <c r="P127" s="54" t="s">
        <v>603</v>
      </c>
      <c r="R127" s="210">
        <v>2</v>
      </c>
      <c r="S127" s="210">
        <v>1</v>
      </c>
      <c r="T127" s="56">
        <v>1.7610996961593628</v>
      </c>
      <c r="U127" s="57">
        <v>1.0637140274047852</v>
      </c>
      <c r="V127" s="215">
        <v>0.5348458826378788</v>
      </c>
      <c r="W127" s="494">
        <v>0.23468662053100814</v>
      </c>
      <c r="X127" s="494">
        <v>0.22806712985038757</v>
      </c>
      <c r="Y127" s="59">
        <v>1</v>
      </c>
      <c r="Z127" s="60">
        <v>0</v>
      </c>
      <c r="AA127" s="61"/>
      <c r="AB127" s="62"/>
      <c r="AC127" s="39">
        <f t="shared" si="3"/>
        <v>44864.46875</v>
      </c>
      <c r="AD127" s="495">
        <f t="shared" si="4"/>
        <v>44864.427083333328</v>
      </c>
      <c r="AE127" s="40">
        <f t="shared" si="5"/>
        <v>44864.385416666664</v>
      </c>
    </row>
    <row r="128" spans="1:31" ht="21" customHeight="1" thickBot="1" x14ac:dyDescent="0.3">
      <c r="A128" s="444">
        <v>15</v>
      </c>
      <c r="B128" s="219">
        <v>44870</v>
      </c>
      <c r="C128" s="230">
        <v>44870.458333333336</v>
      </c>
      <c r="D128" s="256">
        <v>44870.625</v>
      </c>
      <c r="E128" s="256">
        <v>44870.666666666664</v>
      </c>
      <c r="F128" s="256">
        <v>44870.708333333336</v>
      </c>
      <c r="G128" s="257">
        <v>44870.75</v>
      </c>
      <c r="H128" s="225" t="s">
        <v>471</v>
      </c>
      <c r="I128" s="222" t="s">
        <v>140</v>
      </c>
      <c r="J128" s="242" t="s">
        <v>139</v>
      </c>
      <c r="K128" s="497">
        <v>4</v>
      </c>
      <c r="L128" s="497">
        <v>3</v>
      </c>
      <c r="M128" s="247" t="s">
        <v>3</v>
      </c>
      <c r="N128" s="41">
        <v>45122.417974537035</v>
      </c>
      <c r="O128" s="42" t="s">
        <v>49</v>
      </c>
      <c r="P128" s="43" t="s">
        <v>603</v>
      </c>
      <c r="Q128" s="44"/>
      <c r="R128" s="212">
        <v>2</v>
      </c>
      <c r="S128" s="212">
        <v>1</v>
      </c>
      <c r="T128" s="45">
        <v>1.7170997858047485</v>
      </c>
      <c r="U128" s="46">
        <v>1.4509998559951782</v>
      </c>
      <c r="V128" s="213">
        <v>0.43824963283352331</v>
      </c>
      <c r="W128" s="214">
        <v>0.23344009279994626</v>
      </c>
      <c r="X128" s="214">
        <v>0.32556432485580444</v>
      </c>
      <c r="Y128" s="47">
        <v>4</v>
      </c>
      <c r="Z128" s="48">
        <v>3</v>
      </c>
      <c r="AA128" s="49"/>
      <c r="AB128" s="50"/>
      <c r="AC128" s="75">
        <f t="shared" si="3"/>
        <v>44870.416666666672</v>
      </c>
      <c r="AD128" s="76">
        <f t="shared" si="4"/>
        <v>44870.375</v>
      </c>
      <c r="AE128" s="77">
        <f t="shared" si="5"/>
        <v>44870.333333333336</v>
      </c>
    </row>
    <row r="129" spans="1:31" ht="21" customHeight="1" thickBot="1" x14ac:dyDescent="0.3">
      <c r="A129" s="445">
        <v>15</v>
      </c>
      <c r="B129" s="220">
        <v>44870</v>
      </c>
      <c r="C129" s="228">
        <v>44870.458333333336</v>
      </c>
      <c r="D129" s="493">
        <v>44870.625</v>
      </c>
      <c r="E129" s="493">
        <v>44870.666666666664</v>
      </c>
      <c r="F129" s="493">
        <v>44870.708333333336</v>
      </c>
      <c r="G129" s="258">
        <v>44870.75</v>
      </c>
      <c r="H129" s="226" t="s">
        <v>472</v>
      </c>
      <c r="I129" s="223" t="s">
        <v>61</v>
      </c>
      <c r="J129" s="245" t="s">
        <v>10</v>
      </c>
      <c r="K129" s="497">
        <v>2</v>
      </c>
      <c r="L129" s="497">
        <v>1</v>
      </c>
      <c r="M129" s="250" t="s">
        <v>126</v>
      </c>
      <c r="N129" s="52">
        <v>45122.417974537035</v>
      </c>
      <c r="O129" s="53" t="s">
        <v>49</v>
      </c>
      <c r="P129" s="54" t="s">
        <v>603</v>
      </c>
      <c r="R129" s="210">
        <v>3</v>
      </c>
      <c r="S129" s="210">
        <v>0</v>
      </c>
      <c r="T129" s="56">
        <v>2.7290999889373779</v>
      </c>
      <c r="U129" s="57">
        <v>0.76099979877471924</v>
      </c>
      <c r="V129" s="215">
        <v>0.76453252096118629</v>
      </c>
      <c r="W129" s="494">
        <v>0.13538402646079209</v>
      </c>
      <c r="X129" s="494">
        <v>7.8428074717521667E-2</v>
      </c>
      <c r="Y129" s="59">
        <v>2</v>
      </c>
      <c r="Z129" s="60">
        <v>1</v>
      </c>
      <c r="AA129" s="61"/>
      <c r="AB129" s="62"/>
      <c r="AC129" s="39">
        <f t="shared" si="3"/>
        <v>44870.416666666672</v>
      </c>
      <c r="AD129" s="495">
        <f t="shared" si="4"/>
        <v>44870.375</v>
      </c>
      <c r="AE129" s="40">
        <f t="shared" si="5"/>
        <v>44870.333333333336</v>
      </c>
    </row>
    <row r="130" spans="1:31" ht="21" customHeight="1" thickBot="1" x14ac:dyDescent="0.3">
      <c r="A130" s="445">
        <v>15</v>
      </c>
      <c r="B130" s="220">
        <v>44870</v>
      </c>
      <c r="C130" s="228">
        <v>44870.458333333336</v>
      </c>
      <c r="D130" s="493">
        <v>44870.625</v>
      </c>
      <c r="E130" s="493">
        <v>44870.666666666664</v>
      </c>
      <c r="F130" s="493">
        <v>44870.708333333336</v>
      </c>
      <c r="G130" s="258">
        <v>44870.75</v>
      </c>
      <c r="H130" s="226" t="s">
        <v>473</v>
      </c>
      <c r="I130" s="223" t="s">
        <v>436</v>
      </c>
      <c r="J130" s="245" t="s">
        <v>204</v>
      </c>
      <c r="K130" s="497">
        <v>2</v>
      </c>
      <c r="L130" s="497">
        <v>2</v>
      </c>
      <c r="M130" s="250" t="s">
        <v>125</v>
      </c>
      <c r="N130" s="52">
        <v>45122.417974537035</v>
      </c>
      <c r="O130" s="53" t="s">
        <v>49</v>
      </c>
      <c r="P130" s="54" t="s">
        <v>603</v>
      </c>
      <c r="R130" s="210">
        <v>1</v>
      </c>
      <c r="S130" s="210">
        <v>2</v>
      </c>
      <c r="T130" s="56">
        <v>0.83065693719046452</v>
      </c>
      <c r="U130" s="57">
        <v>1.8209997415542603</v>
      </c>
      <c r="V130" s="215">
        <v>0.16666781688261628</v>
      </c>
      <c r="W130" s="494">
        <v>0.22503495565185644</v>
      </c>
      <c r="X130" s="494">
        <v>0.6055336594581604</v>
      </c>
      <c r="Y130" s="59">
        <v>2</v>
      </c>
      <c r="Z130" s="60">
        <v>2</v>
      </c>
      <c r="AA130" s="61"/>
      <c r="AB130" s="62"/>
      <c r="AC130" s="39">
        <f t="shared" ref="AC130:AC193" si="6">IF(C130&lt;&gt;"TBC",C130-1/24,"TBC")</f>
        <v>44870.416666666672</v>
      </c>
      <c r="AD130" s="495">
        <f t="shared" ref="AD130:AD193" si="7">IF(C130&lt;&gt;"TBC",C130-1/12,"TBC")</f>
        <v>44870.375</v>
      </c>
      <c r="AE130" s="40">
        <f t="shared" ref="AE130:AE193" si="8">IF(C130&lt;&gt;"TBC",C130-1/8,"TBC")</f>
        <v>44870.333333333336</v>
      </c>
    </row>
    <row r="131" spans="1:31" ht="21" customHeight="1" thickBot="1" x14ac:dyDescent="0.3">
      <c r="A131" s="445">
        <v>15</v>
      </c>
      <c r="B131" s="220">
        <v>44870</v>
      </c>
      <c r="C131" s="228">
        <v>44870.458333333336</v>
      </c>
      <c r="D131" s="493">
        <v>44870.625</v>
      </c>
      <c r="E131" s="493">
        <v>44870.666666666664</v>
      </c>
      <c r="F131" s="493">
        <v>44870.708333333336</v>
      </c>
      <c r="G131" s="258">
        <v>44870.75</v>
      </c>
      <c r="H131" s="226" t="s">
        <v>404</v>
      </c>
      <c r="I131" s="223" t="s">
        <v>63</v>
      </c>
      <c r="J131" s="246" t="s">
        <v>16</v>
      </c>
      <c r="K131" s="497">
        <v>2</v>
      </c>
      <c r="L131" s="497">
        <v>3</v>
      </c>
      <c r="M131" s="251" t="s">
        <v>4</v>
      </c>
      <c r="N131" s="52">
        <v>45122.417974537035</v>
      </c>
      <c r="O131" s="53" t="s">
        <v>49</v>
      </c>
      <c r="P131" s="54" t="s">
        <v>603</v>
      </c>
      <c r="R131" s="210">
        <v>1</v>
      </c>
      <c r="S131" s="210">
        <v>2</v>
      </c>
      <c r="T131" s="56">
        <v>0.91409975290298462</v>
      </c>
      <c r="U131" s="57">
        <v>1.8209997415542603</v>
      </c>
      <c r="V131" s="215">
        <v>0.18551377761158147</v>
      </c>
      <c r="W131" s="494">
        <v>0.22708390567453127</v>
      </c>
      <c r="X131" s="494">
        <v>0.5846172571182251</v>
      </c>
      <c r="Y131" s="59">
        <v>2</v>
      </c>
      <c r="Z131" s="60">
        <v>3</v>
      </c>
      <c r="AA131" s="61"/>
      <c r="AB131" s="62"/>
      <c r="AC131" s="39">
        <f t="shared" si="6"/>
        <v>44870.416666666672</v>
      </c>
      <c r="AD131" s="495">
        <f t="shared" si="7"/>
        <v>44870.375</v>
      </c>
      <c r="AE131" s="40">
        <f t="shared" si="8"/>
        <v>44870.333333333336</v>
      </c>
    </row>
    <row r="132" spans="1:31" ht="21" customHeight="1" thickBot="1" x14ac:dyDescent="0.3">
      <c r="A132" s="445">
        <v>15</v>
      </c>
      <c r="B132" s="220">
        <v>44870</v>
      </c>
      <c r="C132" s="228">
        <v>44870.5625</v>
      </c>
      <c r="D132" s="493">
        <v>44870.729166666664</v>
      </c>
      <c r="E132" s="493">
        <v>44870.770833333336</v>
      </c>
      <c r="F132" s="493">
        <v>44870.8125</v>
      </c>
      <c r="G132" s="258">
        <v>44870.854166666664</v>
      </c>
      <c r="H132" s="226" t="s">
        <v>300</v>
      </c>
      <c r="I132" s="223" t="s">
        <v>59</v>
      </c>
      <c r="J132" s="246" t="s">
        <v>7</v>
      </c>
      <c r="K132" s="497">
        <v>0</v>
      </c>
      <c r="L132" s="497">
        <v>2</v>
      </c>
      <c r="M132" s="251" t="s">
        <v>8</v>
      </c>
      <c r="N132" s="52">
        <v>45122.417974537035</v>
      </c>
      <c r="O132" s="53" t="s">
        <v>49</v>
      </c>
      <c r="P132" s="54" t="s">
        <v>603</v>
      </c>
      <c r="R132" s="210">
        <v>1</v>
      </c>
      <c r="S132" s="210">
        <v>2</v>
      </c>
      <c r="T132" s="56">
        <v>1.3100998401641846</v>
      </c>
      <c r="U132" s="57">
        <v>1.5609997510910034</v>
      </c>
      <c r="V132" s="215">
        <v>0.31994967930420987</v>
      </c>
      <c r="W132" s="494">
        <v>0.24700453640427938</v>
      </c>
      <c r="X132" s="494">
        <v>0.43146201968193054</v>
      </c>
      <c r="Y132" s="59">
        <v>0</v>
      </c>
      <c r="Z132" s="60">
        <v>2</v>
      </c>
      <c r="AA132" s="61"/>
      <c r="AB132" s="62"/>
      <c r="AC132" s="39">
        <f t="shared" si="6"/>
        <v>44870.520833333336</v>
      </c>
      <c r="AD132" s="495">
        <f t="shared" si="7"/>
        <v>44870.479166666664</v>
      </c>
      <c r="AE132" s="40">
        <f t="shared" si="8"/>
        <v>44870.4375</v>
      </c>
    </row>
    <row r="133" spans="1:31" ht="21" customHeight="1" thickBot="1" x14ac:dyDescent="0.3">
      <c r="A133" s="445">
        <v>15</v>
      </c>
      <c r="B133" s="220">
        <v>44871</v>
      </c>
      <c r="C133" s="228">
        <v>44871.291666666664</v>
      </c>
      <c r="D133" s="493">
        <v>44871.5</v>
      </c>
      <c r="E133" s="493">
        <v>44871.541666666664</v>
      </c>
      <c r="F133" s="493">
        <v>44871.583333333336</v>
      </c>
      <c r="G133" s="258">
        <v>44871.625</v>
      </c>
      <c r="H133" s="226" t="s">
        <v>183</v>
      </c>
      <c r="I133" s="223" t="s">
        <v>62</v>
      </c>
      <c r="J133" s="246" t="s">
        <v>5</v>
      </c>
      <c r="K133" s="497">
        <v>0</v>
      </c>
      <c r="L133" s="497">
        <v>1</v>
      </c>
      <c r="M133" s="251" t="s">
        <v>1</v>
      </c>
      <c r="N133" s="52">
        <v>45122.417974537035</v>
      </c>
      <c r="O133" s="53" t="s">
        <v>49</v>
      </c>
      <c r="P133" s="54" t="s">
        <v>603</v>
      </c>
      <c r="R133" s="210">
        <v>1</v>
      </c>
      <c r="S133" s="210">
        <v>2</v>
      </c>
      <c r="T133" s="56">
        <v>1.3210997581481934</v>
      </c>
      <c r="U133" s="57">
        <v>1.6909996271133423</v>
      </c>
      <c r="V133" s="215">
        <v>0.29978433900773704</v>
      </c>
      <c r="W133" s="494">
        <v>0.23800671499259335</v>
      </c>
      <c r="X133" s="494">
        <v>0.45994558930397034</v>
      </c>
      <c r="Y133" s="59">
        <v>0</v>
      </c>
      <c r="Z133" s="60">
        <v>1</v>
      </c>
      <c r="AA133" s="61"/>
      <c r="AB133" s="62"/>
      <c r="AC133" s="39">
        <f t="shared" si="6"/>
        <v>44871.25</v>
      </c>
      <c r="AD133" s="495">
        <f t="shared" si="7"/>
        <v>44871.208333333328</v>
      </c>
      <c r="AE133" s="40">
        <f t="shared" si="8"/>
        <v>44871.166666666664</v>
      </c>
    </row>
    <row r="134" spans="1:31" ht="21" customHeight="1" thickBot="1" x14ac:dyDescent="0.3">
      <c r="A134" s="445">
        <v>15</v>
      </c>
      <c r="B134" s="220">
        <v>44871</v>
      </c>
      <c r="C134" s="228">
        <v>44871.375</v>
      </c>
      <c r="D134" s="493">
        <v>44871.583333333336</v>
      </c>
      <c r="E134" s="493">
        <v>44871.625</v>
      </c>
      <c r="F134" s="493">
        <v>44871.666666666664</v>
      </c>
      <c r="G134" s="258">
        <v>44871.708333333336</v>
      </c>
      <c r="H134" s="226" t="s">
        <v>324</v>
      </c>
      <c r="I134" s="223" t="s">
        <v>58</v>
      </c>
      <c r="J134" s="243" t="s">
        <v>2</v>
      </c>
      <c r="K134" s="497">
        <v>3</v>
      </c>
      <c r="L134" s="497">
        <v>1</v>
      </c>
      <c r="M134" s="248" t="s">
        <v>11</v>
      </c>
      <c r="N134" s="52">
        <v>45122.417974537035</v>
      </c>
      <c r="O134" s="53" t="s">
        <v>49</v>
      </c>
      <c r="P134" s="54" t="s">
        <v>603</v>
      </c>
      <c r="R134" s="210">
        <v>2</v>
      </c>
      <c r="S134" s="210">
        <v>2</v>
      </c>
      <c r="T134" s="56">
        <v>1.4860997200012207</v>
      </c>
      <c r="U134" s="57">
        <v>1.5009996891021729</v>
      </c>
      <c r="V134" s="215">
        <v>0.37404428862315681</v>
      </c>
      <c r="W134" s="494">
        <v>0.24359036669590489</v>
      </c>
      <c r="X134" s="494">
        <v>0.38055875897407532</v>
      </c>
      <c r="Y134" s="59">
        <v>3</v>
      </c>
      <c r="Z134" s="60">
        <v>1</v>
      </c>
      <c r="AA134" s="61"/>
      <c r="AB134" s="62"/>
      <c r="AC134" s="39">
        <f t="shared" si="6"/>
        <v>44871.333333333336</v>
      </c>
      <c r="AD134" s="495">
        <f t="shared" si="7"/>
        <v>44871.291666666664</v>
      </c>
      <c r="AE134" s="40">
        <f t="shared" si="8"/>
        <v>44871.25</v>
      </c>
    </row>
    <row r="135" spans="1:31" ht="21" customHeight="1" thickBot="1" x14ac:dyDescent="0.3">
      <c r="A135" s="445">
        <v>15</v>
      </c>
      <c r="B135" s="220">
        <v>44871</v>
      </c>
      <c r="C135" s="228">
        <v>44871.375</v>
      </c>
      <c r="D135" s="493">
        <v>44871.583333333336</v>
      </c>
      <c r="E135" s="493">
        <v>44871.625</v>
      </c>
      <c r="F135" s="493">
        <v>44871.666666666664</v>
      </c>
      <c r="G135" s="258">
        <v>44871.708333333336</v>
      </c>
      <c r="H135" s="226" t="s">
        <v>323</v>
      </c>
      <c r="I135" s="223" t="s">
        <v>60</v>
      </c>
      <c r="J135" s="245" t="s">
        <v>13</v>
      </c>
      <c r="K135" s="497">
        <v>1</v>
      </c>
      <c r="L135" s="497">
        <v>4</v>
      </c>
      <c r="M135" s="250" t="s">
        <v>12</v>
      </c>
      <c r="N135" s="52">
        <v>45122.417974537035</v>
      </c>
      <c r="O135" s="53" t="s">
        <v>49</v>
      </c>
      <c r="P135" s="54" t="s">
        <v>603</v>
      </c>
      <c r="R135" s="210">
        <v>1</v>
      </c>
      <c r="S135" s="210">
        <v>2</v>
      </c>
      <c r="T135" s="56">
        <v>0.80409979820251465</v>
      </c>
      <c r="U135" s="57">
        <v>1.7009998559951782</v>
      </c>
      <c r="V135" s="215">
        <v>0.17478314504396722</v>
      </c>
      <c r="W135" s="494">
        <v>0.23789526178503664</v>
      </c>
      <c r="X135" s="494">
        <v>0.58541899919509888</v>
      </c>
      <c r="Y135" s="59">
        <v>1</v>
      </c>
      <c r="Z135" s="60">
        <v>4</v>
      </c>
      <c r="AA135" s="61"/>
      <c r="AB135" s="62"/>
      <c r="AC135" s="39">
        <f t="shared" si="6"/>
        <v>44871.333333333336</v>
      </c>
      <c r="AD135" s="495">
        <f t="shared" si="7"/>
        <v>44871.291666666664</v>
      </c>
      <c r="AE135" s="40">
        <f t="shared" si="8"/>
        <v>44871.25</v>
      </c>
    </row>
    <row r="136" spans="1:31" ht="21" customHeight="1" thickBot="1" x14ac:dyDescent="0.3">
      <c r="A136" s="445">
        <v>15</v>
      </c>
      <c r="B136" s="220">
        <v>44871</v>
      </c>
      <c r="C136" s="228">
        <v>44871.375</v>
      </c>
      <c r="D136" s="493">
        <v>44871.583333333336</v>
      </c>
      <c r="E136" s="493">
        <v>44871.625</v>
      </c>
      <c r="F136" s="493">
        <v>44871.666666666664</v>
      </c>
      <c r="G136" s="258">
        <v>44871.708333333336</v>
      </c>
      <c r="H136" s="226" t="s">
        <v>217</v>
      </c>
      <c r="I136" s="223" t="s">
        <v>50</v>
      </c>
      <c r="J136" s="243" t="s">
        <v>15</v>
      </c>
      <c r="K136" s="497">
        <v>1</v>
      </c>
      <c r="L136" s="497">
        <v>2</v>
      </c>
      <c r="M136" s="248" t="s">
        <v>6</v>
      </c>
      <c r="N136" s="52">
        <v>45122.417974537035</v>
      </c>
      <c r="O136" s="53" t="s">
        <v>49</v>
      </c>
      <c r="P136" s="54" t="s">
        <v>603</v>
      </c>
      <c r="R136" s="210">
        <v>1</v>
      </c>
      <c r="S136" s="210">
        <v>1</v>
      </c>
      <c r="T136" s="56">
        <v>1.2220996618270874</v>
      </c>
      <c r="U136" s="57">
        <v>1.0909997224807739</v>
      </c>
      <c r="V136" s="215">
        <v>0.39102090453250499</v>
      </c>
      <c r="W136" s="494">
        <v>0.28195676508325113</v>
      </c>
      <c r="X136" s="494">
        <v>0.32660090923309326</v>
      </c>
      <c r="Y136" s="59">
        <v>1</v>
      </c>
      <c r="Z136" s="60">
        <v>2</v>
      </c>
      <c r="AA136" s="61"/>
      <c r="AB136" s="62"/>
      <c r="AC136" s="39">
        <f t="shared" si="6"/>
        <v>44871.333333333336</v>
      </c>
      <c r="AD136" s="495">
        <f t="shared" si="7"/>
        <v>44871.291666666664</v>
      </c>
      <c r="AE136" s="40">
        <f t="shared" si="8"/>
        <v>44871.25</v>
      </c>
    </row>
    <row r="137" spans="1:31" ht="21" customHeight="1" thickBot="1" x14ac:dyDescent="0.3">
      <c r="A137" s="445">
        <v>15</v>
      </c>
      <c r="B137" s="220">
        <v>44871</v>
      </c>
      <c r="C137" s="228">
        <v>44871.479166666664</v>
      </c>
      <c r="D137" s="493">
        <v>44871.6875</v>
      </c>
      <c r="E137" s="493">
        <v>44871.729166666664</v>
      </c>
      <c r="F137" s="493">
        <v>44871.770833333336</v>
      </c>
      <c r="G137" s="258">
        <v>44871.8125</v>
      </c>
      <c r="H137" s="226" t="s">
        <v>304</v>
      </c>
      <c r="I137" s="223" t="s">
        <v>53</v>
      </c>
      <c r="J137" s="243" t="s">
        <v>14</v>
      </c>
      <c r="K137" s="497">
        <v>1</v>
      </c>
      <c r="L137" s="497">
        <v>2</v>
      </c>
      <c r="M137" s="248" t="s">
        <v>9</v>
      </c>
      <c r="N137" s="52">
        <v>45122.417974537035</v>
      </c>
      <c r="O137" s="53" t="s">
        <v>49</v>
      </c>
      <c r="P137" s="54" t="s">
        <v>603</v>
      </c>
      <c r="R137" s="210">
        <v>1</v>
      </c>
      <c r="S137" s="210">
        <v>2</v>
      </c>
      <c r="T137" s="56">
        <v>1.5300999879837036</v>
      </c>
      <c r="U137" s="57">
        <v>2.0509998798370361</v>
      </c>
      <c r="V137" s="215">
        <v>0.28771834988761597</v>
      </c>
      <c r="W137" s="494">
        <v>0.21302200060966248</v>
      </c>
      <c r="X137" s="494">
        <v>0.49304863810539246</v>
      </c>
      <c r="Y137" s="59">
        <v>1</v>
      </c>
      <c r="Z137" s="60">
        <v>2</v>
      </c>
      <c r="AA137" s="61"/>
      <c r="AB137" s="62"/>
      <c r="AC137" s="39">
        <f t="shared" si="6"/>
        <v>44871.4375</v>
      </c>
      <c r="AD137" s="495">
        <f t="shared" si="7"/>
        <v>44871.395833333328</v>
      </c>
      <c r="AE137" s="40">
        <f t="shared" si="8"/>
        <v>44871.354166666664</v>
      </c>
    </row>
    <row r="138" spans="1:31" ht="21" customHeight="1" thickBot="1" x14ac:dyDescent="0.3">
      <c r="A138" s="444">
        <v>16</v>
      </c>
      <c r="B138" s="219">
        <v>44877</v>
      </c>
      <c r="C138" s="230">
        <v>44877.3125</v>
      </c>
      <c r="D138" s="256">
        <v>44877.520833333336</v>
      </c>
      <c r="E138" s="256">
        <v>44877.5625</v>
      </c>
      <c r="F138" s="256">
        <v>44877.604166666664</v>
      </c>
      <c r="G138" s="257">
        <v>44877.645833333336</v>
      </c>
      <c r="H138" s="225" t="s">
        <v>342</v>
      </c>
      <c r="I138" s="222" t="s">
        <v>61</v>
      </c>
      <c r="J138" s="254" t="s">
        <v>10</v>
      </c>
      <c r="K138" s="497">
        <v>1</v>
      </c>
      <c r="L138" s="497">
        <v>2</v>
      </c>
      <c r="M138" s="255" t="s">
        <v>125</v>
      </c>
      <c r="N138" s="41">
        <v>45122.417974537035</v>
      </c>
      <c r="O138" s="42" t="s">
        <v>49</v>
      </c>
      <c r="P138" s="43" t="s">
        <v>603</v>
      </c>
      <c r="Q138" s="44"/>
      <c r="R138" s="212">
        <v>3</v>
      </c>
      <c r="S138" s="212">
        <v>1</v>
      </c>
      <c r="T138" s="45">
        <v>2.5750999450683594</v>
      </c>
      <c r="U138" s="46">
        <v>0.98099970817565918</v>
      </c>
      <c r="V138" s="213">
        <v>0.70055053170911685</v>
      </c>
      <c r="W138" s="214">
        <v>0.16124186398844823</v>
      </c>
      <c r="X138" s="214">
        <v>0.12174538522958755</v>
      </c>
      <c r="Y138" s="47">
        <v>1</v>
      </c>
      <c r="Z138" s="48">
        <v>2</v>
      </c>
      <c r="AA138" s="49"/>
      <c r="AB138" s="50"/>
      <c r="AC138" s="75">
        <f t="shared" si="6"/>
        <v>44877.270833333336</v>
      </c>
      <c r="AD138" s="76">
        <f t="shared" si="7"/>
        <v>44877.229166666664</v>
      </c>
      <c r="AE138" s="77">
        <f t="shared" si="8"/>
        <v>44877.1875</v>
      </c>
    </row>
    <row r="139" spans="1:31" ht="21" customHeight="1" thickBot="1" x14ac:dyDescent="0.3">
      <c r="A139" s="445">
        <v>16</v>
      </c>
      <c r="B139" s="220">
        <v>44877</v>
      </c>
      <c r="C139" s="228">
        <v>44877.416666666664</v>
      </c>
      <c r="D139" s="493">
        <v>44877.625</v>
      </c>
      <c r="E139" s="493">
        <v>44877.666666666664</v>
      </c>
      <c r="F139" s="493">
        <v>44877.708333333336</v>
      </c>
      <c r="G139" s="258">
        <v>44877.75</v>
      </c>
      <c r="H139" s="226" t="s">
        <v>474</v>
      </c>
      <c r="I139" s="223" t="s">
        <v>51</v>
      </c>
      <c r="J139" s="243" t="s">
        <v>3</v>
      </c>
      <c r="K139" s="497">
        <v>3</v>
      </c>
      <c r="L139" s="497">
        <v>0</v>
      </c>
      <c r="M139" s="248" t="s">
        <v>7</v>
      </c>
      <c r="N139" s="52">
        <v>45122.417974537035</v>
      </c>
      <c r="O139" s="53" t="s">
        <v>49</v>
      </c>
      <c r="P139" s="54" t="s">
        <v>603</v>
      </c>
      <c r="R139" s="210">
        <v>2</v>
      </c>
      <c r="S139" s="210">
        <v>2</v>
      </c>
      <c r="T139" s="56">
        <v>1.5300999879837036</v>
      </c>
      <c r="U139" s="57">
        <v>1.3809998035430908</v>
      </c>
      <c r="V139" s="215">
        <v>0.4089382515873845</v>
      </c>
      <c r="W139" s="494">
        <v>0.24645611502933029</v>
      </c>
      <c r="X139" s="494">
        <v>0.34299427270889282</v>
      </c>
      <c r="Y139" s="59">
        <v>3</v>
      </c>
      <c r="Z139" s="60">
        <v>0</v>
      </c>
      <c r="AA139" s="61"/>
      <c r="AB139" s="62"/>
      <c r="AC139" s="39">
        <f t="shared" si="6"/>
        <v>44877.375</v>
      </c>
      <c r="AD139" s="495">
        <f t="shared" si="7"/>
        <v>44877.333333333328</v>
      </c>
      <c r="AE139" s="40">
        <f t="shared" si="8"/>
        <v>44877.291666666664</v>
      </c>
    </row>
    <row r="140" spans="1:31" ht="21" customHeight="1" thickBot="1" x14ac:dyDescent="0.3">
      <c r="A140" s="445">
        <v>16</v>
      </c>
      <c r="B140" s="220">
        <v>44877</v>
      </c>
      <c r="C140" s="228">
        <v>44877.416666666664</v>
      </c>
      <c r="D140" s="493">
        <v>44877.625</v>
      </c>
      <c r="E140" s="493">
        <v>44877.666666666664</v>
      </c>
      <c r="F140" s="493">
        <v>44877.708333333336</v>
      </c>
      <c r="G140" s="258">
        <v>44877.75</v>
      </c>
      <c r="H140" s="226" t="s">
        <v>167</v>
      </c>
      <c r="I140" s="223" t="s">
        <v>48</v>
      </c>
      <c r="J140" s="245" t="s">
        <v>9</v>
      </c>
      <c r="K140" s="497">
        <v>3</v>
      </c>
      <c r="L140" s="497">
        <v>1</v>
      </c>
      <c r="M140" s="250" t="s">
        <v>13</v>
      </c>
      <c r="N140" s="52">
        <v>45122.417974537035</v>
      </c>
      <c r="O140" s="53" t="s">
        <v>49</v>
      </c>
      <c r="P140" s="54" t="s">
        <v>603</v>
      </c>
      <c r="R140" s="210">
        <v>2</v>
      </c>
      <c r="S140" s="210">
        <v>0</v>
      </c>
      <c r="T140" s="56">
        <v>2.0375140735081261</v>
      </c>
      <c r="U140" s="57">
        <v>0.68657124042510986</v>
      </c>
      <c r="V140" s="215">
        <v>0.68531644076544884</v>
      </c>
      <c r="W140" s="494">
        <v>0.1949294416550223</v>
      </c>
      <c r="X140" s="494">
        <v>0.11474402248859406</v>
      </c>
      <c r="Y140" s="59">
        <v>3</v>
      </c>
      <c r="Z140" s="60">
        <v>1</v>
      </c>
      <c r="AA140" s="61"/>
      <c r="AB140" s="62"/>
      <c r="AC140" s="39">
        <f t="shared" si="6"/>
        <v>44877.375</v>
      </c>
      <c r="AD140" s="495">
        <f t="shared" si="7"/>
        <v>44877.333333333328</v>
      </c>
      <c r="AE140" s="40">
        <f t="shared" si="8"/>
        <v>44877.291666666664</v>
      </c>
    </row>
    <row r="141" spans="1:31" ht="21" customHeight="1" thickBot="1" x14ac:dyDescent="0.3">
      <c r="A141" s="445">
        <v>16</v>
      </c>
      <c r="B141" s="220">
        <v>44877</v>
      </c>
      <c r="C141" s="228">
        <v>44877.416666666664</v>
      </c>
      <c r="D141" s="493">
        <v>44877.625</v>
      </c>
      <c r="E141" s="493">
        <v>44877.666666666664</v>
      </c>
      <c r="F141" s="493">
        <v>44877.708333333336</v>
      </c>
      <c r="G141" s="258">
        <v>44877.75</v>
      </c>
      <c r="H141" s="226" t="s">
        <v>476</v>
      </c>
      <c r="I141" s="223" t="s">
        <v>436</v>
      </c>
      <c r="J141" s="246" t="s">
        <v>204</v>
      </c>
      <c r="K141" s="497">
        <v>1</v>
      </c>
      <c r="L141" s="497">
        <v>0</v>
      </c>
      <c r="M141" s="251" t="s">
        <v>6</v>
      </c>
      <c r="N141" s="52">
        <v>45122.417974537035</v>
      </c>
      <c r="O141" s="53" t="s">
        <v>49</v>
      </c>
      <c r="P141" s="54" t="s">
        <v>603</v>
      </c>
      <c r="R141" s="210">
        <v>0</v>
      </c>
      <c r="S141" s="210">
        <v>1</v>
      </c>
      <c r="T141" s="56">
        <v>0.7710997462272644</v>
      </c>
      <c r="U141" s="57">
        <v>1.3122855424880981</v>
      </c>
      <c r="V141" s="215">
        <v>0.2194764353856013</v>
      </c>
      <c r="W141" s="494">
        <v>0.2861900544161774</v>
      </c>
      <c r="X141" s="494">
        <v>0.49389049410820007</v>
      </c>
      <c r="Y141" s="59">
        <v>1</v>
      </c>
      <c r="Z141" s="60">
        <v>0</v>
      </c>
      <c r="AA141" s="61"/>
      <c r="AB141" s="62"/>
      <c r="AC141" s="39">
        <f t="shared" si="6"/>
        <v>44877.375</v>
      </c>
      <c r="AD141" s="495">
        <f t="shared" si="7"/>
        <v>44877.333333333328</v>
      </c>
      <c r="AE141" s="40">
        <f t="shared" si="8"/>
        <v>44877.291666666664</v>
      </c>
    </row>
    <row r="142" spans="1:31" ht="21" customHeight="1" thickBot="1" x14ac:dyDescent="0.3">
      <c r="A142" s="445">
        <v>16</v>
      </c>
      <c r="B142" s="220">
        <v>44877</v>
      </c>
      <c r="C142" s="228">
        <v>44877.416666666664</v>
      </c>
      <c r="D142" s="493">
        <v>44877.625</v>
      </c>
      <c r="E142" s="493">
        <v>44877.666666666664</v>
      </c>
      <c r="F142" s="493">
        <v>44877.708333333336</v>
      </c>
      <c r="G142" s="258">
        <v>44877.75</v>
      </c>
      <c r="H142" s="226" t="s">
        <v>272</v>
      </c>
      <c r="I142" s="223" t="s">
        <v>53</v>
      </c>
      <c r="J142" s="246" t="s">
        <v>14</v>
      </c>
      <c r="K142" s="497">
        <v>4</v>
      </c>
      <c r="L142" s="497">
        <v>3</v>
      </c>
      <c r="M142" s="251" t="s">
        <v>139</v>
      </c>
      <c r="N142" s="52">
        <v>45122.417974537035</v>
      </c>
      <c r="O142" s="53" t="s">
        <v>49</v>
      </c>
      <c r="P142" s="54" t="s">
        <v>603</v>
      </c>
      <c r="R142" s="210">
        <v>2</v>
      </c>
      <c r="S142" s="210">
        <v>1</v>
      </c>
      <c r="T142" s="56">
        <v>1.8017999104091098</v>
      </c>
      <c r="U142" s="57">
        <v>1.2909997701644897</v>
      </c>
      <c r="V142" s="215">
        <v>0.49177673093634539</v>
      </c>
      <c r="W142" s="494">
        <v>0.23069964845887445</v>
      </c>
      <c r="X142" s="494">
        <v>0.27455368638038635</v>
      </c>
      <c r="Y142" s="59">
        <v>4</v>
      </c>
      <c r="Z142" s="60">
        <v>3</v>
      </c>
      <c r="AA142" s="61"/>
      <c r="AB142" s="62"/>
      <c r="AC142" s="39">
        <f t="shared" si="6"/>
        <v>44877.375</v>
      </c>
      <c r="AD142" s="495">
        <f t="shared" si="7"/>
        <v>44877.333333333328</v>
      </c>
      <c r="AE142" s="40">
        <f t="shared" si="8"/>
        <v>44877.291666666664</v>
      </c>
    </row>
    <row r="143" spans="1:31" ht="21" customHeight="1" thickBot="1" x14ac:dyDescent="0.3">
      <c r="A143" s="445">
        <v>16</v>
      </c>
      <c r="B143" s="220">
        <v>44877</v>
      </c>
      <c r="C143" s="228">
        <v>44877.416666666664</v>
      </c>
      <c r="D143" s="493">
        <v>44877.625</v>
      </c>
      <c r="E143" s="493">
        <v>44877.666666666664</v>
      </c>
      <c r="F143" s="493">
        <v>44877.708333333336</v>
      </c>
      <c r="G143" s="258">
        <v>44877.75</v>
      </c>
      <c r="H143" s="226" t="s">
        <v>213</v>
      </c>
      <c r="I143" s="223" t="s">
        <v>50</v>
      </c>
      <c r="J143" s="243" t="s">
        <v>15</v>
      </c>
      <c r="K143" s="497">
        <v>0</v>
      </c>
      <c r="L143" s="497">
        <v>2</v>
      </c>
      <c r="M143" s="248" t="s">
        <v>8</v>
      </c>
      <c r="N143" s="52">
        <v>45122.417974537035</v>
      </c>
      <c r="O143" s="53" t="s">
        <v>49</v>
      </c>
      <c r="P143" s="54" t="s">
        <v>603</v>
      </c>
      <c r="R143" s="210">
        <v>1</v>
      </c>
      <c r="S143" s="210">
        <v>1</v>
      </c>
      <c r="T143" s="56">
        <v>1.3209426743643624</v>
      </c>
      <c r="U143" s="57">
        <v>1.2009997367858887</v>
      </c>
      <c r="V143" s="215">
        <v>0.393976687466909</v>
      </c>
      <c r="W143" s="494">
        <v>0.2680768367348571</v>
      </c>
      <c r="X143" s="494">
        <v>0.33725088834762573</v>
      </c>
      <c r="Y143" s="59">
        <v>0</v>
      </c>
      <c r="Z143" s="60">
        <v>2</v>
      </c>
      <c r="AA143" s="61"/>
      <c r="AB143" s="62"/>
      <c r="AC143" s="39">
        <f t="shared" si="6"/>
        <v>44877.375</v>
      </c>
      <c r="AD143" s="495">
        <f t="shared" si="7"/>
        <v>44877.333333333328</v>
      </c>
      <c r="AE143" s="40">
        <f t="shared" si="8"/>
        <v>44877.291666666664</v>
      </c>
    </row>
    <row r="144" spans="1:31" ht="21" customHeight="1" thickBot="1" x14ac:dyDescent="0.3">
      <c r="A144" s="445">
        <v>16</v>
      </c>
      <c r="B144" s="220">
        <v>44877</v>
      </c>
      <c r="C144" s="228">
        <v>44877.520833333336</v>
      </c>
      <c r="D144" s="493">
        <v>44877.729166666664</v>
      </c>
      <c r="E144" s="493">
        <v>44877.770833333336</v>
      </c>
      <c r="F144" s="493">
        <v>44877.8125</v>
      </c>
      <c r="G144" s="258">
        <v>44877.854166666664</v>
      </c>
      <c r="H144" s="226" t="s">
        <v>259</v>
      </c>
      <c r="I144" s="223" t="s">
        <v>55</v>
      </c>
      <c r="J144" s="245" t="s">
        <v>12</v>
      </c>
      <c r="K144" s="497">
        <v>1</v>
      </c>
      <c r="L144" s="497">
        <v>0</v>
      </c>
      <c r="M144" s="250" t="s">
        <v>5</v>
      </c>
      <c r="N144" s="52">
        <v>45122.417974537035</v>
      </c>
      <c r="O144" s="53" t="s">
        <v>49</v>
      </c>
      <c r="P144" s="54" t="s">
        <v>603</v>
      </c>
      <c r="R144" s="210">
        <v>1</v>
      </c>
      <c r="S144" s="210">
        <v>1</v>
      </c>
      <c r="T144" s="56">
        <v>1.2266570499965121</v>
      </c>
      <c r="U144" s="57">
        <v>0.96942830085754395</v>
      </c>
      <c r="V144" s="215">
        <v>0.42008576782223933</v>
      </c>
      <c r="W144" s="494">
        <v>0.28844305452781327</v>
      </c>
      <c r="X144" s="494">
        <v>0.29111620783805847</v>
      </c>
      <c r="Y144" s="59">
        <v>1</v>
      </c>
      <c r="Z144" s="60">
        <v>0</v>
      </c>
      <c r="AA144" s="61"/>
      <c r="AB144" s="62"/>
      <c r="AC144" s="39">
        <f t="shared" si="6"/>
        <v>44877.479166666672</v>
      </c>
      <c r="AD144" s="495">
        <f t="shared" si="7"/>
        <v>44877.4375</v>
      </c>
      <c r="AE144" s="40">
        <f t="shared" si="8"/>
        <v>44877.395833333336</v>
      </c>
    </row>
    <row r="145" spans="1:31" ht="21" customHeight="1" thickBot="1" x14ac:dyDescent="0.3">
      <c r="A145" s="445">
        <v>16</v>
      </c>
      <c r="B145" s="220">
        <v>44877</v>
      </c>
      <c r="C145" s="228">
        <v>44877.614583333336</v>
      </c>
      <c r="D145" s="493">
        <v>44877.822916666664</v>
      </c>
      <c r="E145" s="493">
        <v>44877.864583333336</v>
      </c>
      <c r="F145" s="493">
        <v>44877.90625</v>
      </c>
      <c r="G145" s="258">
        <v>44877.947916666664</v>
      </c>
      <c r="H145" s="226" t="s">
        <v>338</v>
      </c>
      <c r="I145" s="223" t="s">
        <v>63</v>
      </c>
      <c r="J145" s="243" t="s">
        <v>16</v>
      </c>
      <c r="K145" s="497">
        <v>0</v>
      </c>
      <c r="L145" s="497">
        <v>2</v>
      </c>
      <c r="M145" s="248" t="s">
        <v>1</v>
      </c>
      <c r="N145" s="52">
        <v>45122.417974537035</v>
      </c>
      <c r="O145" s="53" t="s">
        <v>49</v>
      </c>
      <c r="P145" s="54" t="s">
        <v>603</v>
      </c>
      <c r="R145" s="210">
        <v>1</v>
      </c>
      <c r="S145" s="210">
        <v>2</v>
      </c>
      <c r="T145" s="56">
        <v>0.94709968566894531</v>
      </c>
      <c r="U145" s="57">
        <v>1.6979995965957642</v>
      </c>
      <c r="V145" s="215">
        <v>0.20933973194725433</v>
      </c>
      <c r="W145" s="494">
        <v>0.24016274229597323</v>
      </c>
      <c r="X145" s="494">
        <v>0.54857522249221802</v>
      </c>
      <c r="Y145" s="59">
        <v>0</v>
      </c>
      <c r="Z145" s="60">
        <v>2</v>
      </c>
      <c r="AA145" s="61"/>
      <c r="AB145" s="62"/>
      <c r="AC145" s="39">
        <f t="shared" si="6"/>
        <v>44877.572916666672</v>
      </c>
      <c r="AD145" s="495">
        <f t="shared" si="7"/>
        <v>44877.53125</v>
      </c>
      <c r="AE145" s="40">
        <f t="shared" si="8"/>
        <v>44877.489583333336</v>
      </c>
    </row>
    <row r="146" spans="1:31" ht="21" customHeight="1" thickBot="1" x14ac:dyDescent="0.3">
      <c r="A146" s="445">
        <v>16</v>
      </c>
      <c r="B146" s="220">
        <v>44878</v>
      </c>
      <c r="C146" s="228">
        <v>44878.375</v>
      </c>
      <c r="D146" s="493">
        <v>44878.583333333336</v>
      </c>
      <c r="E146" s="493">
        <v>44878.625</v>
      </c>
      <c r="F146" s="493">
        <v>44878.666666666664</v>
      </c>
      <c r="G146" s="258">
        <v>44878.708333333336</v>
      </c>
      <c r="H146" s="226" t="s">
        <v>353</v>
      </c>
      <c r="I146" s="223" t="s">
        <v>151</v>
      </c>
      <c r="J146" s="243" t="s">
        <v>4</v>
      </c>
      <c r="K146" s="497">
        <v>1</v>
      </c>
      <c r="L146" s="497">
        <v>2</v>
      </c>
      <c r="M146" s="248" t="s">
        <v>2</v>
      </c>
      <c r="N146" s="52">
        <v>45122.417974537035</v>
      </c>
      <c r="O146" s="53" t="s">
        <v>49</v>
      </c>
      <c r="P146" s="54" t="s">
        <v>603</v>
      </c>
      <c r="R146" s="210">
        <v>2</v>
      </c>
      <c r="S146" s="210">
        <v>1</v>
      </c>
      <c r="T146" s="56">
        <v>1.783099889755249</v>
      </c>
      <c r="U146" s="57">
        <v>1.2009997367858887</v>
      </c>
      <c r="V146" s="215">
        <v>0.50782899384485591</v>
      </c>
      <c r="W146" s="494">
        <v>0.23272368142498986</v>
      </c>
      <c r="X146" s="494">
        <v>0.25675559043884277</v>
      </c>
      <c r="Y146" s="59">
        <v>1</v>
      </c>
      <c r="Z146" s="60">
        <v>2</v>
      </c>
      <c r="AA146" s="61"/>
      <c r="AB146" s="62"/>
      <c r="AC146" s="39">
        <f t="shared" si="6"/>
        <v>44878.333333333336</v>
      </c>
      <c r="AD146" s="495">
        <f t="shared" si="7"/>
        <v>44878.291666666664</v>
      </c>
      <c r="AE146" s="40">
        <f t="shared" si="8"/>
        <v>44878.25</v>
      </c>
    </row>
    <row r="147" spans="1:31" ht="21" customHeight="1" thickBot="1" x14ac:dyDescent="0.3">
      <c r="A147" s="445">
        <v>16</v>
      </c>
      <c r="B147" s="220">
        <v>44878</v>
      </c>
      <c r="C147" s="228">
        <v>44878.479166666664</v>
      </c>
      <c r="D147" s="493">
        <v>44878.6875</v>
      </c>
      <c r="E147" s="493">
        <v>44878.729166666664</v>
      </c>
      <c r="F147" s="493">
        <v>44878.770833333336</v>
      </c>
      <c r="G147" s="258">
        <v>44878.8125</v>
      </c>
      <c r="H147" s="226" t="s">
        <v>475</v>
      </c>
      <c r="I147" s="223" t="s">
        <v>431</v>
      </c>
      <c r="J147" s="246" t="s">
        <v>126</v>
      </c>
      <c r="K147" s="497">
        <v>1</v>
      </c>
      <c r="L147" s="497">
        <v>2</v>
      </c>
      <c r="M147" s="251" t="s">
        <v>11</v>
      </c>
      <c r="N147" s="52">
        <v>45122.417974537035</v>
      </c>
      <c r="O147" s="53" t="s">
        <v>49</v>
      </c>
      <c r="P147" s="54" t="s">
        <v>603</v>
      </c>
      <c r="R147" s="210">
        <v>1</v>
      </c>
      <c r="S147" s="210">
        <v>2</v>
      </c>
      <c r="T147" s="56">
        <v>1.2990998029708862</v>
      </c>
      <c r="U147" s="57">
        <v>1.8109997510910034</v>
      </c>
      <c r="V147" s="215">
        <v>0.27494397728491671</v>
      </c>
      <c r="W147" s="494">
        <v>0.22996998787802389</v>
      </c>
      <c r="X147" s="494">
        <v>0.49202868342399597</v>
      </c>
      <c r="Y147" s="59">
        <v>1</v>
      </c>
      <c r="Z147" s="60">
        <v>2</v>
      </c>
      <c r="AA147" s="61"/>
      <c r="AB147" s="62"/>
      <c r="AC147" s="39">
        <f t="shared" si="6"/>
        <v>44878.4375</v>
      </c>
      <c r="AD147" s="495">
        <f t="shared" si="7"/>
        <v>44878.395833333328</v>
      </c>
      <c r="AE147" s="40">
        <f t="shared" si="8"/>
        <v>44878.354166666664</v>
      </c>
    </row>
    <row r="148" spans="1:31" ht="21" customHeight="1" thickBot="1" x14ac:dyDescent="0.3">
      <c r="A148" s="444">
        <v>17</v>
      </c>
      <c r="B148" s="219">
        <v>44921</v>
      </c>
      <c r="C148" s="230">
        <v>44921.3125</v>
      </c>
      <c r="D148" s="256">
        <v>44921.520833333336</v>
      </c>
      <c r="E148" s="256">
        <v>44921.5625</v>
      </c>
      <c r="F148" s="256">
        <v>44921.604166666664</v>
      </c>
      <c r="G148" s="257">
        <v>44921.645833333336</v>
      </c>
      <c r="H148" s="225" t="s">
        <v>394</v>
      </c>
      <c r="I148" s="222" t="s">
        <v>593</v>
      </c>
      <c r="J148" s="254" t="s">
        <v>125</v>
      </c>
      <c r="K148" s="497">
        <v>2</v>
      </c>
      <c r="L148" s="497">
        <v>2</v>
      </c>
      <c r="M148" s="255" t="s">
        <v>14</v>
      </c>
      <c r="N148" s="41">
        <v>45122.417974537035</v>
      </c>
      <c r="O148" s="42" t="s">
        <v>49</v>
      </c>
      <c r="P148" s="43" t="s">
        <v>603</v>
      </c>
      <c r="Q148" s="44"/>
      <c r="R148" s="212">
        <v>2</v>
      </c>
      <c r="S148" s="212">
        <v>2</v>
      </c>
      <c r="T148" s="45">
        <v>1.6290997266769409</v>
      </c>
      <c r="U148" s="46">
        <v>1.5609997510910034</v>
      </c>
      <c r="V148" s="213">
        <v>0.39581963101543544</v>
      </c>
      <c r="W148" s="214">
        <v>0.23453718253249162</v>
      </c>
      <c r="X148" s="214">
        <v>0.36700475215911865</v>
      </c>
      <c r="Y148" s="47">
        <v>2</v>
      </c>
      <c r="Z148" s="48">
        <v>2</v>
      </c>
      <c r="AA148" s="49"/>
      <c r="AB148" s="50"/>
      <c r="AC148" s="75">
        <f t="shared" si="6"/>
        <v>44921.270833333336</v>
      </c>
      <c r="AD148" s="76">
        <f t="shared" si="7"/>
        <v>44921.229166666664</v>
      </c>
      <c r="AE148" s="77">
        <f t="shared" si="8"/>
        <v>44921.1875</v>
      </c>
    </row>
    <row r="149" spans="1:31" ht="21" customHeight="1" thickBot="1" x14ac:dyDescent="0.3">
      <c r="A149" s="445">
        <v>17</v>
      </c>
      <c r="B149" s="220">
        <v>44921</v>
      </c>
      <c r="C149" s="228">
        <v>44921.416666666664</v>
      </c>
      <c r="D149" s="493">
        <v>44921.625</v>
      </c>
      <c r="E149" s="493">
        <v>44921.666666666664</v>
      </c>
      <c r="F149" s="493">
        <v>44921.708333333336</v>
      </c>
      <c r="G149" s="258">
        <v>44921.75</v>
      </c>
      <c r="H149" s="226" t="s">
        <v>478</v>
      </c>
      <c r="I149" s="223" t="s">
        <v>52</v>
      </c>
      <c r="J149" s="243" t="s">
        <v>6</v>
      </c>
      <c r="K149" s="497">
        <v>0</v>
      </c>
      <c r="L149" s="497">
        <v>3</v>
      </c>
      <c r="M149" s="248" t="s">
        <v>126</v>
      </c>
      <c r="N149" s="52">
        <v>45122.417974537035</v>
      </c>
      <c r="O149" s="53" t="s">
        <v>49</v>
      </c>
      <c r="P149" s="54" t="s">
        <v>603</v>
      </c>
      <c r="R149" s="210">
        <v>1</v>
      </c>
      <c r="S149" s="210">
        <v>1</v>
      </c>
      <c r="T149" s="56">
        <v>1.4310997724533081</v>
      </c>
      <c r="U149" s="57">
        <v>1.0509997606277466</v>
      </c>
      <c r="V149" s="215">
        <v>0.45698199283508012</v>
      </c>
      <c r="W149" s="494">
        <v>0.26521127341695477</v>
      </c>
      <c r="X149" s="494">
        <v>0.276987224817276</v>
      </c>
      <c r="Y149" s="59">
        <v>0</v>
      </c>
      <c r="Z149" s="60">
        <v>3</v>
      </c>
      <c r="AA149" s="61"/>
      <c r="AB149" s="62"/>
      <c r="AC149" s="39">
        <f t="shared" si="6"/>
        <v>44921.375</v>
      </c>
      <c r="AD149" s="495">
        <f t="shared" si="7"/>
        <v>44921.333333333328</v>
      </c>
      <c r="AE149" s="40">
        <f t="shared" si="8"/>
        <v>44921.291666666664</v>
      </c>
    </row>
    <row r="150" spans="1:31" ht="21" customHeight="1" thickBot="1" x14ac:dyDescent="0.3">
      <c r="A150" s="445">
        <v>17</v>
      </c>
      <c r="B150" s="220">
        <v>44921</v>
      </c>
      <c r="C150" s="228">
        <v>44921.416666666664</v>
      </c>
      <c r="D150" s="493">
        <v>44921.625</v>
      </c>
      <c r="E150" s="493">
        <v>44921.666666666664</v>
      </c>
      <c r="F150" s="493">
        <v>44921.708333333336</v>
      </c>
      <c r="G150" s="258">
        <v>44921.75</v>
      </c>
      <c r="H150" s="226" t="s">
        <v>368</v>
      </c>
      <c r="I150" s="223" t="s">
        <v>59</v>
      </c>
      <c r="J150" s="243" t="s">
        <v>7</v>
      </c>
      <c r="K150" s="497">
        <v>1</v>
      </c>
      <c r="L150" s="497">
        <v>2</v>
      </c>
      <c r="M150" s="248" t="s">
        <v>16</v>
      </c>
      <c r="N150" s="52">
        <v>45122.417974537035</v>
      </c>
      <c r="O150" s="53" t="s">
        <v>49</v>
      </c>
      <c r="P150" s="54" t="s">
        <v>603</v>
      </c>
      <c r="R150" s="210">
        <v>1</v>
      </c>
      <c r="S150" s="210">
        <v>1</v>
      </c>
      <c r="T150" s="56">
        <v>1.222099781036377</v>
      </c>
      <c r="U150" s="57">
        <v>1.3209997415542603</v>
      </c>
      <c r="V150" s="215">
        <v>0.34285673329718613</v>
      </c>
      <c r="W150" s="494">
        <v>0.26695619403289239</v>
      </c>
      <c r="X150" s="494">
        <v>0.38946384191513062</v>
      </c>
      <c r="Y150" s="59">
        <v>1</v>
      </c>
      <c r="Z150" s="60">
        <v>2</v>
      </c>
      <c r="AA150" s="61"/>
      <c r="AB150" s="62"/>
      <c r="AC150" s="39">
        <f t="shared" si="6"/>
        <v>44921.375</v>
      </c>
      <c r="AD150" s="495">
        <f t="shared" si="7"/>
        <v>44921.333333333328</v>
      </c>
      <c r="AE150" s="40">
        <f t="shared" si="8"/>
        <v>44921.291666666664</v>
      </c>
    </row>
    <row r="151" spans="1:31" ht="21" customHeight="1" thickBot="1" x14ac:dyDescent="0.3">
      <c r="A151" s="445">
        <v>17</v>
      </c>
      <c r="B151" s="220">
        <v>44921</v>
      </c>
      <c r="C151" s="228">
        <v>44921.416666666664</v>
      </c>
      <c r="D151" s="493">
        <v>44921.625</v>
      </c>
      <c r="E151" s="493">
        <v>44921.666666666664</v>
      </c>
      <c r="F151" s="493">
        <v>44921.708333333336</v>
      </c>
      <c r="G151" s="258">
        <v>44921.75</v>
      </c>
      <c r="H151" s="226" t="s">
        <v>292</v>
      </c>
      <c r="I151" s="223" t="s">
        <v>54</v>
      </c>
      <c r="J151" s="246" t="s">
        <v>8</v>
      </c>
      <c r="K151" s="497">
        <v>0</v>
      </c>
      <c r="L151" s="497">
        <v>3</v>
      </c>
      <c r="M151" s="251" t="s">
        <v>12</v>
      </c>
      <c r="N151" s="52">
        <v>45122.417974537035</v>
      </c>
      <c r="O151" s="53" t="s">
        <v>49</v>
      </c>
      <c r="P151" s="54" t="s">
        <v>603</v>
      </c>
      <c r="R151" s="210">
        <v>1</v>
      </c>
      <c r="S151" s="210">
        <v>2</v>
      </c>
      <c r="T151" s="56">
        <v>1.1340998411178589</v>
      </c>
      <c r="U151" s="57">
        <v>1.6709998846054077</v>
      </c>
      <c r="V151" s="215">
        <v>0.25839333654808305</v>
      </c>
      <c r="W151" s="494">
        <v>0.24237464344955217</v>
      </c>
      <c r="X151" s="494">
        <v>0.49734947085380554</v>
      </c>
      <c r="Y151" s="59">
        <v>0</v>
      </c>
      <c r="Z151" s="60">
        <v>3</v>
      </c>
      <c r="AA151" s="61"/>
      <c r="AB151" s="62"/>
      <c r="AC151" s="39">
        <f t="shared" si="6"/>
        <v>44921.375</v>
      </c>
      <c r="AD151" s="495">
        <f t="shared" si="7"/>
        <v>44921.333333333328</v>
      </c>
      <c r="AE151" s="40">
        <f t="shared" si="8"/>
        <v>44921.291666666664</v>
      </c>
    </row>
    <row r="152" spans="1:31" ht="21" customHeight="1" thickBot="1" x14ac:dyDescent="0.3">
      <c r="A152" s="445">
        <v>17</v>
      </c>
      <c r="B152" s="220">
        <v>44921</v>
      </c>
      <c r="C152" s="228">
        <v>44921.416666666664</v>
      </c>
      <c r="D152" s="493">
        <v>44921.625</v>
      </c>
      <c r="E152" s="493">
        <v>44921.666666666664</v>
      </c>
      <c r="F152" s="493">
        <v>44921.708333333336</v>
      </c>
      <c r="G152" s="258">
        <v>44921.75</v>
      </c>
      <c r="H152" s="226" t="s">
        <v>287</v>
      </c>
      <c r="I152" s="223" t="s">
        <v>60</v>
      </c>
      <c r="J152" s="243" t="s">
        <v>13</v>
      </c>
      <c r="K152" s="497">
        <v>1</v>
      </c>
      <c r="L152" s="497">
        <v>3</v>
      </c>
      <c r="M152" s="248" t="s">
        <v>4</v>
      </c>
      <c r="N152" s="52">
        <v>45122.417974537035</v>
      </c>
      <c r="O152" s="53" t="s">
        <v>49</v>
      </c>
      <c r="P152" s="54" t="s">
        <v>603</v>
      </c>
      <c r="R152" s="210">
        <v>1</v>
      </c>
      <c r="S152" s="210">
        <v>2</v>
      </c>
      <c r="T152" s="56">
        <v>0.84809976816177368</v>
      </c>
      <c r="U152" s="57">
        <v>1.9309998750686646</v>
      </c>
      <c r="V152" s="215">
        <v>0.15812526003110264</v>
      </c>
      <c r="W152" s="494">
        <v>0.21382391360719175</v>
      </c>
      <c r="X152" s="494">
        <v>0.62426155805587769</v>
      </c>
      <c r="Y152" s="59">
        <v>1</v>
      </c>
      <c r="Z152" s="60">
        <v>3</v>
      </c>
      <c r="AA152" s="61"/>
      <c r="AB152" s="62"/>
      <c r="AC152" s="39">
        <f t="shared" si="6"/>
        <v>44921.375</v>
      </c>
      <c r="AD152" s="495">
        <f t="shared" si="7"/>
        <v>44921.333333333328</v>
      </c>
      <c r="AE152" s="40">
        <f t="shared" si="8"/>
        <v>44921.291666666664</v>
      </c>
    </row>
    <row r="153" spans="1:31" ht="21" customHeight="1" thickBot="1" x14ac:dyDescent="0.3">
      <c r="A153" s="445">
        <v>17</v>
      </c>
      <c r="B153" s="220">
        <v>44921</v>
      </c>
      <c r="C153" s="228">
        <v>44921.520833333336</v>
      </c>
      <c r="D153" s="493">
        <v>44921.729166666664</v>
      </c>
      <c r="E153" s="493">
        <v>44921.770833333336</v>
      </c>
      <c r="F153" s="493">
        <v>44921.8125</v>
      </c>
      <c r="G153" s="258">
        <v>44921.854166666664</v>
      </c>
      <c r="H153" s="226" t="s">
        <v>193</v>
      </c>
      <c r="I153" s="223" t="s">
        <v>58</v>
      </c>
      <c r="J153" s="245" t="s">
        <v>2</v>
      </c>
      <c r="K153" s="497">
        <v>1</v>
      </c>
      <c r="L153" s="497">
        <v>3</v>
      </c>
      <c r="M153" s="250" t="s">
        <v>9</v>
      </c>
      <c r="N153" s="52">
        <v>45122.417974537035</v>
      </c>
      <c r="O153" s="53" t="s">
        <v>49</v>
      </c>
      <c r="P153" s="54" t="s">
        <v>603</v>
      </c>
      <c r="R153" s="210">
        <v>1</v>
      </c>
      <c r="S153" s="210">
        <v>2</v>
      </c>
      <c r="T153" s="56">
        <v>1.3540997505187988</v>
      </c>
      <c r="U153" s="57">
        <v>1.8509999513626099</v>
      </c>
      <c r="V153" s="215">
        <v>0.28103089065171077</v>
      </c>
      <c r="W153" s="494">
        <v>0.22671191311324851</v>
      </c>
      <c r="X153" s="494">
        <v>0.48875421285629272</v>
      </c>
      <c r="Y153" s="59">
        <v>1</v>
      </c>
      <c r="Z153" s="60">
        <v>3</v>
      </c>
      <c r="AA153" s="61"/>
      <c r="AB153" s="62"/>
      <c r="AC153" s="39">
        <f t="shared" si="6"/>
        <v>44921.479166666672</v>
      </c>
      <c r="AD153" s="495">
        <f t="shared" si="7"/>
        <v>44921.4375</v>
      </c>
      <c r="AE153" s="40">
        <f t="shared" si="8"/>
        <v>44921.395833333336</v>
      </c>
    </row>
    <row r="154" spans="1:31" ht="21" customHeight="1" thickBot="1" x14ac:dyDescent="0.3">
      <c r="A154" s="445">
        <v>17</v>
      </c>
      <c r="B154" s="220">
        <v>44921</v>
      </c>
      <c r="C154" s="228">
        <v>44921.625</v>
      </c>
      <c r="D154" s="493">
        <v>44921.833333333336</v>
      </c>
      <c r="E154" s="493">
        <v>44921.875</v>
      </c>
      <c r="F154" s="493">
        <v>44921.916666666664</v>
      </c>
      <c r="G154" s="258">
        <v>44921.958333333336</v>
      </c>
      <c r="H154" s="226" t="s">
        <v>294</v>
      </c>
      <c r="I154" s="223" t="s">
        <v>57</v>
      </c>
      <c r="J154" s="245" t="s">
        <v>1</v>
      </c>
      <c r="K154" s="497">
        <v>3</v>
      </c>
      <c r="L154" s="497">
        <v>1</v>
      </c>
      <c r="M154" s="250" t="s">
        <v>15</v>
      </c>
      <c r="N154" s="52">
        <v>45122.417974537035</v>
      </c>
      <c r="O154" s="53" t="s">
        <v>49</v>
      </c>
      <c r="P154" s="54" t="s">
        <v>603</v>
      </c>
      <c r="R154" s="210">
        <v>2</v>
      </c>
      <c r="S154" s="210">
        <v>1</v>
      </c>
      <c r="T154" s="56">
        <v>2.0690996646881104</v>
      </c>
      <c r="U154" s="57">
        <v>1.1209996938705444</v>
      </c>
      <c r="V154" s="215">
        <v>0.5864365833403572</v>
      </c>
      <c r="W154" s="494">
        <v>0.20856703455919093</v>
      </c>
      <c r="X154" s="494">
        <v>0.19940625131130219</v>
      </c>
      <c r="Y154" s="59">
        <v>3</v>
      </c>
      <c r="Z154" s="60">
        <v>1</v>
      </c>
      <c r="AA154" s="61"/>
      <c r="AB154" s="62"/>
      <c r="AC154" s="39">
        <f t="shared" si="6"/>
        <v>44921.583333333336</v>
      </c>
      <c r="AD154" s="495">
        <f t="shared" si="7"/>
        <v>44921.541666666664</v>
      </c>
      <c r="AE154" s="40">
        <f t="shared" si="8"/>
        <v>44921.5</v>
      </c>
    </row>
    <row r="155" spans="1:31" ht="21" customHeight="1" thickBot="1" x14ac:dyDescent="0.3">
      <c r="A155" s="445">
        <v>17</v>
      </c>
      <c r="B155" s="220">
        <v>44922</v>
      </c>
      <c r="C155" s="228">
        <v>44922.520833333336</v>
      </c>
      <c r="D155" s="493">
        <v>44922.729166666664</v>
      </c>
      <c r="E155" s="493">
        <v>44922.770833333336</v>
      </c>
      <c r="F155" s="493">
        <v>44922.8125</v>
      </c>
      <c r="G155" s="258">
        <v>44922.854166666664</v>
      </c>
      <c r="H155" s="226" t="s">
        <v>477</v>
      </c>
      <c r="I155" s="223" t="s">
        <v>62</v>
      </c>
      <c r="J155" s="246" t="s">
        <v>5</v>
      </c>
      <c r="K155" s="497">
        <v>2</v>
      </c>
      <c r="L155" s="497">
        <v>0</v>
      </c>
      <c r="M155" s="251" t="s">
        <v>3</v>
      </c>
      <c r="N155" s="52">
        <v>45122.417974537035</v>
      </c>
      <c r="O155" s="53" t="s">
        <v>49</v>
      </c>
      <c r="P155" s="54" t="s">
        <v>603</v>
      </c>
      <c r="R155" s="210">
        <v>2</v>
      </c>
      <c r="S155" s="210">
        <v>1</v>
      </c>
      <c r="T155" s="56">
        <v>1.8380998373031616</v>
      </c>
      <c r="U155" s="57">
        <v>0.8409997820854187</v>
      </c>
      <c r="V155" s="215">
        <v>0.60661030123646154</v>
      </c>
      <c r="W155" s="494">
        <v>0.22347098329803541</v>
      </c>
      <c r="X155" s="494">
        <v>0.16700993478298187</v>
      </c>
      <c r="Y155" s="59">
        <v>2</v>
      </c>
      <c r="Z155" s="60">
        <v>0</v>
      </c>
      <c r="AA155" s="61"/>
      <c r="AB155" s="62"/>
      <c r="AC155" s="39">
        <f t="shared" si="6"/>
        <v>44922.479166666672</v>
      </c>
      <c r="AD155" s="495">
        <f t="shared" si="7"/>
        <v>44922.4375</v>
      </c>
      <c r="AE155" s="40">
        <f t="shared" si="8"/>
        <v>44922.395833333336</v>
      </c>
    </row>
    <row r="156" spans="1:31" ht="21" customHeight="1" thickBot="1" x14ac:dyDescent="0.3">
      <c r="A156" s="445">
        <v>17</v>
      </c>
      <c r="B156" s="220">
        <v>44922</v>
      </c>
      <c r="C156" s="228">
        <v>44922.625</v>
      </c>
      <c r="D156" s="493">
        <v>44922.833333333336</v>
      </c>
      <c r="E156" s="493">
        <v>44922.875</v>
      </c>
      <c r="F156" s="493">
        <v>44922.916666666664</v>
      </c>
      <c r="G156" s="258">
        <v>44922.958333333336</v>
      </c>
      <c r="H156" s="226" t="s">
        <v>479</v>
      </c>
      <c r="I156" s="223" t="s">
        <v>56</v>
      </c>
      <c r="J156" s="243" t="s">
        <v>11</v>
      </c>
      <c r="K156" s="497">
        <v>3</v>
      </c>
      <c r="L156" s="497">
        <v>0</v>
      </c>
      <c r="M156" s="248" t="s">
        <v>204</v>
      </c>
      <c r="N156" s="52">
        <v>45122.417974537035</v>
      </c>
      <c r="O156" s="53" t="s">
        <v>49</v>
      </c>
      <c r="P156" s="54" t="s">
        <v>603</v>
      </c>
      <c r="R156" s="210">
        <v>2</v>
      </c>
      <c r="S156" s="210">
        <v>1</v>
      </c>
      <c r="T156" s="56">
        <v>2.2450997829437256</v>
      </c>
      <c r="U156" s="57">
        <v>0.83099973201751709</v>
      </c>
      <c r="V156" s="215">
        <v>0.68594074435472219</v>
      </c>
      <c r="W156" s="494">
        <v>0.18173815802392976</v>
      </c>
      <c r="X156" s="494">
        <v>0.12401557713747025</v>
      </c>
      <c r="Y156" s="59">
        <v>3</v>
      </c>
      <c r="Z156" s="60">
        <v>0</v>
      </c>
      <c r="AA156" s="61"/>
      <c r="AB156" s="62"/>
      <c r="AC156" s="39">
        <f t="shared" si="6"/>
        <v>44922.583333333336</v>
      </c>
      <c r="AD156" s="495">
        <f t="shared" si="7"/>
        <v>44922.541666666664</v>
      </c>
      <c r="AE156" s="40">
        <f t="shared" si="8"/>
        <v>44922.5</v>
      </c>
    </row>
    <row r="157" spans="1:31" ht="21" customHeight="1" thickBot="1" x14ac:dyDescent="0.3">
      <c r="A157" s="445">
        <v>17</v>
      </c>
      <c r="B157" s="220">
        <v>44923</v>
      </c>
      <c r="C157" s="228">
        <v>44923.625</v>
      </c>
      <c r="D157" s="493">
        <v>44923.833333333336</v>
      </c>
      <c r="E157" s="493">
        <v>44923.875</v>
      </c>
      <c r="F157" s="493">
        <v>44923.916666666664</v>
      </c>
      <c r="G157" s="258">
        <v>44923.958333333336</v>
      </c>
      <c r="H157" s="226" t="s">
        <v>399</v>
      </c>
      <c r="I157" s="223" t="s">
        <v>140</v>
      </c>
      <c r="J157" s="243" t="s">
        <v>139</v>
      </c>
      <c r="K157" s="497">
        <v>1</v>
      </c>
      <c r="L157" s="497">
        <v>3</v>
      </c>
      <c r="M157" s="248" t="s">
        <v>10</v>
      </c>
      <c r="N157" s="52">
        <v>45122.417974537035</v>
      </c>
      <c r="O157" s="53" t="s">
        <v>49</v>
      </c>
      <c r="P157" s="54" t="s">
        <v>603</v>
      </c>
      <c r="R157" s="210">
        <v>1</v>
      </c>
      <c r="S157" s="210">
        <v>3</v>
      </c>
      <c r="T157" s="56">
        <v>0.87009978294372559</v>
      </c>
      <c r="U157" s="57">
        <v>2.6909997463226318</v>
      </c>
      <c r="V157" s="215">
        <v>9.611861889346926E-2</v>
      </c>
      <c r="W157" s="494">
        <v>0.14561658605824426</v>
      </c>
      <c r="X157" s="494">
        <v>0.73798459768295288</v>
      </c>
      <c r="Y157" s="59">
        <v>1</v>
      </c>
      <c r="Z157" s="60">
        <v>3</v>
      </c>
      <c r="AA157" s="61"/>
      <c r="AB157" s="62"/>
      <c r="AC157" s="39">
        <f t="shared" si="6"/>
        <v>44923.583333333336</v>
      </c>
      <c r="AD157" s="495">
        <f t="shared" si="7"/>
        <v>44923.541666666664</v>
      </c>
      <c r="AE157" s="40">
        <f t="shared" si="8"/>
        <v>44923.5</v>
      </c>
    </row>
    <row r="158" spans="1:31" ht="21" customHeight="1" thickBot="1" x14ac:dyDescent="0.3">
      <c r="A158" s="444">
        <v>18</v>
      </c>
      <c r="B158" s="219">
        <v>44925</v>
      </c>
      <c r="C158" s="230">
        <v>44925.614583333336</v>
      </c>
      <c r="D158" s="256">
        <v>44925.822916666664</v>
      </c>
      <c r="E158" s="256">
        <v>44925.864583333336</v>
      </c>
      <c r="F158" s="256">
        <v>44925.90625</v>
      </c>
      <c r="G158" s="257">
        <v>44925.947916666664</v>
      </c>
      <c r="H158" s="225" t="s">
        <v>242</v>
      </c>
      <c r="I158" s="222" t="s">
        <v>50</v>
      </c>
      <c r="J158" s="254" t="s">
        <v>15</v>
      </c>
      <c r="K158" s="497">
        <v>0</v>
      </c>
      <c r="L158" s="497">
        <v>2</v>
      </c>
      <c r="M158" s="255" t="s">
        <v>125</v>
      </c>
      <c r="N158" s="41">
        <v>45122.417974537035</v>
      </c>
      <c r="O158" s="42" t="s">
        <v>49</v>
      </c>
      <c r="P158" s="43" t="s">
        <v>603</v>
      </c>
      <c r="Q158" s="44"/>
      <c r="R158" s="212">
        <v>1</v>
      </c>
      <c r="S158" s="212">
        <v>1</v>
      </c>
      <c r="T158" s="45">
        <v>0.81148556300571983</v>
      </c>
      <c r="U158" s="46">
        <v>0.7891426682472229</v>
      </c>
      <c r="V158" s="213">
        <v>0.32977172260628806</v>
      </c>
      <c r="W158" s="214">
        <v>0.35319650196875219</v>
      </c>
      <c r="X158" s="214">
        <v>0.31699001789093018</v>
      </c>
      <c r="Y158" s="47">
        <v>0</v>
      </c>
      <c r="Z158" s="48">
        <v>2</v>
      </c>
      <c r="AA158" s="49"/>
      <c r="AB158" s="50"/>
      <c r="AC158" s="75">
        <f t="shared" si="6"/>
        <v>44925.572916666672</v>
      </c>
      <c r="AD158" s="76">
        <f t="shared" si="7"/>
        <v>44925.53125</v>
      </c>
      <c r="AE158" s="77">
        <f t="shared" si="8"/>
        <v>44925.489583333336</v>
      </c>
    </row>
    <row r="159" spans="1:31" ht="21" customHeight="1" thickBot="1" x14ac:dyDescent="0.3">
      <c r="A159" s="445">
        <v>18</v>
      </c>
      <c r="B159" s="220">
        <v>44925</v>
      </c>
      <c r="C159" s="228">
        <v>44925.625</v>
      </c>
      <c r="D159" s="493">
        <v>44925.833333333336</v>
      </c>
      <c r="E159" s="493">
        <v>44925.875</v>
      </c>
      <c r="F159" s="493">
        <v>44925.916666666664</v>
      </c>
      <c r="G159" s="258">
        <v>44925.958333333336</v>
      </c>
      <c r="H159" s="226" t="s">
        <v>341</v>
      </c>
      <c r="I159" s="223" t="s">
        <v>48</v>
      </c>
      <c r="J159" s="246" t="s">
        <v>9</v>
      </c>
      <c r="K159" s="497">
        <v>2</v>
      </c>
      <c r="L159" s="497">
        <v>1</v>
      </c>
      <c r="M159" s="251" t="s">
        <v>8</v>
      </c>
      <c r="N159" s="52">
        <v>45122.417974537035</v>
      </c>
      <c r="O159" s="53" t="s">
        <v>49</v>
      </c>
      <c r="P159" s="54" t="s">
        <v>603</v>
      </c>
      <c r="R159" s="210">
        <v>1</v>
      </c>
      <c r="S159" s="210">
        <v>0</v>
      </c>
      <c r="T159" s="56">
        <v>1.3394857134137834</v>
      </c>
      <c r="U159" s="57">
        <v>0.62914270162582397</v>
      </c>
      <c r="V159" s="215">
        <v>0.53986782180657411</v>
      </c>
      <c r="W159" s="494">
        <v>0.28457605647638845</v>
      </c>
      <c r="X159" s="494">
        <v>0.17507056891918182</v>
      </c>
      <c r="Y159" s="59">
        <v>2</v>
      </c>
      <c r="Z159" s="60">
        <v>1</v>
      </c>
      <c r="AA159" s="61"/>
      <c r="AB159" s="62"/>
      <c r="AC159" s="39">
        <f t="shared" si="6"/>
        <v>44925.583333333336</v>
      </c>
      <c r="AD159" s="495">
        <f t="shared" si="7"/>
        <v>44925.541666666664</v>
      </c>
      <c r="AE159" s="40">
        <f t="shared" si="8"/>
        <v>44925.5</v>
      </c>
    </row>
    <row r="160" spans="1:31" ht="21" customHeight="1" thickBot="1" x14ac:dyDescent="0.3">
      <c r="A160" s="445">
        <v>18</v>
      </c>
      <c r="B160" s="220">
        <v>44926</v>
      </c>
      <c r="C160" s="228">
        <v>44926.3125</v>
      </c>
      <c r="D160" s="493">
        <v>44926.520833333336</v>
      </c>
      <c r="E160" s="493">
        <v>44926.5625</v>
      </c>
      <c r="F160" s="493">
        <v>44926.604166666664</v>
      </c>
      <c r="G160" s="258">
        <v>44926.645833333336</v>
      </c>
      <c r="H160" s="226" t="s">
        <v>218</v>
      </c>
      <c r="I160" s="223" t="s">
        <v>63</v>
      </c>
      <c r="J160" s="245" t="s">
        <v>16</v>
      </c>
      <c r="K160" s="497">
        <v>0</v>
      </c>
      <c r="L160" s="497">
        <v>1</v>
      </c>
      <c r="M160" s="250" t="s">
        <v>11</v>
      </c>
      <c r="N160" s="52">
        <v>45122.417974537035</v>
      </c>
      <c r="O160" s="53" t="s">
        <v>49</v>
      </c>
      <c r="P160" s="54" t="s">
        <v>603</v>
      </c>
      <c r="R160" s="210">
        <v>0</v>
      </c>
      <c r="S160" s="210">
        <v>1</v>
      </c>
      <c r="T160" s="56">
        <v>0.77078546796526226</v>
      </c>
      <c r="U160" s="57">
        <v>0.97199976444244385</v>
      </c>
      <c r="V160" s="215">
        <v>0.27796550106455392</v>
      </c>
      <c r="W160" s="494">
        <v>0.33287186577225736</v>
      </c>
      <c r="X160" s="494">
        <v>0.38907632231712341</v>
      </c>
      <c r="Y160" s="59">
        <v>0</v>
      </c>
      <c r="Z160" s="60">
        <v>1</v>
      </c>
      <c r="AA160" s="61"/>
      <c r="AB160" s="62"/>
      <c r="AC160" s="39">
        <f t="shared" si="6"/>
        <v>44926.270833333336</v>
      </c>
      <c r="AD160" s="495">
        <f t="shared" si="7"/>
        <v>44926.229166666664</v>
      </c>
      <c r="AE160" s="40">
        <f t="shared" si="8"/>
        <v>44926.1875</v>
      </c>
    </row>
    <row r="161" spans="1:31" ht="21" customHeight="1" thickBot="1" x14ac:dyDescent="0.3">
      <c r="A161" s="445">
        <v>18</v>
      </c>
      <c r="B161" s="220">
        <v>44926</v>
      </c>
      <c r="C161" s="228">
        <v>44926.416666666664</v>
      </c>
      <c r="D161" s="493">
        <v>44926.625</v>
      </c>
      <c r="E161" s="493">
        <v>44926.666666666664</v>
      </c>
      <c r="F161" s="493">
        <v>44926.708333333336</v>
      </c>
      <c r="G161" s="258">
        <v>44926.75</v>
      </c>
      <c r="H161" s="226" t="s">
        <v>480</v>
      </c>
      <c r="I161" s="223" t="s">
        <v>51</v>
      </c>
      <c r="J161" s="246" t="s">
        <v>3</v>
      </c>
      <c r="K161" s="497">
        <v>0</v>
      </c>
      <c r="L161" s="497">
        <v>2</v>
      </c>
      <c r="M161" s="251" t="s">
        <v>6</v>
      </c>
      <c r="N161" s="52">
        <v>45122.417974537035</v>
      </c>
      <c r="O161" s="53" t="s">
        <v>49</v>
      </c>
      <c r="P161" s="54" t="s">
        <v>603</v>
      </c>
      <c r="R161" s="210">
        <v>0</v>
      </c>
      <c r="S161" s="210">
        <v>1</v>
      </c>
      <c r="T161" s="56">
        <v>0.57891416549682617</v>
      </c>
      <c r="U161" s="57">
        <v>1.0435712337493896</v>
      </c>
      <c r="V161" s="215">
        <v>0.20130139353436768</v>
      </c>
      <c r="W161" s="494">
        <v>0.335937315010649</v>
      </c>
      <c r="X161" s="494">
        <v>0.46265062689781189</v>
      </c>
      <c r="Y161" s="59">
        <v>0</v>
      </c>
      <c r="Z161" s="60">
        <v>2</v>
      </c>
      <c r="AA161" s="61"/>
      <c r="AB161" s="62"/>
      <c r="AC161" s="39">
        <f t="shared" si="6"/>
        <v>44926.375</v>
      </c>
      <c r="AD161" s="495">
        <f t="shared" si="7"/>
        <v>44926.333333333328</v>
      </c>
      <c r="AE161" s="40">
        <f t="shared" si="8"/>
        <v>44926.291666666664</v>
      </c>
    </row>
    <row r="162" spans="1:31" ht="21" customHeight="1" thickBot="1" x14ac:dyDescent="0.3">
      <c r="A162" s="445">
        <v>18</v>
      </c>
      <c r="B162" s="220">
        <v>44926</v>
      </c>
      <c r="C162" s="228">
        <v>44926.416666666664</v>
      </c>
      <c r="D162" s="493">
        <v>44926.625</v>
      </c>
      <c r="E162" s="493">
        <v>44926.666666666664</v>
      </c>
      <c r="F162" s="493">
        <v>44926.708333333336</v>
      </c>
      <c r="G162" s="258">
        <v>44926.75</v>
      </c>
      <c r="H162" s="226" t="s">
        <v>481</v>
      </c>
      <c r="I162" s="223" t="s">
        <v>431</v>
      </c>
      <c r="J162" s="245" t="s">
        <v>126</v>
      </c>
      <c r="K162" s="497">
        <v>2</v>
      </c>
      <c r="L162" s="497">
        <v>1</v>
      </c>
      <c r="M162" s="250" t="s">
        <v>13</v>
      </c>
      <c r="N162" s="52">
        <v>45122.417974537035</v>
      </c>
      <c r="O162" s="53" t="s">
        <v>49</v>
      </c>
      <c r="P162" s="54" t="s">
        <v>603</v>
      </c>
      <c r="R162" s="210">
        <v>1</v>
      </c>
      <c r="S162" s="210">
        <v>0</v>
      </c>
      <c r="T162" s="56">
        <v>1.0772141388484411</v>
      </c>
      <c r="U162" s="57">
        <v>0.79357123374938965</v>
      </c>
      <c r="V162" s="215">
        <v>0.41758560017194002</v>
      </c>
      <c r="W162" s="494">
        <v>0.31660617412123271</v>
      </c>
      <c r="X162" s="494">
        <v>0.26565742492675781</v>
      </c>
      <c r="Y162" s="59">
        <v>2</v>
      </c>
      <c r="Z162" s="60">
        <v>1</v>
      </c>
      <c r="AA162" s="61"/>
      <c r="AB162" s="62"/>
      <c r="AC162" s="39">
        <f t="shared" si="6"/>
        <v>44926.375</v>
      </c>
      <c r="AD162" s="495">
        <f t="shared" si="7"/>
        <v>44926.333333333328</v>
      </c>
      <c r="AE162" s="40">
        <f t="shared" si="8"/>
        <v>44926.291666666664</v>
      </c>
    </row>
    <row r="163" spans="1:31" ht="21" customHeight="1" thickBot="1" x14ac:dyDescent="0.3">
      <c r="A163" s="445">
        <v>18</v>
      </c>
      <c r="B163" s="220">
        <v>44926</v>
      </c>
      <c r="C163" s="228">
        <v>44926.416666666664</v>
      </c>
      <c r="D163" s="493">
        <v>44926.625</v>
      </c>
      <c r="E163" s="493">
        <v>44926.666666666664</v>
      </c>
      <c r="F163" s="493">
        <v>44926.708333333336</v>
      </c>
      <c r="G163" s="258">
        <v>44926.75</v>
      </c>
      <c r="H163" s="226" t="s">
        <v>270</v>
      </c>
      <c r="I163" s="223" t="s">
        <v>61</v>
      </c>
      <c r="J163" s="243" t="s">
        <v>10</v>
      </c>
      <c r="K163" s="497">
        <v>1</v>
      </c>
      <c r="L163" s="497">
        <v>1</v>
      </c>
      <c r="M163" s="248" t="s">
        <v>7</v>
      </c>
      <c r="N163" s="52">
        <v>45122.417974537035</v>
      </c>
      <c r="O163" s="53" t="s">
        <v>49</v>
      </c>
      <c r="P163" s="54" t="s">
        <v>603</v>
      </c>
      <c r="R163" s="210">
        <v>1</v>
      </c>
      <c r="S163" s="210">
        <v>0</v>
      </c>
      <c r="T163" s="56">
        <v>1.2403285503387451</v>
      </c>
      <c r="U163" s="57">
        <v>0.43642845749855042</v>
      </c>
      <c r="V163" s="215">
        <v>0.56662631839625766</v>
      </c>
      <c r="W163" s="494">
        <v>0.30274360935008854</v>
      </c>
      <c r="X163" s="494">
        <v>0.13032394647598267</v>
      </c>
      <c r="Y163" s="59">
        <v>1</v>
      </c>
      <c r="Z163" s="60">
        <v>1</v>
      </c>
      <c r="AA163" s="61"/>
      <c r="AB163" s="62"/>
      <c r="AC163" s="39">
        <f t="shared" si="6"/>
        <v>44926.375</v>
      </c>
      <c r="AD163" s="495">
        <f t="shared" si="7"/>
        <v>44926.333333333328</v>
      </c>
      <c r="AE163" s="40">
        <f t="shared" si="8"/>
        <v>44926.291666666664</v>
      </c>
    </row>
    <row r="164" spans="1:31" ht="21" customHeight="1" thickBot="1" x14ac:dyDescent="0.3">
      <c r="A164" s="445">
        <v>18</v>
      </c>
      <c r="B164" s="220">
        <v>44926</v>
      </c>
      <c r="C164" s="228">
        <v>44926.416666666664</v>
      </c>
      <c r="D164" s="493">
        <v>44926.625</v>
      </c>
      <c r="E164" s="493">
        <v>44926.666666666664</v>
      </c>
      <c r="F164" s="493">
        <v>44926.708333333336</v>
      </c>
      <c r="G164" s="258">
        <v>44926.75</v>
      </c>
      <c r="H164" s="226" t="s">
        <v>227</v>
      </c>
      <c r="I164" s="223" t="s">
        <v>55</v>
      </c>
      <c r="J164" s="243" t="s">
        <v>12</v>
      </c>
      <c r="K164" s="497">
        <v>0</v>
      </c>
      <c r="L164" s="497">
        <v>0</v>
      </c>
      <c r="M164" s="248" t="s">
        <v>139</v>
      </c>
      <c r="N164" s="52">
        <v>45122.417974537035</v>
      </c>
      <c r="O164" s="53" t="s">
        <v>49</v>
      </c>
      <c r="P164" s="54" t="s">
        <v>603</v>
      </c>
      <c r="R164" s="210">
        <v>2</v>
      </c>
      <c r="S164" s="210">
        <v>0</v>
      </c>
      <c r="T164" s="56">
        <v>1.5014999253409249</v>
      </c>
      <c r="U164" s="57">
        <v>0.43757134675979614</v>
      </c>
      <c r="V164" s="215">
        <v>0.63833852487282761</v>
      </c>
      <c r="W164" s="494">
        <v>0.25504400812526468</v>
      </c>
      <c r="X164" s="494">
        <v>0.1056857630610466</v>
      </c>
      <c r="Y164" s="59">
        <v>0</v>
      </c>
      <c r="Z164" s="60">
        <v>0</v>
      </c>
      <c r="AA164" s="61"/>
      <c r="AB164" s="62"/>
      <c r="AC164" s="39">
        <f t="shared" si="6"/>
        <v>44926.375</v>
      </c>
      <c r="AD164" s="495">
        <f t="shared" si="7"/>
        <v>44926.333333333328</v>
      </c>
      <c r="AE164" s="40">
        <f t="shared" si="8"/>
        <v>44926.291666666664</v>
      </c>
    </row>
    <row r="165" spans="1:31" ht="21" customHeight="1" thickBot="1" x14ac:dyDescent="0.3">
      <c r="A165" s="445">
        <v>18</v>
      </c>
      <c r="B165" s="220">
        <v>44926</v>
      </c>
      <c r="C165" s="228">
        <v>44926.520833333336</v>
      </c>
      <c r="D165" s="493">
        <v>44926.729166666664</v>
      </c>
      <c r="E165" s="493">
        <v>44926.770833333336</v>
      </c>
      <c r="F165" s="493">
        <v>44926.8125</v>
      </c>
      <c r="G165" s="258">
        <v>44926.854166666664</v>
      </c>
      <c r="H165" s="226" t="s">
        <v>237</v>
      </c>
      <c r="I165" s="223" t="s">
        <v>151</v>
      </c>
      <c r="J165" s="246" t="s">
        <v>4</v>
      </c>
      <c r="K165" s="497">
        <v>2</v>
      </c>
      <c r="L165" s="497">
        <v>4</v>
      </c>
      <c r="M165" s="251" t="s">
        <v>1</v>
      </c>
      <c r="N165" s="52">
        <v>45122.417974537035</v>
      </c>
      <c r="O165" s="53" t="s">
        <v>49</v>
      </c>
      <c r="P165" s="54" t="s">
        <v>603</v>
      </c>
      <c r="R165" s="210">
        <v>1</v>
      </c>
      <c r="S165" s="210">
        <v>1</v>
      </c>
      <c r="T165" s="56">
        <v>1.2736427783966064</v>
      </c>
      <c r="U165" s="57">
        <v>1.2507140636444092</v>
      </c>
      <c r="V165" s="215">
        <v>0.37083750611588528</v>
      </c>
      <c r="W165" s="494">
        <v>0.26849218935365338</v>
      </c>
      <c r="X165" s="494">
        <v>0.35999158024787903</v>
      </c>
      <c r="Y165" s="59">
        <v>2</v>
      </c>
      <c r="Z165" s="60">
        <v>4</v>
      </c>
      <c r="AA165" s="61"/>
      <c r="AB165" s="62"/>
      <c r="AC165" s="39">
        <f t="shared" si="6"/>
        <v>44926.479166666672</v>
      </c>
      <c r="AD165" s="495">
        <f t="shared" si="7"/>
        <v>44926.4375</v>
      </c>
      <c r="AE165" s="40">
        <f t="shared" si="8"/>
        <v>44926.395833333336</v>
      </c>
    </row>
    <row r="166" spans="1:31" ht="21" customHeight="1" thickBot="1" x14ac:dyDescent="0.3">
      <c r="A166" s="445">
        <v>18</v>
      </c>
      <c r="B166" s="220">
        <v>44927</v>
      </c>
      <c r="C166" s="228">
        <v>44927.375</v>
      </c>
      <c r="D166" s="493">
        <v>44927.583333333336</v>
      </c>
      <c r="E166" s="493">
        <v>44927.625</v>
      </c>
      <c r="F166" s="493">
        <v>44927.666666666664</v>
      </c>
      <c r="G166" s="258">
        <v>44927.708333333336</v>
      </c>
      <c r="H166" s="226" t="s">
        <v>241</v>
      </c>
      <c r="I166" s="223" t="s">
        <v>53</v>
      </c>
      <c r="J166" s="243" t="s">
        <v>14</v>
      </c>
      <c r="K166" s="497">
        <v>0</v>
      </c>
      <c r="L166" s="497">
        <v>2</v>
      </c>
      <c r="M166" s="248" t="s">
        <v>2</v>
      </c>
      <c r="N166" s="52">
        <v>45122.417974537035</v>
      </c>
      <c r="O166" s="53" t="s">
        <v>49</v>
      </c>
      <c r="P166" s="54" t="s">
        <v>603</v>
      </c>
      <c r="R166" s="210">
        <v>1</v>
      </c>
      <c r="S166" s="210">
        <v>1</v>
      </c>
      <c r="T166" s="56">
        <v>1.311514275414603</v>
      </c>
      <c r="U166" s="57">
        <v>1.2265710830688477</v>
      </c>
      <c r="V166" s="215">
        <v>0.38599531123092223</v>
      </c>
      <c r="W166" s="494">
        <v>0.26736857884187648</v>
      </c>
      <c r="X166" s="494">
        <v>0.34592509269714355</v>
      </c>
      <c r="Y166" s="59">
        <v>0</v>
      </c>
      <c r="Z166" s="60">
        <v>2</v>
      </c>
      <c r="AA166" s="61"/>
      <c r="AB166" s="62"/>
      <c r="AC166" s="39">
        <f t="shared" si="6"/>
        <v>44927.333333333336</v>
      </c>
      <c r="AD166" s="495">
        <f t="shared" si="7"/>
        <v>44927.291666666664</v>
      </c>
      <c r="AE166" s="40">
        <f t="shared" si="8"/>
        <v>44927.25</v>
      </c>
    </row>
    <row r="167" spans="1:31" ht="21" customHeight="1" thickBot="1" x14ac:dyDescent="0.3">
      <c r="A167" s="445">
        <v>18</v>
      </c>
      <c r="B167" s="220">
        <v>44927</v>
      </c>
      <c r="C167" s="228">
        <v>44927.479166666664</v>
      </c>
      <c r="D167" s="493">
        <v>44927.6875</v>
      </c>
      <c r="E167" s="493">
        <v>44927.729166666664</v>
      </c>
      <c r="F167" s="493">
        <v>44927.770833333336</v>
      </c>
      <c r="G167" s="258">
        <v>44927.8125</v>
      </c>
      <c r="H167" s="226" t="s">
        <v>482</v>
      </c>
      <c r="I167" s="223" t="s">
        <v>436</v>
      </c>
      <c r="J167" s="243" t="s">
        <v>204</v>
      </c>
      <c r="K167" s="497">
        <v>1</v>
      </c>
      <c r="L167" s="497">
        <v>1</v>
      </c>
      <c r="M167" s="248" t="s">
        <v>5</v>
      </c>
      <c r="N167" s="52">
        <v>45122.417974537035</v>
      </c>
      <c r="O167" s="53" t="s">
        <v>49</v>
      </c>
      <c r="P167" s="54" t="s">
        <v>603</v>
      </c>
      <c r="R167" s="210">
        <v>0</v>
      </c>
      <c r="S167" s="210">
        <v>1</v>
      </c>
      <c r="T167" s="56">
        <v>0.48792839050292969</v>
      </c>
      <c r="U167" s="57">
        <v>1.2435712814331055</v>
      </c>
      <c r="V167" s="215">
        <v>0.14553453806764696</v>
      </c>
      <c r="W167" s="494">
        <v>0.30186368272264236</v>
      </c>
      <c r="X167" s="494">
        <v>0.55229055881500244</v>
      </c>
      <c r="Y167" s="59">
        <v>1</v>
      </c>
      <c r="Z167" s="60">
        <v>1</v>
      </c>
      <c r="AA167" s="61"/>
      <c r="AB167" s="62"/>
      <c r="AC167" s="39">
        <f t="shared" si="6"/>
        <v>44927.4375</v>
      </c>
      <c r="AD167" s="495">
        <f t="shared" si="7"/>
        <v>44927.395833333328</v>
      </c>
      <c r="AE167" s="40">
        <f t="shared" si="8"/>
        <v>44927.354166666664</v>
      </c>
    </row>
    <row r="168" spans="1:31" ht="21" customHeight="1" thickBot="1" x14ac:dyDescent="0.3">
      <c r="A168" s="444">
        <v>19</v>
      </c>
      <c r="B168" s="219">
        <v>44928</v>
      </c>
      <c r="C168" s="230">
        <v>44928.520833333336</v>
      </c>
      <c r="D168" s="256">
        <v>44928.729166666664</v>
      </c>
      <c r="E168" s="256">
        <v>44928.770833333336</v>
      </c>
      <c r="F168" s="256">
        <v>44928.8125</v>
      </c>
      <c r="G168" s="257">
        <v>44928.854166666664</v>
      </c>
      <c r="H168" s="225" t="s">
        <v>158</v>
      </c>
      <c r="I168" s="222" t="s">
        <v>593</v>
      </c>
      <c r="J168" s="254" t="s">
        <v>125</v>
      </c>
      <c r="K168" s="497">
        <v>3</v>
      </c>
      <c r="L168" s="497">
        <v>1</v>
      </c>
      <c r="M168" s="255" t="s">
        <v>9</v>
      </c>
      <c r="N168" s="41">
        <v>45122.417974537035</v>
      </c>
      <c r="O168" s="42" t="s">
        <v>49</v>
      </c>
      <c r="P168" s="43" t="s">
        <v>603</v>
      </c>
      <c r="Q168" s="44"/>
      <c r="R168" s="212">
        <v>0</v>
      </c>
      <c r="S168" s="212">
        <v>1</v>
      </c>
      <c r="T168" s="45">
        <v>0.60389987060001915</v>
      </c>
      <c r="U168" s="46">
        <v>0.86614280939102173</v>
      </c>
      <c r="V168" s="213">
        <v>0.23939367742085965</v>
      </c>
      <c r="W168" s="214">
        <v>0.36684662395677875</v>
      </c>
      <c r="X168" s="214">
        <v>0.39372211694717407</v>
      </c>
      <c r="Y168" s="47">
        <v>3</v>
      </c>
      <c r="Z168" s="48">
        <v>1</v>
      </c>
      <c r="AA168" s="49"/>
      <c r="AB168" s="50"/>
      <c r="AC168" s="75">
        <f t="shared" si="6"/>
        <v>44928.479166666672</v>
      </c>
      <c r="AD168" s="76">
        <f t="shared" si="7"/>
        <v>44928.4375</v>
      </c>
      <c r="AE168" s="77">
        <f t="shared" si="8"/>
        <v>44928.395833333336</v>
      </c>
    </row>
    <row r="169" spans="1:31" ht="21" customHeight="1" thickBot="1" x14ac:dyDescent="0.3">
      <c r="A169" s="445">
        <v>19</v>
      </c>
      <c r="B169" s="220">
        <v>44929</v>
      </c>
      <c r="C169" s="228">
        <v>44929.614583333336</v>
      </c>
      <c r="D169" s="493">
        <v>44929.822916666664</v>
      </c>
      <c r="E169" s="493">
        <v>44929.864583333336</v>
      </c>
      <c r="F169" s="493">
        <v>44929.90625</v>
      </c>
      <c r="G169" s="258">
        <v>44929.947916666664</v>
      </c>
      <c r="H169" s="226" t="s">
        <v>274</v>
      </c>
      <c r="I169" s="223" t="s">
        <v>57</v>
      </c>
      <c r="J169" s="243" t="s">
        <v>1</v>
      </c>
      <c r="K169" s="497">
        <v>0</v>
      </c>
      <c r="L169" s="497">
        <v>0</v>
      </c>
      <c r="M169" s="248" t="s">
        <v>12</v>
      </c>
      <c r="N169" s="52">
        <v>45122.417974537035</v>
      </c>
      <c r="O169" s="53" t="s">
        <v>49</v>
      </c>
      <c r="P169" s="54" t="s">
        <v>603</v>
      </c>
      <c r="R169" s="210">
        <v>1</v>
      </c>
      <c r="S169" s="210">
        <v>0</v>
      </c>
      <c r="T169" s="56">
        <v>0.80661417756761822</v>
      </c>
      <c r="U169" s="57">
        <v>0.59614282846450806</v>
      </c>
      <c r="V169" s="215">
        <v>0.37349548208540467</v>
      </c>
      <c r="W169" s="494">
        <v>0.37916780635361824</v>
      </c>
      <c r="X169" s="494">
        <v>0.24731172621250153</v>
      </c>
      <c r="Y169" s="59">
        <v>0</v>
      </c>
      <c r="Z169" s="60">
        <v>0</v>
      </c>
      <c r="AA169" s="61"/>
      <c r="AB169" s="62"/>
      <c r="AC169" s="39">
        <f t="shared" si="6"/>
        <v>44929.572916666672</v>
      </c>
      <c r="AD169" s="495">
        <f t="shared" si="7"/>
        <v>44929.53125</v>
      </c>
      <c r="AE169" s="40">
        <f t="shared" si="8"/>
        <v>44929.489583333336</v>
      </c>
    </row>
    <row r="170" spans="1:31" ht="21" customHeight="1" thickBot="1" x14ac:dyDescent="0.3">
      <c r="A170" s="445">
        <v>19</v>
      </c>
      <c r="B170" s="220">
        <v>44929</v>
      </c>
      <c r="C170" s="228">
        <v>44929.614583333336</v>
      </c>
      <c r="D170" s="493">
        <v>44929.822916666664</v>
      </c>
      <c r="E170" s="493">
        <v>44929.864583333336</v>
      </c>
      <c r="F170" s="493">
        <v>44929.90625</v>
      </c>
      <c r="G170" s="258">
        <v>44929.947916666664</v>
      </c>
      <c r="H170" s="226" t="s">
        <v>321</v>
      </c>
      <c r="I170" s="223" t="s">
        <v>59</v>
      </c>
      <c r="J170" s="246" t="s">
        <v>7</v>
      </c>
      <c r="K170" s="497">
        <v>1</v>
      </c>
      <c r="L170" s="497">
        <v>4</v>
      </c>
      <c r="M170" s="251" t="s">
        <v>4</v>
      </c>
      <c r="N170" s="52">
        <v>45122.417974537035</v>
      </c>
      <c r="O170" s="53" t="s">
        <v>49</v>
      </c>
      <c r="P170" s="54" t="s">
        <v>603</v>
      </c>
      <c r="R170" s="210">
        <v>0</v>
      </c>
      <c r="S170" s="210">
        <v>1</v>
      </c>
      <c r="T170" s="56">
        <v>0.41532849414008</v>
      </c>
      <c r="U170" s="57">
        <v>0.8918570876121521</v>
      </c>
      <c r="V170" s="215">
        <v>0.16480813512422071</v>
      </c>
      <c r="W170" s="494">
        <v>0.38047953566709808</v>
      </c>
      <c r="X170" s="494">
        <v>0.45467108488082886</v>
      </c>
      <c r="Y170" s="59">
        <v>1</v>
      </c>
      <c r="Z170" s="60">
        <v>4</v>
      </c>
      <c r="AA170" s="61"/>
      <c r="AB170" s="62"/>
      <c r="AC170" s="39">
        <f t="shared" si="6"/>
        <v>44929.572916666672</v>
      </c>
      <c r="AD170" s="495">
        <f t="shared" si="7"/>
        <v>44929.53125</v>
      </c>
      <c r="AE170" s="40">
        <f t="shared" si="8"/>
        <v>44929.489583333336</v>
      </c>
    </row>
    <row r="171" spans="1:31" ht="21" customHeight="1" thickBot="1" x14ac:dyDescent="0.3">
      <c r="A171" s="445">
        <v>19</v>
      </c>
      <c r="B171" s="220">
        <v>44929</v>
      </c>
      <c r="C171" s="228">
        <v>44929.614583333336</v>
      </c>
      <c r="D171" s="493">
        <v>44929.822916666664</v>
      </c>
      <c r="E171" s="493">
        <v>44929.864583333336</v>
      </c>
      <c r="F171" s="493">
        <v>44929.90625</v>
      </c>
      <c r="G171" s="258">
        <v>44929.947916666664</v>
      </c>
      <c r="H171" s="226" t="s">
        <v>483</v>
      </c>
      <c r="I171" s="223" t="s">
        <v>54</v>
      </c>
      <c r="J171" s="243" t="s">
        <v>8</v>
      </c>
      <c r="K171" s="497">
        <v>0</v>
      </c>
      <c r="L171" s="497">
        <v>1</v>
      </c>
      <c r="M171" s="248" t="s">
        <v>126</v>
      </c>
      <c r="N171" s="52">
        <v>45122.417974537035</v>
      </c>
      <c r="O171" s="53" t="s">
        <v>49</v>
      </c>
      <c r="P171" s="54" t="s">
        <v>603</v>
      </c>
      <c r="R171" s="210">
        <v>1</v>
      </c>
      <c r="S171" s="210">
        <v>0</v>
      </c>
      <c r="T171" s="56">
        <v>0.8869141851152692</v>
      </c>
      <c r="U171" s="57">
        <v>0.57471418380737305</v>
      </c>
      <c r="V171" s="215">
        <v>0.40889722991073363</v>
      </c>
      <c r="W171" s="494">
        <v>0.36598263984042417</v>
      </c>
      <c r="X171" s="494">
        <v>0.2250780314207077</v>
      </c>
      <c r="Y171" s="59">
        <v>0</v>
      </c>
      <c r="Z171" s="60">
        <v>1</v>
      </c>
      <c r="AA171" s="61"/>
      <c r="AB171" s="62"/>
      <c r="AC171" s="39">
        <f t="shared" si="6"/>
        <v>44929.572916666672</v>
      </c>
      <c r="AD171" s="495">
        <f t="shared" si="7"/>
        <v>44929.53125</v>
      </c>
      <c r="AE171" s="40">
        <f t="shared" si="8"/>
        <v>44929.489583333336</v>
      </c>
    </row>
    <row r="172" spans="1:31" ht="21" customHeight="1" thickBot="1" x14ac:dyDescent="0.3">
      <c r="A172" s="445">
        <v>19</v>
      </c>
      <c r="B172" s="220">
        <v>44929</v>
      </c>
      <c r="C172" s="228">
        <v>44929.625</v>
      </c>
      <c r="D172" s="493">
        <v>44929.833333333336</v>
      </c>
      <c r="E172" s="493">
        <v>44929.875</v>
      </c>
      <c r="F172" s="493">
        <v>44929.916666666664</v>
      </c>
      <c r="G172" s="258">
        <v>44929.958333333336</v>
      </c>
      <c r="H172" s="226" t="s">
        <v>484</v>
      </c>
      <c r="I172" s="223" t="s">
        <v>56</v>
      </c>
      <c r="J172" s="243" t="s">
        <v>11</v>
      </c>
      <c r="K172" s="497">
        <v>3</v>
      </c>
      <c r="L172" s="497">
        <v>0</v>
      </c>
      <c r="M172" s="248" t="s">
        <v>3</v>
      </c>
      <c r="N172" s="52">
        <v>45122.417974537035</v>
      </c>
      <c r="O172" s="53" t="s">
        <v>49</v>
      </c>
      <c r="P172" s="54" t="s">
        <v>603</v>
      </c>
      <c r="R172" s="210">
        <v>1</v>
      </c>
      <c r="S172" s="210">
        <v>0</v>
      </c>
      <c r="T172" s="56">
        <v>0.92918556077139713</v>
      </c>
      <c r="U172" s="57">
        <v>0.45042845606803894</v>
      </c>
      <c r="V172" s="215">
        <v>0.4585414810177213</v>
      </c>
      <c r="W172" s="494">
        <v>0.36855750035775897</v>
      </c>
      <c r="X172" s="494">
        <v>0.17284761369228363</v>
      </c>
      <c r="Y172" s="59">
        <v>3</v>
      </c>
      <c r="Z172" s="60">
        <v>0</v>
      </c>
      <c r="AA172" s="61"/>
      <c r="AB172" s="62"/>
      <c r="AC172" s="39">
        <f t="shared" si="6"/>
        <v>44929.583333333336</v>
      </c>
      <c r="AD172" s="495">
        <f t="shared" si="7"/>
        <v>44929.541666666664</v>
      </c>
      <c r="AE172" s="40">
        <f t="shared" si="8"/>
        <v>44929.5</v>
      </c>
    </row>
    <row r="173" spans="1:31" ht="21" customHeight="1" thickBot="1" x14ac:dyDescent="0.3">
      <c r="A173" s="445">
        <v>19</v>
      </c>
      <c r="B173" s="220">
        <v>44930</v>
      </c>
      <c r="C173" s="228">
        <v>44930.604166666664</v>
      </c>
      <c r="D173" s="493">
        <v>44930.8125</v>
      </c>
      <c r="E173" s="493">
        <v>44930.854166666664</v>
      </c>
      <c r="F173" s="493">
        <v>44930.895833333336</v>
      </c>
      <c r="G173" s="258">
        <v>44930.9375</v>
      </c>
      <c r="H173" s="226" t="s">
        <v>485</v>
      </c>
      <c r="I173" s="223" t="s">
        <v>60</v>
      </c>
      <c r="J173" s="243" t="s">
        <v>13</v>
      </c>
      <c r="K173" s="497">
        <v>0</v>
      </c>
      <c r="L173" s="497">
        <v>1</v>
      </c>
      <c r="M173" s="248" t="s">
        <v>204</v>
      </c>
      <c r="N173" s="52">
        <v>45122.417974537035</v>
      </c>
      <c r="O173" s="53" t="s">
        <v>49</v>
      </c>
      <c r="P173" s="54" t="s">
        <v>603</v>
      </c>
      <c r="R173" s="210">
        <v>1</v>
      </c>
      <c r="S173" s="210">
        <v>0</v>
      </c>
      <c r="T173" s="56">
        <v>0.84291410446166992</v>
      </c>
      <c r="U173" s="57">
        <v>0.43757134675979614</v>
      </c>
      <c r="V173" s="215">
        <v>0.42949007716199911</v>
      </c>
      <c r="W173" s="494">
        <v>0.39025030046916659</v>
      </c>
      <c r="X173" s="494">
        <v>0.18023039400577545</v>
      </c>
      <c r="Y173" s="59">
        <v>0</v>
      </c>
      <c r="Z173" s="60">
        <v>1</v>
      </c>
      <c r="AA173" s="61"/>
      <c r="AB173" s="62"/>
      <c r="AC173" s="39">
        <f t="shared" si="6"/>
        <v>44930.5625</v>
      </c>
      <c r="AD173" s="495">
        <f t="shared" si="7"/>
        <v>44930.520833333328</v>
      </c>
      <c r="AE173" s="40">
        <f t="shared" si="8"/>
        <v>44930.479166666664</v>
      </c>
    </row>
    <row r="174" spans="1:31" ht="21" customHeight="1" thickBot="1" x14ac:dyDescent="0.3">
      <c r="A174" s="445">
        <v>19</v>
      </c>
      <c r="B174" s="220">
        <v>44930</v>
      </c>
      <c r="C174" s="228">
        <v>44930.614583333336</v>
      </c>
      <c r="D174" s="493">
        <v>44930.822916666664</v>
      </c>
      <c r="E174" s="493">
        <v>44930.864583333336</v>
      </c>
      <c r="F174" s="493">
        <v>44930.90625</v>
      </c>
      <c r="G174" s="258">
        <v>44930.947916666664</v>
      </c>
      <c r="H174" s="226" t="s">
        <v>234</v>
      </c>
      <c r="I174" s="223" t="s">
        <v>140</v>
      </c>
      <c r="J174" s="243" t="s">
        <v>139</v>
      </c>
      <c r="K174" s="497">
        <v>2</v>
      </c>
      <c r="L174" s="497">
        <v>2</v>
      </c>
      <c r="M174" s="248" t="s">
        <v>15</v>
      </c>
      <c r="N174" s="52">
        <v>45122.417974537035</v>
      </c>
      <c r="O174" s="53" t="s">
        <v>49</v>
      </c>
      <c r="P174" s="54" t="s">
        <v>603</v>
      </c>
      <c r="R174" s="210">
        <v>0</v>
      </c>
      <c r="S174" s="210">
        <v>1</v>
      </c>
      <c r="T174" s="56">
        <v>0.74862841197422569</v>
      </c>
      <c r="U174" s="57">
        <v>1.1721426248550415</v>
      </c>
      <c r="V174" s="215">
        <v>0.23515837090843239</v>
      </c>
      <c r="W174" s="494">
        <v>0.30614832580341717</v>
      </c>
      <c r="X174" s="494">
        <v>0.45846149325370789</v>
      </c>
      <c r="Y174" s="59">
        <v>2</v>
      </c>
      <c r="Z174" s="60">
        <v>2</v>
      </c>
      <c r="AA174" s="61"/>
      <c r="AB174" s="62"/>
      <c r="AC174" s="39">
        <f t="shared" si="6"/>
        <v>44930.572916666672</v>
      </c>
      <c r="AD174" s="495">
        <f t="shared" si="7"/>
        <v>44930.53125</v>
      </c>
      <c r="AE174" s="40">
        <f t="shared" si="8"/>
        <v>44930.489583333336</v>
      </c>
    </row>
    <row r="175" spans="1:31" ht="21" customHeight="1" thickBot="1" x14ac:dyDescent="0.3">
      <c r="A175" s="445">
        <v>19</v>
      </c>
      <c r="B175" s="220">
        <v>44930</v>
      </c>
      <c r="C175" s="228">
        <v>44930.625</v>
      </c>
      <c r="D175" s="493">
        <v>44930.833333333336</v>
      </c>
      <c r="E175" s="493">
        <v>44930.875</v>
      </c>
      <c r="F175" s="493">
        <v>44930.916666666664</v>
      </c>
      <c r="G175" s="258">
        <v>44930.958333333336</v>
      </c>
      <c r="H175" s="226" t="s">
        <v>244</v>
      </c>
      <c r="I175" s="223" t="s">
        <v>58</v>
      </c>
      <c r="J175" s="245" t="s">
        <v>2</v>
      </c>
      <c r="K175" s="497">
        <v>1</v>
      </c>
      <c r="L175" s="497">
        <v>1</v>
      </c>
      <c r="M175" s="250" t="s">
        <v>16</v>
      </c>
      <c r="N175" s="52">
        <v>45122.417974537035</v>
      </c>
      <c r="O175" s="53" t="s">
        <v>49</v>
      </c>
      <c r="P175" s="54" t="s">
        <v>603</v>
      </c>
      <c r="R175" s="210">
        <v>1</v>
      </c>
      <c r="S175" s="210">
        <v>1</v>
      </c>
      <c r="T175" s="56">
        <v>0.67461419105529785</v>
      </c>
      <c r="U175" s="57">
        <v>0.49199983477592468</v>
      </c>
      <c r="V175" s="215">
        <v>0.3465697918523209</v>
      </c>
      <c r="W175" s="494">
        <v>0.42368270800289226</v>
      </c>
      <c r="X175" s="494">
        <v>0.22973960638046265</v>
      </c>
      <c r="Y175" s="59">
        <v>1</v>
      </c>
      <c r="Z175" s="60">
        <v>1</v>
      </c>
      <c r="AA175" s="61"/>
      <c r="AB175" s="62"/>
      <c r="AC175" s="39">
        <f t="shared" si="6"/>
        <v>44930.583333333336</v>
      </c>
      <c r="AD175" s="495">
        <f t="shared" si="7"/>
        <v>44930.541666666664</v>
      </c>
      <c r="AE175" s="40">
        <f t="shared" si="8"/>
        <v>44930.5</v>
      </c>
    </row>
    <row r="176" spans="1:31" ht="21" customHeight="1" thickBot="1" x14ac:dyDescent="0.3">
      <c r="A176" s="445">
        <v>19</v>
      </c>
      <c r="B176" s="220">
        <v>44930</v>
      </c>
      <c r="C176" s="228">
        <v>44930.625</v>
      </c>
      <c r="D176" s="493">
        <v>44930.833333333336</v>
      </c>
      <c r="E176" s="493">
        <v>44930.875</v>
      </c>
      <c r="F176" s="493">
        <v>44930.916666666664</v>
      </c>
      <c r="G176" s="258">
        <v>44930.958333333336</v>
      </c>
      <c r="H176" s="226" t="s">
        <v>220</v>
      </c>
      <c r="I176" s="223" t="s">
        <v>52</v>
      </c>
      <c r="J176" s="245" t="s">
        <v>6</v>
      </c>
      <c r="K176" s="497">
        <v>0</v>
      </c>
      <c r="L176" s="497">
        <v>4</v>
      </c>
      <c r="M176" s="250" t="s">
        <v>14</v>
      </c>
      <c r="N176" s="52">
        <v>45122.417974537035</v>
      </c>
      <c r="O176" s="53" t="s">
        <v>49</v>
      </c>
      <c r="P176" s="54" t="s">
        <v>603</v>
      </c>
      <c r="R176" s="210">
        <v>1</v>
      </c>
      <c r="S176" s="210">
        <v>1</v>
      </c>
      <c r="T176" s="56">
        <v>0.74862841197422569</v>
      </c>
      <c r="U176" s="57">
        <v>0.59185707569122314</v>
      </c>
      <c r="V176" s="215">
        <v>0.35222717340062687</v>
      </c>
      <c r="W176" s="494">
        <v>0.39117652223137284</v>
      </c>
      <c r="X176" s="494">
        <v>0.2565796971321106</v>
      </c>
      <c r="Y176" s="59">
        <v>0</v>
      </c>
      <c r="Z176" s="60">
        <v>4</v>
      </c>
      <c r="AA176" s="61"/>
      <c r="AB176" s="62"/>
      <c r="AC176" s="39">
        <f t="shared" si="6"/>
        <v>44930.583333333336</v>
      </c>
      <c r="AD176" s="495">
        <f t="shared" si="7"/>
        <v>44930.541666666664</v>
      </c>
      <c r="AE176" s="40">
        <f t="shared" si="8"/>
        <v>44930.5</v>
      </c>
    </row>
    <row r="177" spans="1:31" ht="21" customHeight="1" thickBot="1" x14ac:dyDescent="0.3">
      <c r="A177" s="445">
        <v>19</v>
      </c>
      <c r="B177" s="220">
        <v>44931</v>
      </c>
      <c r="C177" s="228">
        <v>44931.625</v>
      </c>
      <c r="D177" s="493">
        <v>44931.833333333336</v>
      </c>
      <c r="E177" s="493">
        <v>44931.875</v>
      </c>
      <c r="F177" s="493">
        <v>44931.916666666664</v>
      </c>
      <c r="G177" s="258">
        <v>44931.958333333336</v>
      </c>
      <c r="H177" s="226" t="s">
        <v>232</v>
      </c>
      <c r="I177" s="223" t="s">
        <v>62</v>
      </c>
      <c r="J177" s="245" t="s">
        <v>5</v>
      </c>
      <c r="K177" s="497">
        <v>0</v>
      </c>
      <c r="L177" s="497">
        <v>1</v>
      </c>
      <c r="M177" s="250" t="s">
        <v>10</v>
      </c>
      <c r="N177" s="52">
        <v>45122.417974537035</v>
      </c>
      <c r="O177" s="53" t="s">
        <v>49</v>
      </c>
      <c r="P177" s="54" t="s">
        <v>603</v>
      </c>
      <c r="R177" s="210">
        <v>0</v>
      </c>
      <c r="S177" s="210">
        <v>2</v>
      </c>
      <c r="T177" s="56">
        <v>0.56634272847856792</v>
      </c>
      <c r="U177" s="57">
        <v>1.4864284992218018</v>
      </c>
      <c r="V177" s="215">
        <v>0.14042945930555981</v>
      </c>
      <c r="W177" s="494">
        <v>0.26143928602190264</v>
      </c>
      <c r="X177" s="494">
        <v>0.59724998474121094</v>
      </c>
      <c r="Y177" s="59">
        <v>0</v>
      </c>
      <c r="Z177" s="60">
        <v>1</v>
      </c>
      <c r="AA177" s="61"/>
      <c r="AB177" s="62"/>
      <c r="AC177" s="39">
        <f t="shared" si="6"/>
        <v>44931.583333333336</v>
      </c>
      <c r="AD177" s="495">
        <f t="shared" si="7"/>
        <v>44931.541666666664</v>
      </c>
      <c r="AE177" s="40">
        <f t="shared" si="8"/>
        <v>44931.5</v>
      </c>
    </row>
    <row r="178" spans="1:31" ht="21" customHeight="1" thickBot="1" x14ac:dyDescent="0.3">
      <c r="A178" s="444">
        <v>7</v>
      </c>
      <c r="B178" s="219">
        <v>44938</v>
      </c>
      <c r="C178" s="230">
        <v>44938.625</v>
      </c>
      <c r="D178" s="256">
        <v>44938.833333333336</v>
      </c>
      <c r="E178" s="256">
        <v>44938.875</v>
      </c>
      <c r="F178" s="256">
        <v>44938.916666666664</v>
      </c>
      <c r="G178" s="257">
        <v>44938.958333333336</v>
      </c>
      <c r="H178" s="225" t="s">
        <v>450</v>
      </c>
      <c r="I178" s="222" t="s">
        <v>431</v>
      </c>
      <c r="J178" s="252" t="s">
        <v>126</v>
      </c>
      <c r="K178" s="497">
        <v>2</v>
      </c>
      <c r="L178" s="497">
        <v>1</v>
      </c>
      <c r="M178" s="253" t="s">
        <v>5</v>
      </c>
      <c r="N178" s="41">
        <v>45122.417974537035</v>
      </c>
      <c r="O178" s="42" t="s">
        <v>49</v>
      </c>
      <c r="P178" s="43" t="s">
        <v>603</v>
      </c>
      <c r="Q178" s="44"/>
      <c r="R178" s="212">
        <v>1</v>
      </c>
      <c r="S178" s="212">
        <v>2</v>
      </c>
      <c r="T178" s="45">
        <v>1.0680998563766479</v>
      </c>
      <c r="U178" s="46">
        <v>1.5109997987747192</v>
      </c>
      <c r="V178" s="213">
        <v>0.26789460656288666</v>
      </c>
      <c r="W178" s="214">
        <v>0.25743951236132806</v>
      </c>
      <c r="X178" s="214">
        <v>0.47357600927352905</v>
      </c>
      <c r="Y178" s="47">
        <v>2</v>
      </c>
      <c r="Z178" s="48">
        <v>1</v>
      </c>
      <c r="AA178" s="49"/>
      <c r="AB178" s="50"/>
      <c r="AC178" s="75">
        <f t="shared" si="6"/>
        <v>44938.583333333336</v>
      </c>
      <c r="AD178" s="76">
        <f t="shared" si="7"/>
        <v>44938.541666666664</v>
      </c>
      <c r="AE178" s="77">
        <f t="shared" si="8"/>
        <v>44938.5</v>
      </c>
    </row>
    <row r="179" spans="1:31" ht="21" customHeight="1" thickBot="1" x14ac:dyDescent="0.3">
      <c r="A179" s="444">
        <v>20</v>
      </c>
      <c r="B179" s="219">
        <v>44939</v>
      </c>
      <c r="C179" s="230">
        <v>44939.625</v>
      </c>
      <c r="D179" s="256">
        <v>44939.833333333336</v>
      </c>
      <c r="E179" s="256">
        <v>44939.875</v>
      </c>
      <c r="F179" s="256">
        <v>44939.916666666664</v>
      </c>
      <c r="G179" s="257">
        <v>44939.958333333336</v>
      </c>
      <c r="H179" s="225" t="s">
        <v>336</v>
      </c>
      <c r="I179" s="222" t="s">
        <v>58</v>
      </c>
      <c r="J179" s="242" t="s">
        <v>2</v>
      </c>
      <c r="K179" s="497">
        <v>2</v>
      </c>
      <c r="L179" s="497">
        <v>1</v>
      </c>
      <c r="M179" s="247" t="s">
        <v>139</v>
      </c>
      <c r="N179" s="41">
        <v>45122.417974537035</v>
      </c>
      <c r="O179" s="42" t="s">
        <v>49</v>
      </c>
      <c r="P179" s="43" t="s">
        <v>603</v>
      </c>
      <c r="Q179" s="44"/>
      <c r="R179" s="212">
        <v>2</v>
      </c>
      <c r="S179" s="212">
        <v>1</v>
      </c>
      <c r="T179" s="45">
        <v>1.9260996580123901</v>
      </c>
      <c r="U179" s="46">
        <v>1.0909997224807739</v>
      </c>
      <c r="V179" s="213">
        <v>0.56448115415977718</v>
      </c>
      <c r="W179" s="214">
        <v>0.22024031625615612</v>
      </c>
      <c r="X179" s="214">
        <v>0.21142897009849548</v>
      </c>
      <c r="Y179" s="47">
        <v>2</v>
      </c>
      <c r="Z179" s="48">
        <v>1</v>
      </c>
      <c r="AA179" s="49"/>
      <c r="AB179" s="50"/>
      <c r="AC179" s="75">
        <f t="shared" si="6"/>
        <v>44939.583333333336</v>
      </c>
      <c r="AD179" s="76">
        <f t="shared" si="7"/>
        <v>44939.541666666664</v>
      </c>
      <c r="AE179" s="77">
        <f t="shared" si="8"/>
        <v>44939.5</v>
      </c>
    </row>
    <row r="180" spans="1:31" ht="21" customHeight="1" thickBot="1" x14ac:dyDescent="0.3">
      <c r="A180" s="445">
        <v>20</v>
      </c>
      <c r="B180" s="220">
        <v>44940</v>
      </c>
      <c r="C180" s="228">
        <v>44940.3125</v>
      </c>
      <c r="D180" s="493">
        <v>44940.520833333336</v>
      </c>
      <c r="E180" s="493">
        <v>44940.5625</v>
      </c>
      <c r="F180" s="493">
        <v>44940.604166666664</v>
      </c>
      <c r="G180" s="258">
        <v>44940.645833333336</v>
      </c>
      <c r="H180" s="226" t="s">
        <v>266</v>
      </c>
      <c r="I180" s="223" t="s">
        <v>56</v>
      </c>
      <c r="J180" s="245" t="s">
        <v>11</v>
      </c>
      <c r="K180" s="497">
        <v>2</v>
      </c>
      <c r="L180" s="497">
        <v>1</v>
      </c>
      <c r="M180" s="250" t="s">
        <v>10</v>
      </c>
      <c r="N180" s="52">
        <v>45122.417974537035</v>
      </c>
      <c r="O180" s="53" t="s">
        <v>49</v>
      </c>
      <c r="P180" s="54" t="s">
        <v>603</v>
      </c>
      <c r="R180" s="210">
        <v>1</v>
      </c>
      <c r="S180" s="210">
        <v>2</v>
      </c>
      <c r="T180" s="56">
        <v>1.3210997581481934</v>
      </c>
      <c r="U180" s="57">
        <v>2.2909998893737793</v>
      </c>
      <c r="V180" s="215">
        <v>0.21180990985137499</v>
      </c>
      <c r="W180" s="494">
        <v>0.19576151774686198</v>
      </c>
      <c r="X180" s="494">
        <v>0.58281123638153076</v>
      </c>
      <c r="Y180" s="59">
        <v>2</v>
      </c>
      <c r="Z180" s="60">
        <v>1</v>
      </c>
      <c r="AA180" s="61"/>
      <c r="AB180" s="62"/>
      <c r="AC180" s="39">
        <f t="shared" si="6"/>
        <v>44940.270833333336</v>
      </c>
      <c r="AD180" s="495">
        <f t="shared" si="7"/>
        <v>44940.229166666664</v>
      </c>
      <c r="AE180" s="40">
        <f t="shared" si="8"/>
        <v>44940.1875</v>
      </c>
    </row>
    <row r="181" spans="1:31" ht="21" customHeight="1" thickBot="1" x14ac:dyDescent="0.3">
      <c r="A181" s="445">
        <v>20</v>
      </c>
      <c r="B181" s="220">
        <v>44940</v>
      </c>
      <c r="C181" s="228">
        <v>44940.416666666664</v>
      </c>
      <c r="D181" s="493">
        <v>44940.625</v>
      </c>
      <c r="E181" s="493">
        <v>44940.666666666664</v>
      </c>
      <c r="F181" s="493">
        <v>44940.708333333336</v>
      </c>
      <c r="G181" s="258">
        <v>44940.75</v>
      </c>
      <c r="H181" s="226" t="s">
        <v>365</v>
      </c>
      <c r="I181" s="223" t="s">
        <v>151</v>
      </c>
      <c r="J181" s="245" t="s">
        <v>4</v>
      </c>
      <c r="K181" s="497">
        <v>3</v>
      </c>
      <c r="L181" s="497">
        <v>0</v>
      </c>
      <c r="M181" s="250" t="s">
        <v>9</v>
      </c>
      <c r="N181" s="52">
        <v>45122.417974537035</v>
      </c>
      <c r="O181" s="53" t="s">
        <v>49</v>
      </c>
      <c r="P181" s="54" t="s">
        <v>603</v>
      </c>
      <c r="R181" s="210">
        <v>2</v>
      </c>
      <c r="S181" s="210">
        <v>2</v>
      </c>
      <c r="T181" s="56">
        <v>1.783099889755249</v>
      </c>
      <c r="U181" s="57">
        <v>1.8209998607635498</v>
      </c>
      <c r="V181" s="215">
        <v>0.38031052904719109</v>
      </c>
      <c r="W181" s="494">
        <v>0.21916675545982423</v>
      </c>
      <c r="X181" s="494">
        <v>0.3953518271446228</v>
      </c>
      <c r="Y181" s="59">
        <v>3</v>
      </c>
      <c r="Z181" s="60">
        <v>0</v>
      </c>
      <c r="AA181" s="61"/>
      <c r="AB181" s="62"/>
      <c r="AC181" s="39">
        <f t="shared" si="6"/>
        <v>44940.375</v>
      </c>
      <c r="AD181" s="495">
        <f t="shared" si="7"/>
        <v>44940.333333333328</v>
      </c>
      <c r="AE181" s="40">
        <f t="shared" si="8"/>
        <v>44940.291666666664</v>
      </c>
    </row>
    <row r="182" spans="1:31" ht="21" customHeight="1" thickBot="1" x14ac:dyDescent="0.3">
      <c r="A182" s="445">
        <v>20</v>
      </c>
      <c r="B182" s="220">
        <v>44940</v>
      </c>
      <c r="C182" s="228">
        <v>44940.416666666664</v>
      </c>
      <c r="D182" s="493">
        <v>44940.625</v>
      </c>
      <c r="E182" s="493">
        <v>44940.666666666664</v>
      </c>
      <c r="F182" s="493">
        <v>44940.708333333336</v>
      </c>
      <c r="G182" s="258">
        <v>44940.75</v>
      </c>
      <c r="H182" s="226" t="s">
        <v>149</v>
      </c>
      <c r="I182" s="223" t="s">
        <v>59</v>
      </c>
      <c r="J182" s="245" t="s">
        <v>7</v>
      </c>
      <c r="K182" s="497">
        <v>1</v>
      </c>
      <c r="L182" s="497">
        <v>2</v>
      </c>
      <c r="M182" s="250" t="s">
        <v>13</v>
      </c>
      <c r="N182" s="52">
        <v>45122.417974537035</v>
      </c>
      <c r="O182" s="53" t="s">
        <v>49</v>
      </c>
      <c r="P182" s="54" t="s">
        <v>603</v>
      </c>
      <c r="R182" s="210">
        <v>1</v>
      </c>
      <c r="S182" s="210">
        <v>1</v>
      </c>
      <c r="T182" s="56">
        <v>1.34309983253479</v>
      </c>
      <c r="U182" s="57">
        <v>1.2609997987747192</v>
      </c>
      <c r="V182" s="215">
        <v>0.38702400178864949</v>
      </c>
      <c r="W182" s="494">
        <v>0.263406592018678</v>
      </c>
      <c r="X182" s="494">
        <v>0.34874370694160461</v>
      </c>
      <c r="Y182" s="59">
        <v>1</v>
      </c>
      <c r="Z182" s="60">
        <v>2</v>
      </c>
      <c r="AA182" s="61"/>
      <c r="AB182" s="62"/>
      <c r="AC182" s="39">
        <f t="shared" si="6"/>
        <v>44940.375</v>
      </c>
      <c r="AD182" s="495">
        <f t="shared" si="7"/>
        <v>44940.333333333328</v>
      </c>
      <c r="AE182" s="40">
        <f t="shared" si="8"/>
        <v>44940.291666666664</v>
      </c>
    </row>
    <row r="183" spans="1:31" ht="21" customHeight="1" thickBot="1" x14ac:dyDescent="0.3">
      <c r="A183" s="445">
        <v>20</v>
      </c>
      <c r="B183" s="220">
        <v>44940</v>
      </c>
      <c r="C183" s="228">
        <v>44940.416666666664</v>
      </c>
      <c r="D183" s="493">
        <v>44940.625</v>
      </c>
      <c r="E183" s="493">
        <v>44940.666666666664</v>
      </c>
      <c r="F183" s="493">
        <v>44940.708333333336</v>
      </c>
      <c r="G183" s="258">
        <v>44940.75</v>
      </c>
      <c r="H183" s="226" t="s">
        <v>488</v>
      </c>
      <c r="I183" s="223" t="s">
        <v>436</v>
      </c>
      <c r="J183" s="246" t="s">
        <v>204</v>
      </c>
      <c r="K183" s="497">
        <v>2</v>
      </c>
      <c r="L183" s="497">
        <v>0</v>
      </c>
      <c r="M183" s="251" t="s">
        <v>8</v>
      </c>
      <c r="N183" s="52">
        <v>45122.417974537035</v>
      </c>
      <c r="O183" s="53" t="s">
        <v>49</v>
      </c>
      <c r="P183" s="54" t="s">
        <v>603</v>
      </c>
      <c r="R183" s="210">
        <v>1</v>
      </c>
      <c r="S183" s="210">
        <v>2</v>
      </c>
      <c r="T183" s="56">
        <v>1.0900998115539551</v>
      </c>
      <c r="U183" s="57">
        <v>1.6409996747970581</v>
      </c>
      <c r="V183" s="215">
        <v>0.25241537492264271</v>
      </c>
      <c r="W183" s="494">
        <v>0.24540943732621931</v>
      </c>
      <c r="X183" s="494">
        <v>0.50049471855163574</v>
      </c>
      <c r="Y183" s="59">
        <v>2</v>
      </c>
      <c r="Z183" s="60">
        <v>0</v>
      </c>
      <c r="AA183" s="61"/>
      <c r="AB183" s="62"/>
      <c r="AC183" s="39">
        <f t="shared" si="6"/>
        <v>44940.375</v>
      </c>
      <c r="AD183" s="495">
        <f t="shared" si="7"/>
        <v>44940.333333333328</v>
      </c>
      <c r="AE183" s="40">
        <f t="shared" si="8"/>
        <v>44940.291666666664</v>
      </c>
    </row>
    <row r="184" spans="1:31" ht="21" customHeight="1" thickBot="1" x14ac:dyDescent="0.3">
      <c r="A184" s="445">
        <v>20</v>
      </c>
      <c r="B184" s="220">
        <v>44940</v>
      </c>
      <c r="C184" s="228">
        <v>44940.416666666664</v>
      </c>
      <c r="D184" s="493">
        <v>44940.625</v>
      </c>
      <c r="E184" s="493">
        <v>44940.666666666664</v>
      </c>
      <c r="F184" s="493">
        <v>44940.708333333336</v>
      </c>
      <c r="G184" s="258">
        <v>44940.75</v>
      </c>
      <c r="H184" s="226" t="s">
        <v>273</v>
      </c>
      <c r="I184" s="223" t="s">
        <v>63</v>
      </c>
      <c r="J184" s="245" t="s">
        <v>16</v>
      </c>
      <c r="K184" s="497">
        <v>1</v>
      </c>
      <c r="L184" s="497">
        <v>0</v>
      </c>
      <c r="M184" s="250" t="s">
        <v>15</v>
      </c>
      <c r="N184" s="52">
        <v>45122.417974537035</v>
      </c>
      <c r="O184" s="53" t="s">
        <v>49</v>
      </c>
      <c r="P184" s="54" t="s">
        <v>603</v>
      </c>
      <c r="R184" s="210">
        <v>1</v>
      </c>
      <c r="S184" s="210">
        <v>1</v>
      </c>
      <c r="T184" s="56">
        <v>1.0570996999740601</v>
      </c>
      <c r="U184" s="57">
        <v>1.3209997415542603</v>
      </c>
      <c r="V184" s="215">
        <v>0.29828200547072148</v>
      </c>
      <c r="W184" s="494">
        <v>0.27507883091333135</v>
      </c>
      <c r="X184" s="494">
        <v>0.42607894539833069</v>
      </c>
      <c r="Y184" s="59">
        <v>1</v>
      </c>
      <c r="Z184" s="60">
        <v>0</v>
      </c>
      <c r="AA184" s="61"/>
      <c r="AB184" s="62"/>
      <c r="AC184" s="39">
        <f t="shared" si="6"/>
        <v>44940.375</v>
      </c>
      <c r="AD184" s="495">
        <f t="shared" si="7"/>
        <v>44940.333333333328</v>
      </c>
      <c r="AE184" s="40">
        <f t="shared" si="8"/>
        <v>44940.291666666664</v>
      </c>
    </row>
    <row r="185" spans="1:31" ht="21" customHeight="1" thickBot="1" x14ac:dyDescent="0.3">
      <c r="A185" s="445">
        <v>20</v>
      </c>
      <c r="B185" s="220">
        <v>44940</v>
      </c>
      <c r="C185" s="228">
        <v>44940.520833333336</v>
      </c>
      <c r="D185" s="493">
        <v>44940.729166666664</v>
      </c>
      <c r="E185" s="493">
        <v>44940.770833333336</v>
      </c>
      <c r="F185" s="493">
        <v>44940.8125</v>
      </c>
      <c r="G185" s="258">
        <v>44940.854166666664</v>
      </c>
      <c r="H185" s="226" t="s">
        <v>486</v>
      </c>
      <c r="I185" s="223" t="s">
        <v>593</v>
      </c>
      <c r="J185" s="243" t="s">
        <v>125</v>
      </c>
      <c r="K185" s="497">
        <v>2</v>
      </c>
      <c r="L185" s="497">
        <v>0</v>
      </c>
      <c r="M185" s="248" t="s">
        <v>3</v>
      </c>
      <c r="N185" s="52">
        <v>45122.417974537035</v>
      </c>
      <c r="O185" s="53" t="s">
        <v>49</v>
      </c>
      <c r="P185" s="54" t="s">
        <v>603</v>
      </c>
      <c r="R185" s="210">
        <v>2</v>
      </c>
      <c r="S185" s="210">
        <v>1</v>
      </c>
      <c r="T185" s="56">
        <v>1.9260996580123901</v>
      </c>
      <c r="U185" s="57">
        <v>1.1009997129440308</v>
      </c>
      <c r="V185" s="215">
        <v>0.56213658490593021</v>
      </c>
      <c r="W185" s="494">
        <v>0.22038177089500205</v>
      </c>
      <c r="X185" s="494">
        <v>0.21362404525279999</v>
      </c>
      <c r="Y185" s="59">
        <v>2</v>
      </c>
      <c r="Z185" s="60">
        <v>0</v>
      </c>
      <c r="AA185" s="61"/>
      <c r="AB185" s="62"/>
      <c r="AC185" s="39">
        <f t="shared" si="6"/>
        <v>44940.479166666672</v>
      </c>
      <c r="AD185" s="495">
        <f t="shared" si="7"/>
        <v>44940.4375</v>
      </c>
      <c r="AE185" s="40">
        <f t="shared" si="8"/>
        <v>44940.395833333336</v>
      </c>
    </row>
    <row r="186" spans="1:31" ht="21" customHeight="1" thickBot="1" x14ac:dyDescent="0.3">
      <c r="A186" s="445">
        <v>20</v>
      </c>
      <c r="B186" s="220">
        <v>44941</v>
      </c>
      <c r="C186" s="228">
        <v>44941.375</v>
      </c>
      <c r="D186" s="493">
        <v>44941.583333333336</v>
      </c>
      <c r="E186" s="493">
        <v>44941.625</v>
      </c>
      <c r="F186" s="493">
        <v>44941.666666666664</v>
      </c>
      <c r="G186" s="258">
        <v>44941.708333333336</v>
      </c>
      <c r="H186" s="226" t="s">
        <v>148</v>
      </c>
      <c r="I186" s="223" t="s">
        <v>62</v>
      </c>
      <c r="J186" s="243" t="s">
        <v>5</v>
      </c>
      <c r="K186" s="497">
        <v>1</v>
      </c>
      <c r="L186" s="497">
        <v>0</v>
      </c>
      <c r="M186" s="248" t="s">
        <v>6</v>
      </c>
      <c r="N186" s="52">
        <v>45122.417974537035</v>
      </c>
      <c r="O186" s="53" t="s">
        <v>49</v>
      </c>
      <c r="P186" s="54" t="s">
        <v>603</v>
      </c>
      <c r="R186" s="210">
        <v>0</v>
      </c>
      <c r="S186" s="210">
        <v>1</v>
      </c>
      <c r="T186" s="56">
        <v>0.56147130898066921</v>
      </c>
      <c r="U186" s="57">
        <v>0.90099972486495972</v>
      </c>
      <c r="V186" s="215">
        <v>0.21787412716713406</v>
      </c>
      <c r="W186" s="494">
        <v>0.36453995440702719</v>
      </c>
      <c r="X186" s="494">
        <v>0.41754010319709778</v>
      </c>
      <c r="Y186" s="59">
        <v>1</v>
      </c>
      <c r="Z186" s="60">
        <v>0</v>
      </c>
      <c r="AA186" s="61"/>
      <c r="AB186" s="62"/>
      <c r="AC186" s="39">
        <f t="shared" si="6"/>
        <v>44941.333333333336</v>
      </c>
      <c r="AD186" s="495">
        <f t="shared" si="7"/>
        <v>44941.291666666664</v>
      </c>
      <c r="AE186" s="40">
        <f t="shared" si="8"/>
        <v>44941.25</v>
      </c>
    </row>
    <row r="187" spans="1:31" ht="21" customHeight="1" thickBot="1" x14ac:dyDescent="0.3">
      <c r="A187" s="445">
        <v>20</v>
      </c>
      <c r="B187" s="220">
        <v>44941</v>
      </c>
      <c r="C187" s="228">
        <v>44941.375</v>
      </c>
      <c r="D187" s="493">
        <v>44941.583333333336</v>
      </c>
      <c r="E187" s="493">
        <v>44941.625</v>
      </c>
      <c r="F187" s="493">
        <v>44941.666666666664</v>
      </c>
      <c r="G187" s="258">
        <v>44941.708333333336</v>
      </c>
      <c r="H187" s="226" t="s">
        <v>487</v>
      </c>
      <c r="I187" s="223" t="s">
        <v>55</v>
      </c>
      <c r="J187" s="246" t="s">
        <v>12</v>
      </c>
      <c r="K187" s="497">
        <v>1</v>
      </c>
      <c r="L187" s="497">
        <v>0</v>
      </c>
      <c r="M187" s="251" t="s">
        <v>126</v>
      </c>
      <c r="N187" s="52">
        <v>45122.417974537035</v>
      </c>
      <c r="O187" s="53" t="s">
        <v>49</v>
      </c>
      <c r="P187" s="54" t="s">
        <v>603</v>
      </c>
      <c r="R187" s="210">
        <v>2</v>
      </c>
      <c r="S187" s="210">
        <v>0</v>
      </c>
      <c r="T187" s="56">
        <v>1.8710998296737671</v>
      </c>
      <c r="U187" s="57">
        <v>0.42471420764923096</v>
      </c>
      <c r="V187" s="215">
        <v>0.72313979480553026</v>
      </c>
      <c r="W187" s="494">
        <v>0.19805835650285983</v>
      </c>
      <c r="X187" s="494">
        <v>7.5629115104675293E-2</v>
      </c>
      <c r="Y187" s="59">
        <v>1</v>
      </c>
      <c r="Z187" s="60">
        <v>0</v>
      </c>
      <c r="AA187" s="61"/>
      <c r="AB187" s="62"/>
      <c r="AC187" s="39">
        <f t="shared" si="6"/>
        <v>44941.333333333336</v>
      </c>
      <c r="AD187" s="495">
        <f t="shared" si="7"/>
        <v>44941.291666666664</v>
      </c>
      <c r="AE187" s="40">
        <f t="shared" si="8"/>
        <v>44941.25</v>
      </c>
    </row>
    <row r="188" spans="1:31" ht="21" customHeight="1" thickBot="1" x14ac:dyDescent="0.3">
      <c r="A188" s="445">
        <v>20</v>
      </c>
      <c r="B188" s="220">
        <v>44941</v>
      </c>
      <c r="C188" s="228">
        <v>44941.479166666664</v>
      </c>
      <c r="D188" s="493">
        <v>44941.6875</v>
      </c>
      <c r="E188" s="493">
        <v>44941.729166666664</v>
      </c>
      <c r="F188" s="493">
        <v>44941.770833333336</v>
      </c>
      <c r="G188" s="258">
        <v>44941.8125</v>
      </c>
      <c r="H188" s="226" t="s">
        <v>327</v>
      </c>
      <c r="I188" s="223" t="s">
        <v>53</v>
      </c>
      <c r="J188" s="246" t="s">
        <v>14</v>
      </c>
      <c r="K188" s="497">
        <v>0</v>
      </c>
      <c r="L188" s="497">
        <v>2</v>
      </c>
      <c r="M188" s="248" t="s">
        <v>1</v>
      </c>
      <c r="N188" s="52">
        <v>45122.417974537035</v>
      </c>
      <c r="O188" s="53" t="s">
        <v>49</v>
      </c>
      <c r="P188" s="54" t="s">
        <v>603</v>
      </c>
      <c r="R188" s="210">
        <v>1</v>
      </c>
      <c r="S188" s="210">
        <v>2</v>
      </c>
      <c r="T188" s="56">
        <v>1.5300999879837036</v>
      </c>
      <c r="U188" s="57">
        <v>1.9809995889663696</v>
      </c>
      <c r="V188" s="215">
        <v>0.29875681694589667</v>
      </c>
      <c r="W188" s="494">
        <v>0.21703606825490748</v>
      </c>
      <c r="X188" s="494">
        <v>0.47886490821838379</v>
      </c>
      <c r="Y188" s="59">
        <v>0</v>
      </c>
      <c r="Z188" s="60">
        <v>2</v>
      </c>
      <c r="AA188" s="61"/>
      <c r="AB188" s="62"/>
      <c r="AC188" s="39">
        <f t="shared" si="6"/>
        <v>44941.4375</v>
      </c>
      <c r="AD188" s="495">
        <f t="shared" si="7"/>
        <v>44941.395833333328</v>
      </c>
      <c r="AE188" s="40">
        <f t="shared" si="8"/>
        <v>44941.354166666664</v>
      </c>
    </row>
    <row r="189" spans="1:31" ht="21" customHeight="1" thickBot="1" x14ac:dyDescent="0.3">
      <c r="A189" s="444">
        <v>7</v>
      </c>
      <c r="B189" s="219">
        <v>44944</v>
      </c>
      <c r="C189" s="230">
        <v>44944.625</v>
      </c>
      <c r="D189" s="256">
        <v>44944.833333333336</v>
      </c>
      <c r="E189" s="256">
        <v>44944.875</v>
      </c>
      <c r="F189" s="256">
        <v>44944.916666666664</v>
      </c>
      <c r="G189" s="257">
        <v>44944.958333333336</v>
      </c>
      <c r="H189" s="225" t="s">
        <v>417</v>
      </c>
      <c r="I189" s="222" t="s">
        <v>52</v>
      </c>
      <c r="J189" s="254" t="s">
        <v>6</v>
      </c>
      <c r="K189" s="497">
        <v>1</v>
      </c>
      <c r="L189" s="497">
        <v>1</v>
      </c>
      <c r="M189" s="247" t="s">
        <v>11</v>
      </c>
      <c r="N189" s="41">
        <v>45122.417974537035</v>
      </c>
      <c r="O189" s="42" t="s">
        <v>49</v>
      </c>
      <c r="P189" s="43" t="s">
        <v>603</v>
      </c>
      <c r="Q189" s="44"/>
      <c r="R189" s="212">
        <v>0</v>
      </c>
      <c r="S189" s="212">
        <v>1</v>
      </c>
      <c r="T189" s="45">
        <v>0.52375699792589459</v>
      </c>
      <c r="U189" s="46">
        <v>0.85199987888336182</v>
      </c>
      <c r="V189" s="213">
        <v>0.21195232834079575</v>
      </c>
      <c r="W189" s="214">
        <v>0.37860915748946572</v>
      </c>
      <c r="X189" s="214">
        <v>0.40940630435943604</v>
      </c>
      <c r="Y189" s="47">
        <v>1</v>
      </c>
      <c r="Z189" s="48">
        <v>1</v>
      </c>
      <c r="AA189" s="49"/>
      <c r="AB189" s="50"/>
      <c r="AC189" s="75">
        <f t="shared" si="6"/>
        <v>44944.583333333336</v>
      </c>
      <c r="AD189" s="76">
        <f t="shared" si="7"/>
        <v>44944.541666666664</v>
      </c>
      <c r="AE189" s="77">
        <f t="shared" si="8"/>
        <v>44944.5</v>
      </c>
    </row>
    <row r="190" spans="1:31" ht="21" customHeight="1" thickBot="1" x14ac:dyDescent="0.3">
      <c r="A190" s="445">
        <v>7</v>
      </c>
      <c r="B190" s="220">
        <v>44945</v>
      </c>
      <c r="C190" s="228">
        <v>44945.625</v>
      </c>
      <c r="D190" s="493">
        <v>44945.833333333336</v>
      </c>
      <c r="E190" s="493">
        <v>44945.875</v>
      </c>
      <c r="F190" s="493">
        <v>44945.916666666664</v>
      </c>
      <c r="G190" s="258">
        <v>44945.958333333336</v>
      </c>
      <c r="H190" s="226" t="s">
        <v>349</v>
      </c>
      <c r="I190" s="223" t="s">
        <v>61</v>
      </c>
      <c r="J190" s="243" t="s">
        <v>10</v>
      </c>
      <c r="K190" s="497">
        <v>4</v>
      </c>
      <c r="L190" s="497">
        <v>2</v>
      </c>
      <c r="M190" s="250" t="s">
        <v>14</v>
      </c>
      <c r="N190" s="52">
        <v>45122.417974537035</v>
      </c>
      <c r="O190" s="53" t="s">
        <v>49</v>
      </c>
      <c r="P190" s="54" t="s">
        <v>603</v>
      </c>
      <c r="R190" s="210">
        <v>2</v>
      </c>
      <c r="S190" s="210">
        <v>0</v>
      </c>
      <c r="T190" s="56">
        <v>1.8629285267421178</v>
      </c>
      <c r="U190" s="57">
        <v>0.62342846393585205</v>
      </c>
      <c r="V190" s="215">
        <v>0.66804070194510901</v>
      </c>
      <c r="W190" s="494">
        <v>0.21181279193958982</v>
      </c>
      <c r="X190" s="494">
        <v>0.11704421788454056</v>
      </c>
      <c r="Y190" s="59">
        <v>4</v>
      </c>
      <c r="Z190" s="60">
        <v>2</v>
      </c>
      <c r="AA190" s="61"/>
      <c r="AB190" s="62"/>
      <c r="AC190" s="39">
        <f t="shared" si="6"/>
        <v>44945.583333333336</v>
      </c>
      <c r="AD190" s="495">
        <f t="shared" si="7"/>
        <v>44945.541666666664</v>
      </c>
      <c r="AE190" s="40">
        <f t="shared" si="8"/>
        <v>44945.5</v>
      </c>
    </row>
    <row r="191" spans="1:31" ht="21" customHeight="1" thickBot="1" x14ac:dyDescent="0.3">
      <c r="A191" s="444">
        <v>21</v>
      </c>
      <c r="B191" s="219">
        <v>44947</v>
      </c>
      <c r="C191" s="230">
        <v>44947.3125</v>
      </c>
      <c r="D191" s="256">
        <v>44947.520833333336</v>
      </c>
      <c r="E191" s="256">
        <v>44947.5625</v>
      </c>
      <c r="F191" s="256">
        <v>44947.604166666664</v>
      </c>
      <c r="G191" s="257">
        <v>44947.645833333336</v>
      </c>
      <c r="H191" s="225" t="s">
        <v>154</v>
      </c>
      <c r="I191" s="222" t="s">
        <v>48</v>
      </c>
      <c r="J191" s="254" t="s">
        <v>9</v>
      </c>
      <c r="K191" s="497">
        <v>0</v>
      </c>
      <c r="L191" s="497">
        <v>0</v>
      </c>
      <c r="M191" s="255" t="s">
        <v>5</v>
      </c>
      <c r="N191" s="41">
        <v>45122.417974537035</v>
      </c>
      <c r="O191" s="42" t="s">
        <v>49</v>
      </c>
      <c r="P191" s="43" t="s">
        <v>603</v>
      </c>
      <c r="Q191" s="44"/>
      <c r="R191" s="212">
        <v>2</v>
      </c>
      <c r="S191" s="212">
        <v>1</v>
      </c>
      <c r="T191" s="45">
        <v>1.9370999336242676</v>
      </c>
      <c r="U191" s="46">
        <v>1.0294283628463745</v>
      </c>
      <c r="V191" s="213">
        <v>0.58134179166745936</v>
      </c>
      <c r="W191" s="214">
        <v>0.21819222686467962</v>
      </c>
      <c r="X191" s="214">
        <v>0.19654347002506256</v>
      </c>
      <c r="Y191" s="47">
        <v>0</v>
      </c>
      <c r="Z191" s="48">
        <v>0</v>
      </c>
      <c r="AA191" s="49"/>
      <c r="AB191" s="50"/>
      <c r="AC191" s="75">
        <f t="shared" si="6"/>
        <v>44947.270833333336</v>
      </c>
      <c r="AD191" s="76">
        <f t="shared" si="7"/>
        <v>44947.229166666664</v>
      </c>
      <c r="AE191" s="77">
        <f t="shared" si="8"/>
        <v>44947.1875</v>
      </c>
    </row>
    <row r="192" spans="1:31" ht="21" customHeight="1" thickBot="1" x14ac:dyDescent="0.3">
      <c r="A192" s="445">
        <v>21</v>
      </c>
      <c r="B192" s="220">
        <v>44947</v>
      </c>
      <c r="C192" s="228">
        <v>44947.416666666664</v>
      </c>
      <c r="D192" s="493">
        <v>44947.625</v>
      </c>
      <c r="E192" s="493">
        <v>44947.666666666664</v>
      </c>
      <c r="F192" s="493">
        <v>44947.708333333336</v>
      </c>
      <c r="G192" s="258">
        <v>44947.75</v>
      </c>
      <c r="H192" s="226" t="s">
        <v>489</v>
      </c>
      <c r="I192" s="223" t="s">
        <v>51</v>
      </c>
      <c r="J192" s="245" t="s">
        <v>3</v>
      </c>
      <c r="K192" s="497">
        <v>1</v>
      </c>
      <c r="L192" s="497">
        <v>1</v>
      </c>
      <c r="M192" s="250" t="s">
        <v>204</v>
      </c>
      <c r="N192" s="52">
        <v>45122.417974537035</v>
      </c>
      <c r="O192" s="53" t="s">
        <v>49</v>
      </c>
      <c r="P192" s="54" t="s">
        <v>603</v>
      </c>
      <c r="R192" s="210">
        <v>2</v>
      </c>
      <c r="S192" s="210">
        <v>1</v>
      </c>
      <c r="T192" s="56">
        <v>1.6180998086929321</v>
      </c>
      <c r="U192" s="57">
        <v>1.180999755859375</v>
      </c>
      <c r="V192" s="215">
        <v>0.47391368322104549</v>
      </c>
      <c r="W192" s="494">
        <v>0.2460642148647301</v>
      </c>
      <c r="X192" s="494">
        <v>0.27837106585502625</v>
      </c>
      <c r="Y192" s="59">
        <v>1</v>
      </c>
      <c r="Z192" s="60">
        <v>1</v>
      </c>
      <c r="AA192" s="61"/>
      <c r="AB192" s="62"/>
      <c r="AC192" s="39">
        <f t="shared" si="6"/>
        <v>44947.375</v>
      </c>
      <c r="AD192" s="495">
        <f t="shared" si="7"/>
        <v>44947.333333333328</v>
      </c>
      <c r="AE192" s="40">
        <f t="shared" si="8"/>
        <v>44947.291666666664</v>
      </c>
    </row>
    <row r="193" spans="1:31" ht="21" customHeight="1" thickBot="1" x14ac:dyDescent="0.3">
      <c r="A193" s="445">
        <v>21</v>
      </c>
      <c r="B193" s="220">
        <v>44947</v>
      </c>
      <c r="C193" s="228">
        <v>44947.416666666664</v>
      </c>
      <c r="D193" s="493">
        <v>44947.625</v>
      </c>
      <c r="E193" s="493">
        <v>44947.666666666664</v>
      </c>
      <c r="F193" s="493">
        <v>44947.708333333336</v>
      </c>
      <c r="G193" s="258">
        <v>44947.75</v>
      </c>
      <c r="H193" s="226" t="s">
        <v>333</v>
      </c>
      <c r="I193" s="223" t="s">
        <v>54</v>
      </c>
      <c r="J193" s="243" t="s">
        <v>8</v>
      </c>
      <c r="K193" s="497">
        <v>2</v>
      </c>
      <c r="L193" s="497">
        <v>2</v>
      </c>
      <c r="M193" s="248" t="s">
        <v>4</v>
      </c>
      <c r="N193" s="52">
        <v>45122.417974537035</v>
      </c>
      <c r="O193" s="53" t="s">
        <v>49</v>
      </c>
      <c r="P193" s="54" t="s">
        <v>603</v>
      </c>
      <c r="R193" s="210">
        <v>1</v>
      </c>
      <c r="S193" s="210">
        <v>2</v>
      </c>
      <c r="T193" s="56">
        <v>1.1780997514724731</v>
      </c>
      <c r="U193" s="57">
        <v>1.900999903678894</v>
      </c>
      <c r="V193" s="215">
        <v>0.2341219095685676</v>
      </c>
      <c r="W193" s="494">
        <v>0.22325680054604935</v>
      </c>
      <c r="X193" s="494">
        <v>0.53894126415252686</v>
      </c>
      <c r="Y193" s="59">
        <v>2</v>
      </c>
      <c r="Z193" s="60">
        <v>2</v>
      </c>
      <c r="AA193" s="61"/>
      <c r="AB193" s="62"/>
      <c r="AC193" s="39">
        <f t="shared" si="6"/>
        <v>44947.375</v>
      </c>
      <c r="AD193" s="495">
        <f t="shared" si="7"/>
        <v>44947.333333333328</v>
      </c>
      <c r="AE193" s="40">
        <f t="shared" si="8"/>
        <v>44947.291666666664</v>
      </c>
    </row>
    <row r="194" spans="1:31" ht="21" customHeight="1" thickBot="1" x14ac:dyDescent="0.3">
      <c r="A194" s="445">
        <v>21</v>
      </c>
      <c r="B194" s="220">
        <v>44947</v>
      </c>
      <c r="C194" s="228">
        <v>44947.416666666664</v>
      </c>
      <c r="D194" s="493">
        <v>44947.625</v>
      </c>
      <c r="E194" s="493">
        <v>44947.666666666664</v>
      </c>
      <c r="F194" s="493">
        <v>44947.708333333336</v>
      </c>
      <c r="G194" s="258">
        <v>44947.75</v>
      </c>
      <c r="H194" s="226" t="s">
        <v>163</v>
      </c>
      <c r="I194" s="223" t="s">
        <v>60</v>
      </c>
      <c r="J194" s="243" t="s">
        <v>13</v>
      </c>
      <c r="K194" s="497">
        <v>0</v>
      </c>
      <c r="L194" s="497">
        <v>1</v>
      </c>
      <c r="M194" s="248" t="s">
        <v>2</v>
      </c>
      <c r="N194" s="52">
        <v>45122.417974537035</v>
      </c>
      <c r="O194" s="53" t="s">
        <v>49</v>
      </c>
      <c r="P194" s="54" t="s">
        <v>603</v>
      </c>
      <c r="R194" s="210">
        <v>1</v>
      </c>
      <c r="S194" s="210">
        <v>2</v>
      </c>
      <c r="T194" s="56">
        <v>0.88109976053237915</v>
      </c>
      <c r="U194" s="57">
        <v>1.5409997701644897</v>
      </c>
      <c r="V194" s="215">
        <v>0.2151547707192856</v>
      </c>
      <c r="W194" s="494">
        <v>0.25683730877406852</v>
      </c>
      <c r="X194" s="494">
        <v>0.52689003944396973</v>
      </c>
      <c r="Y194" s="59">
        <v>0</v>
      </c>
      <c r="Z194" s="60">
        <v>1</v>
      </c>
      <c r="AA194" s="61"/>
      <c r="AB194" s="62"/>
      <c r="AC194" s="39">
        <f t="shared" ref="AC194:AC257" si="9">IF(C194&lt;&gt;"TBC",C194-1/24,"TBC")</f>
        <v>44947.375</v>
      </c>
      <c r="AD194" s="495">
        <f t="shared" ref="AD194:AD257" si="10">IF(C194&lt;&gt;"TBC",C194-1/12,"TBC")</f>
        <v>44947.333333333328</v>
      </c>
      <c r="AE194" s="40">
        <f t="shared" ref="AE194:AE257" si="11">IF(C194&lt;&gt;"TBC",C194-1/8,"TBC")</f>
        <v>44947.291666666664</v>
      </c>
    </row>
    <row r="195" spans="1:31" ht="21" customHeight="1" thickBot="1" x14ac:dyDescent="0.3">
      <c r="A195" s="445">
        <v>21</v>
      </c>
      <c r="B195" s="220">
        <v>44947</v>
      </c>
      <c r="C195" s="228">
        <v>44947.416666666664</v>
      </c>
      <c r="D195" s="493">
        <v>44947.625</v>
      </c>
      <c r="E195" s="493">
        <v>44947.666666666664</v>
      </c>
      <c r="F195" s="493">
        <v>44947.708333333336</v>
      </c>
      <c r="G195" s="258">
        <v>44947.75</v>
      </c>
      <c r="H195" s="226" t="s">
        <v>380</v>
      </c>
      <c r="I195" s="223" t="s">
        <v>50</v>
      </c>
      <c r="J195" s="245" t="s">
        <v>15</v>
      </c>
      <c r="K195" s="497">
        <v>2</v>
      </c>
      <c r="L195" s="497">
        <v>0</v>
      </c>
      <c r="M195" s="250" t="s">
        <v>7</v>
      </c>
      <c r="N195" s="52">
        <v>45122.417974537035</v>
      </c>
      <c r="O195" s="53" t="s">
        <v>49</v>
      </c>
      <c r="P195" s="54" t="s">
        <v>603</v>
      </c>
      <c r="R195" s="210">
        <v>2</v>
      </c>
      <c r="S195" s="210">
        <v>1</v>
      </c>
      <c r="T195" s="56">
        <v>1.7390997409820557</v>
      </c>
      <c r="U195" s="57">
        <v>1.0109997987747192</v>
      </c>
      <c r="V195" s="215">
        <v>0.54247231578717203</v>
      </c>
      <c r="W195" s="494">
        <v>0.23650116878984484</v>
      </c>
      <c r="X195" s="494">
        <v>0.21881103515625</v>
      </c>
      <c r="Y195" s="59">
        <v>2</v>
      </c>
      <c r="Z195" s="60">
        <v>0</v>
      </c>
      <c r="AA195" s="61"/>
      <c r="AB195" s="62"/>
      <c r="AC195" s="39">
        <f t="shared" si="9"/>
        <v>44947.375</v>
      </c>
      <c r="AD195" s="495">
        <f t="shared" si="10"/>
        <v>44947.333333333328</v>
      </c>
      <c r="AE195" s="40">
        <f t="shared" si="11"/>
        <v>44947.291666666664</v>
      </c>
    </row>
    <row r="196" spans="1:31" ht="21" customHeight="1" thickBot="1" x14ac:dyDescent="0.3">
      <c r="A196" s="445">
        <v>21</v>
      </c>
      <c r="B196" s="220">
        <v>44947</v>
      </c>
      <c r="C196" s="228">
        <v>44947.520833333336</v>
      </c>
      <c r="D196" s="493">
        <v>44947.729166666664</v>
      </c>
      <c r="E196" s="493">
        <v>44947.770833333336</v>
      </c>
      <c r="F196" s="493">
        <v>44947.8125</v>
      </c>
      <c r="G196" s="258">
        <v>44947.854166666664</v>
      </c>
      <c r="H196" s="226" t="s">
        <v>251</v>
      </c>
      <c r="I196" s="223" t="s">
        <v>52</v>
      </c>
      <c r="J196" s="245" t="s">
        <v>6</v>
      </c>
      <c r="K196" s="497">
        <v>0</v>
      </c>
      <c r="L196" s="497">
        <v>0</v>
      </c>
      <c r="M196" s="250" t="s">
        <v>12</v>
      </c>
      <c r="N196" s="52">
        <v>45122.417974537035</v>
      </c>
      <c r="O196" s="53" t="s">
        <v>49</v>
      </c>
      <c r="P196" s="54" t="s">
        <v>603</v>
      </c>
      <c r="R196" s="210">
        <v>0</v>
      </c>
      <c r="S196" s="210">
        <v>1</v>
      </c>
      <c r="T196" s="56">
        <v>0.4341855730329241</v>
      </c>
      <c r="U196" s="57">
        <v>1.1837141513824463</v>
      </c>
      <c r="V196" s="215">
        <v>0.13574534602474514</v>
      </c>
      <c r="W196" s="494">
        <v>0.31410738460885418</v>
      </c>
      <c r="X196" s="494">
        <v>0.5499153733253479</v>
      </c>
      <c r="Y196" s="59">
        <v>0</v>
      </c>
      <c r="Z196" s="60">
        <v>0</v>
      </c>
      <c r="AA196" s="61"/>
      <c r="AB196" s="62"/>
      <c r="AC196" s="39">
        <f t="shared" si="9"/>
        <v>44947.479166666672</v>
      </c>
      <c r="AD196" s="495">
        <f t="shared" si="10"/>
        <v>44947.4375</v>
      </c>
      <c r="AE196" s="40">
        <f t="shared" si="11"/>
        <v>44947.395833333336</v>
      </c>
    </row>
    <row r="197" spans="1:31" ht="21" customHeight="1" thickBot="1" x14ac:dyDescent="0.3">
      <c r="A197" s="445">
        <v>21</v>
      </c>
      <c r="B197" s="220">
        <v>44948</v>
      </c>
      <c r="C197" s="228">
        <v>44948.375</v>
      </c>
      <c r="D197" s="493">
        <v>44948.583333333336</v>
      </c>
      <c r="E197" s="493">
        <v>44948.625</v>
      </c>
      <c r="F197" s="493">
        <v>44948.666666666664</v>
      </c>
      <c r="G197" s="258">
        <v>44948.708333333336</v>
      </c>
      <c r="H197" s="226" t="s">
        <v>285</v>
      </c>
      <c r="I197" s="223" t="s">
        <v>140</v>
      </c>
      <c r="J197" s="246" t="s">
        <v>139</v>
      </c>
      <c r="K197" s="497">
        <v>0</v>
      </c>
      <c r="L197" s="497">
        <v>0</v>
      </c>
      <c r="M197" s="251" t="s">
        <v>125</v>
      </c>
      <c r="N197" s="52">
        <v>45122.417974537035</v>
      </c>
      <c r="O197" s="53" t="s">
        <v>49</v>
      </c>
      <c r="P197" s="54" t="s">
        <v>603</v>
      </c>
      <c r="R197" s="210">
        <v>1</v>
      </c>
      <c r="S197" s="210">
        <v>2</v>
      </c>
      <c r="T197" s="56">
        <v>1.3870998620986938</v>
      </c>
      <c r="U197" s="57">
        <v>1.8009997606277466</v>
      </c>
      <c r="V197" s="215">
        <v>0.29660412854123175</v>
      </c>
      <c r="W197" s="494">
        <v>0.22961062524889167</v>
      </c>
      <c r="X197" s="494">
        <v>0.47061973810195923</v>
      </c>
      <c r="Y197" s="59">
        <v>0</v>
      </c>
      <c r="Z197" s="60">
        <v>0</v>
      </c>
      <c r="AA197" s="61"/>
      <c r="AB197" s="62"/>
      <c r="AC197" s="39">
        <f t="shared" si="9"/>
        <v>44948.333333333336</v>
      </c>
      <c r="AD197" s="495">
        <f t="shared" si="10"/>
        <v>44948.291666666664</v>
      </c>
      <c r="AE197" s="40">
        <f t="shared" si="11"/>
        <v>44948.25</v>
      </c>
    </row>
    <row r="198" spans="1:31" ht="21" customHeight="1" thickBot="1" x14ac:dyDescent="0.3">
      <c r="A198" s="445">
        <v>21</v>
      </c>
      <c r="B198" s="220">
        <v>44948</v>
      </c>
      <c r="C198" s="228">
        <v>44948.375</v>
      </c>
      <c r="D198" s="493">
        <v>44948.583333333336</v>
      </c>
      <c r="E198" s="493">
        <v>44948.625</v>
      </c>
      <c r="F198" s="493">
        <v>44948.666666666664</v>
      </c>
      <c r="G198" s="258">
        <v>44948.708333333336</v>
      </c>
      <c r="H198" s="226" t="s">
        <v>293</v>
      </c>
      <c r="I198" s="223" t="s">
        <v>61</v>
      </c>
      <c r="J198" s="246" t="s">
        <v>10</v>
      </c>
      <c r="K198" s="497">
        <v>3</v>
      </c>
      <c r="L198" s="497">
        <v>0</v>
      </c>
      <c r="M198" s="251" t="s">
        <v>16</v>
      </c>
      <c r="N198" s="52">
        <v>45122.417974537035</v>
      </c>
      <c r="O198" s="53" t="s">
        <v>49</v>
      </c>
      <c r="P198" s="54" t="s">
        <v>603</v>
      </c>
      <c r="R198" s="210">
        <v>1</v>
      </c>
      <c r="S198" s="210">
        <v>0</v>
      </c>
      <c r="T198" s="56">
        <v>1.1177571160452706</v>
      </c>
      <c r="U198" s="57">
        <v>0.56099975109100342</v>
      </c>
      <c r="V198" s="215">
        <v>0.49203152154246421</v>
      </c>
      <c r="W198" s="494">
        <v>0.32329218567299628</v>
      </c>
      <c r="X198" s="494">
        <v>0.1845102459192276</v>
      </c>
      <c r="Y198" s="59">
        <v>3</v>
      </c>
      <c r="Z198" s="60">
        <v>0</v>
      </c>
      <c r="AA198" s="61"/>
      <c r="AB198" s="62"/>
      <c r="AC198" s="39">
        <f t="shared" si="9"/>
        <v>44948.333333333336</v>
      </c>
      <c r="AD198" s="495">
        <f t="shared" si="10"/>
        <v>44948.291666666664</v>
      </c>
      <c r="AE198" s="40">
        <f t="shared" si="11"/>
        <v>44948.25</v>
      </c>
    </row>
    <row r="199" spans="1:31" ht="21" customHeight="1" thickBot="1" x14ac:dyDescent="0.3">
      <c r="A199" s="445">
        <v>21</v>
      </c>
      <c r="B199" s="220">
        <v>44948</v>
      </c>
      <c r="C199" s="228">
        <v>44948.479166666664</v>
      </c>
      <c r="D199" s="493">
        <v>44948.6875</v>
      </c>
      <c r="E199" s="493">
        <v>44948.729166666664</v>
      </c>
      <c r="F199" s="493">
        <v>44948.770833333336</v>
      </c>
      <c r="G199" s="258">
        <v>44948.8125</v>
      </c>
      <c r="H199" s="226" t="s">
        <v>393</v>
      </c>
      <c r="I199" s="223" t="s">
        <v>57</v>
      </c>
      <c r="J199" s="246" t="s">
        <v>1</v>
      </c>
      <c r="K199" s="497">
        <v>3</v>
      </c>
      <c r="L199" s="497">
        <v>2</v>
      </c>
      <c r="M199" s="251" t="s">
        <v>11</v>
      </c>
      <c r="N199" s="52">
        <v>45122.417974537035</v>
      </c>
      <c r="O199" s="53" t="s">
        <v>49</v>
      </c>
      <c r="P199" s="54" t="s">
        <v>603</v>
      </c>
      <c r="R199" s="210">
        <v>2</v>
      </c>
      <c r="S199" s="210">
        <v>1</v>
      </c>
      <c r="T199" s="56">
        <v>2.091099739074707</v>
      </c>
      <c r="U199" s="57">
        <v>0.85771411657333374</v>
      </c>
      <c r="V199" s="215">
        <v>0.65287496610782436</v>
      </c>
      <c r="W199" s="494">
        <v>0.19794125026297871</v>
      </c>
      <c r="X199" s="494">
        <v>0.14341849088668823</v>
      </c>
      <c r="Y199" s="59">
        <v>3</v>
      </c>
      <c r="Z199" s="60">
        <v>2</v>
      </c>
      <c r="AA199" s="61"/>
      <c r="AB199" s="62"/>
      <c r="AC199" s="39">
        <f t="shared" si="9"/>
        <v>44948.4375</v>
      </c>
      <c r="AD199" s="495">
        <f t="shared" si="10"/>
        <v>44948.395833333328</v>
      </c>
      <c r="AE199" s="40">
        <f t="shared" si="11"/>
        <v>44948.354166666664</v>
      </c>
    </row>
    <row r="200" spans="1:31" ht="21" customHeight="1" thickBot="1" x14ac:dyDescent="0.3">
      <c r="A200" s="445">
        <v>21</v>
      </c>
      <c r="B200" s="220">
        <v>44949</v>
      </c>
      <c r="C200" s="228">
        <v>44949.635416666664</v>
      </c>
      <c r="D200" s="493">
        <v>44949.84375</v>
      </c>
      <c r="E200" s="493">
        <v>44949.885416666664</v>
      </c>
      <c r="F200" s="493">
        <v>44949.927083333336</v>
      </c>
      <c r="G200" s="258">
        <v>44949.96875</v>
      </c>
      <c r="H200" s="226" t="s">
        <v>490</v>
      </c>
      <c r="I200" s="223" t="s">
        <v>431</v>
      </c>
      <c r="J200" s="243" t="s">
        <v>126</v>
      </c>
      <c r="K200" s="497">
        <v>0</v>
      </c>
      <c r="L200" s="497">
        <v>1</v>
      </c>
      <c r="M200" s="248" t="s">
        <v>14</v>
      </c>
      <c r="N200" s="52">
        <v>45122.417974537035</v>
      </c>
      <c r="O200" s="53" t="s">
        <v>49</v>
      </c>
      <c r="P200" s="54" t="s">
        <v>603</v>
      </c>
      <c r="R200" s="210">
        <v>1</v>
      </c>
      <c r="S200" s="210">
        <v>1</v>
      </c>
      <c r="T200" s="56">
        <v>1.3870998620986938</v>
      </c>
      <c r="U200" s="57">
        <v>0.97199994325637817</v>
      </c>
      <c r="V200" s="215">
        <v>0.46411712007892209</v>
      </c>
      <c r="W200" s="494">
        <v>0.27187751905915192</v>
      </c>
      <c r="X200" s="494">
        <v>0.26334574818611145</v>
      </c>
      <c r="Y200" s="59">
        <v>0</v>
      </c>
      <c r="Z200" s="60">
        <v>1</v>
      </c>
      <c r="AA200" s="61"/>
      <c r="AB200" s="62"/>
      <c r="AC200" s="39">
        <f t="shared" si="9"/>
        <v>44949.59375</v>
      </c>
      <c r="AD200" s="495">
        <f t="shared" si="10"/>
        <v>44949.552083333328</v>
      </c>
      <c r="AE200" s="40">
        <f t="shared" si="11"/>
        <v>44949.510416666664</v>
      </c>
    </row>
    <row r="201" spans="1:31" ht="21" customHeight="1" thickBot="1" x14ac:dyDescent="0.3">
      <c r="A201" s="444">
        <v>22</v>
      </c>
      <c r="B201" s="219">
        <v>44960</v>
      </c>
      <c r="C201" s="230">
        <v>44960.625</v>
      </c>
      <c r="D201" s="256">
        <v>44960.833333333336</v>
      </c>
      <c r="E201" s="256">
        <v>44960.875</v>
      </c>
      <c r="F201" s="256">
        <v>44960.916666666664</v>
      </c>
      <c r="G201" s="257">
        <v>44960.958333333336</v>
      </c>
      <c r="H201" s="225" t="s">
        <v>492</v>
      </c>
      <c r="I201" s="222" t="s">
        <v>62</v>
      </c>
      <c r="J201" s="242" t="s">
        <v>5</v>
      </c>
      <c r="K201" s="497">
        <v>0</v>
      </c>
      <c r="L201" s="497">
        <v>0</v>
      </c>
      <c r="M201" s="247" t="s">
        <v>126</v>
      </c>
      <c r="N201" s="41">
        <v>45122.417974537035</v>
      </c>
      <c r="O201" s="42" t="s">
        <v>49</v>
      </c>
      <c r="P201" s="43" t="s">
        <v>603</v>
      </c>
      <c r="Q201" s="44"/>
      <c r="R201" s="212">
        <v>2</v>
      </c>
      <c r="S201" s="212">
        <v>1</v>
      </c>
      <c r="T201" s="45">
        <v>1.6620998382568359</v>
      </c>
      <c r="U201" s="46">
        <v>0.97099983692169189</v>
      </c>
      <c r="V201" s="213">
        <v>0.53420556498649852</v>
      </c>
      <c r="W201" s="214">
        <v>0.24390645517553161</v>
      </c>
      <c r="X201" s="214">
        <v>0.22016479074954987</v>
      </c>
      <c r="Y201" s="47">
        <v>0</v>
      </c>
      <c r="Z201" s="48">
        <v>0</v>
      </c>
      <c r="AA201" s="49"/>
      <c r="AB201" s="50"/>
      <c r="AC201" s="75">
        <f t="shared" si="9"/>
        <v>44960.583333333336</v>
      </c>
      <c r="AD201" s="76">
        <f t="shared" si="10"/>
        <v>44960.541666666664</v>
      </c>
      <c r="AE201" s="77">
        <f t="shared" si="11"/>
        <v>44960.5</v>
      </c>
    </row>
    <row r="202" spans="1:31" ht="21" customHeight="1" thickBot="1" x14ac:dyDescent="0.3">
      <c r="A202" s="445">
        <v>22</v>
      </c>
      <c r="B202" s="220">
        <v>44961</v>
      </c>
      <c r="C202" s="228">
        <v>44961.3125</v>
      </c>
      <c r="D202" s="493">
        <v>44961.520833333336</v>
      </c>
      <c r="E202" s="493">
        <v>44961.5625</v>
      </c>
      <c r="F202" s="493">
        <v>44961.604166666664</v>
      </c>
      <c r="G202" s="258">
        <v>44961.645833333336</v>
      </c>
      <c r="H202" s="226" t="s">
        <v>169</v>
      </c>
      <c r="I202" s="223" t="s">
        <v>59</v>
      </c>
      <c r="J202" s="243" t="s">
        <v>7</v>
      </c>
      <c r="K202" s="497">
        <v>1</v>
      </c>
      <c r="L202" s="497">
        <v>0</v>
      </c>
      <c r="M202" s="248" t="s">
        <v>1</v>
      </c>
      <c r="N202" s="52">
        <v>45122.417974537035</v>
      </c>
      <c r="O202" s="53" t="s">
        <v>49</v>
      </c>
      <c r="P202" s="54" t="s">
        <v>603</v>
      </c>
      <c r="R202" s="210">
        <v>1</v>
      </c>
      <c r="S202" s="210">
        <v>2</v>
      </c>
      <c r="T202" s="56">
        <v>1.0020997524261475</v>
      </c>
      <c r="U202" s="57">
        <v>2.240999698638916</v>
      </c>
      <c r="V202" s="215">
        <v>0.15619392869833865</v>
      </c>
      <c r="W202" s="494">
        <v>0.19011727263613334</v>
      </c>
      <c r="X202" s="494">
        <v>0.64540272951126099</v>
      </c>
      <c r="Y202" s="59">
        <v>1</v>
      </c>
      <c r="Z202" s="60">
        <v>0</v>
      </c>
      <c r="AA202" s="61"/>
      <c r="AB202" s="62"/>
      <c r="AC202" s="39">
        <f t="shared" si="9"/>
        <v>44961.270833333336</v>
      </c>
      <c r="AD202" s="495">
        <f t="shared" si="10"/>
        <v>44961.229166666664</v>
      </c>
      <c r="AE202" s="40">
        <f t="shared" si="11"/>
        <v>44961.1875</v>
      </c>
    </row>
    <row r="203" spans="1:31" ht="21" customHeight="1" thickBot="1" x14ac:dyDescent="0.3">
      <c r="A203" s="445">
        <v>22</v>
      </c>
      <c r="B203" s="220">
        <v>44961</v>
      </c>
      <c r="C203" s="228">
        <v>44961.416666666664</v>
      </c>
      <c r="D203" s="493">
        <v>44961.625</v>
      </c>
      <c r="E203" s="493">
        <v>44961.666666666664</v>
      </c>
      <c r="F203" s="493">
        <v>44961.708333333336</v>
      </c>
      <c r="G203" s="258">
        <v>44961.75</v>
      </c>
      <c r="H203" s="226" t="s">
        <v>284</v>
      </c>
      <c r="I203" s="223" t="s">
        <v>58</v>
      </c>
      <c r="J203" s="243" t="s">
        <v>2</v>
      </c>
      <c r="K203" s="497">
        <v>2</v>
      </c>
      <c r="L203" s="497">
        <v>4</v>
      </c>
      <c r="M203" s="248" t="s">
        <v>8</v>
      </c>
      <c r="N203" s="52">
        <v>45122.417974537035</v>
      </c>
      <c r="O203" s="53" t="s">
        <v>49</v>
      </c>
      <c r="P203" s="54" t="s">
        <v>603</v>
      </c>
      <c r="R203" s="210">
        <v>2</v>
      </c>
      <c r="S203" s="210">
        <v>1</v>
      </c>
      <c r="T203" s="56">
        <v>1.6620998382568359</v>
      </c>
      <c r="U203" s="57">
        <v>1.1009997129440308</v>
      </c>
      <c r="V203" s="215">
        <v>0.50297289854795701</v>
      </c>
      <c r="W203" s="494">
        <v>0.24344700847003828</v>
      </c>
      <c r="X203" s="494">
        <v>0.25177693367004395</v>
      </c>
      <c r="Y203" s="59">
        <v>2</v>
      </c>
      <c r="Z203" s="60">
        <v>4</v>
      </c>
      <c r="AA203" s="61"/>
      <c r="AB203" s="62"/>
      <c r="AC203" s="39">
        <f t="shared" si="9"/>
        <v>44961.375</v>
      </c>
      <c r="AD203" s="495">
        <f t="shared" si="10"/>
        <v>44961.333333333328</v>
      </c>
      <c r="AE203" s="40">
        <f t="shared" si="11"/>
        <v>44961.291666666664</v>
      </c>
    </row>
    <row r="204" spans="1:31" ht="21" customHeight="1" thickBot="1" x14ac:dyDescent="0.3">
      <c r="A204" s="445">
        <v>22</v>
      </c>
      <c r="B204" s="220">
        <v>44961</v>
      </c>
      <c r="C204" s="228">
        <v>44961.416666666664</v>
      </c>
      <c r="D204" s="493">
        <v>44961.625</v>
      </c>
      <c r="E204" s="493">
        <v>44961.666666666664</v>
      </c>
      <c r="F204" s="493">
        <v>44961.708333333336</v>
      </c>
      <c r="G204" s="258">
        <v>44961.75</v>
      </c>
      <c r="H204" s="226" t="s">
        <v>199</v>
      </c>
      <c r="I204" s="223" t="s">
        <v>593</v>
      </c>
      <c r="J204" s="243" t="s">
        <v>125</v>
      </c>
      <c r="K204" s="497">
        <v>3</v>
      </c>
      <c r="L204" s="497">
        <v>0</v>
      </c>
      <c r="M204" s="248" t="s">
        <v>13</v>
      </c>
      <c r="N204" s="52">
        <v>45122.417974537035</v>
      </c>
      <c r="O204" s="53" t="s">
        <v>49</v>
      </c>
      <c r="P204" s="54" t="s">
        <v>603</v>
      </c>
      <c r="R204" s="210">
        <v>2</v>
      </c>
      <c r="S204" s="210">
        <v>1</v>
      </c>
      <c r="T204" s="56">
        <v>1.750099778175354</v>
      </c>
      <c r="U204" s="57">
        <v>0.97099983692169189</v>
      </c>
      <c r="V204" s="215">
        <v>0.55473383525189113</v>
      </c>
      <c r="W204" s="494">
        <v>0.23511937063652089</v>
      </c>
      <c r="X204" s="494">
        <v>0.20787554979324341</v>
      </c>
      <c r="Y204" s="59">
        <v>3</v>
      </c>
      <c r="Z204" s="60">
        <v>0</v>
      </c>
      <c r="AA204" s="61"/>
      <c r="AB204" s="62"/>
      <c r="AC204" s="39">
        <f t="shared" si="9"/>
        <v>44961.375</v>
      </c>
      <c r="AD204" s="495">
        <f t="shared" si="10"/>
        <v>44961.333333333328</v>
      </c>
      <c r="AE204" s="40">
        <f t="shared" si="11"/>
        <v>44961.291666666664</v>
      </c>
    </row>
    <row r="205" spans="1:31" ht="21" customHeight="1" thickBot="1" x14ac:dyDescent="0.3">
      <c r="A205" s="445">
        <v>22</v>
      </c>
      <c r="B205" s="220">
        <v>44961</v>
      </c>
      <c r="C205" s="228">
        <v>44961.416666666664</v>
      </c>
      <c r="D205" s="493">
        <v>44961.625</v>
      </c>
      <c r="E205" s="493">
        <v>44961.666666666664</v>
      </c>
      <c r="F205" s="493">
        <v>44961.708333333336</v>
      </c>
      <c r="G205" s="258">
        <v>44961.75</v>
      </c>
      <c r="H205" s="226" t="s">
        <v>491</v>
      </c>
      <c r="I205" s="223" t="s">
        <v>151</v>
      </c>
      <c r="J205" s="243" t="s">
        <v>4</v>
      </c>
      <c r="K205" s="497">
        <v>1</v>
      </c>
      <c r="L205" s="497">
        <v>0</v>
      </c>
      <c r="M205" s="248" t="s">
        <v>3</v>
      </c>
      <c r="N205" s="52">
        <v>45122.417974537035</v>
      </c>
      <c r="O205" s="53" t="s">
        <v>49</v>
      </c>
      <c r="P205" s="54" t="s">
        <v>603</v>
      </c>
      <c r="R205" s="210">
        <v>2</v>
      </c>
      <c r="S205" s="210">
        <v>1</v>
      </c>
      <c r="T205" s="56">
        <v>2.3000998497009277</v>
      </c>
      <c r="U205" s="57">
        <v>0.90099978446960449</v>
      </c>
      <c r="V205" s="215">
        <v>0.67850227336089952</v>
      </c>
      <c r="W205" s="494">
        <v>0.18030299772253913</v>
      </c>
      <c r="X205" s="494">
        <v>0.13178744912147522</v>
      </c>
      <c r="Y205" s="59">
        <v>1</v>
      </c>
      <c r="Z205" s="60">
        <v>0</v>
      </c>
      <c r="AA205" s="61"/>
      <c r="AB205" s="62"/>
      <c r="AC205" s="39">
        <f t="shared" si="9"/>
        <v>44961.375</v>
      </c>
      <c r="AD205" s="495">
        <f t="shared" si="10"/>
        <v>44961.333333333328</v>
      </c>
      <c r="AE205" s="40">
        <f t="shared" si="11"/>
        <v>44961.291666666664</v>
      </c>
    </row>
    <row r="206" spans="1:31" ht="21" customHeight="1" thickBot="1" x14ac:dyDescent="0.3">
      <c r="A206" s="445">
        <v>22</v>
      </c>
      <c r="B206" s="220">
        <v>44961</v>
      </c>
      <c r="C206" s="228">
        <v>44961.416666666664</v>
      </c>
      <c r="D206" s="493">
        <v>44961.625</v>
      </c>
      <c r="E206" s="493">
        <v>44961.666666666664</v>
      </c>
      <c r="F206" s="493">
        <v>44961.708333333336</v>
      </c>
      <c r="G206" s="258">
        <v>44961.75</v>
      </c>
      <c r="H206" s="226" t="s">
        <v>286</v>
      </c>
      <c r="I206" s="223" t="s">
        <v>56</v>
      </c>
      <c r="J206" s="243" t="s">
        <v>11</v>
      </c>
      <c r="K206" s="497">
        <v>2</v>
      </c>
      <c r="L206" s="497">
        <v>1</v>
      </c>
      <c r="M206" s="248" t="s">
        <v>6</v>
      </c>
      <c r="N206" s="52">
        <v>45122.417974537035</v>
      </c>
      <c r="O206" s="53" t="s">
        <v>49</v>
      </c>
      <c r="P206" s="54" t="s">
        <v>603</v>
      </c>
      <c r="R206" s="210">
        <v>2</v>
      </c>
      <c r="S206" s="210">
        <v>1</v>
      </c>
      <c r="T206" s="56">
        <v>1.6400998830795288</v>
      </c>
      <c r="U206" s="57">
        <v>1.1109997034072876</v>
      </c>
      <c r="V206" s="215">
        <v>0.49537090333932499</v>
      </c>
      <c r="W206" s="494">
        <v>0.24526859921700295</v>
      </c>
      <c r="X206" s="494">
        <v>0.25766754150390625</v>
      </c>
      <c r="Y206" s="59">
        <v>2</v>
      </c>
      <c r="Z206" s="60">
        <v>1</v>
      </c>
      <c r="AA206" s="61"/>
      <c r="AB206" s="62"/>
      <c r="AC206" s="39">
        <f t="shared" si="9"/>
        <v>44961.375</v>
      </c>
      <c r="AD206" s="495">
        <f t="shared" si="10"/>
        <v>44961.333333333328</v>
      </c>
      <c r="AE206" s="40">
        <f t="shared" si="11"/>
        <v>44961.291666666664</v>
      </c>
    </row>
    <row r="207" spans="1:31" ht="21" customHeight="1" thickBot="1" x14ac:dyDescent="0.3">
      <c r="A207" s="445">
        <v>22</v>
      </c>
      <c r="B207" s="220">
        <v>44961</v>
      </c>
      <c r="C207" s="228">
        <v>44961.416666666664</v>
      </c>
      <c r="D207" s="493">
        <v>44961.625</v>
      </c>
      <c r="E207" s="493">
        <v>44961.666666666664</v>
      </c>
      <c r="F207" s="493">
        <v>44961.708333333336</v>
      </c>
      <c r="G207" s="258">
        <v>44961.75</v>
      </c>
      <c r="H207" s="226" t="s">
        <v>289</v>
      </c>
      <c r="I207" s="223" t="s">
        <v>63</v>
      </c>
      <c r="J207" s="243" t="s">
        <v>16</v>
      </c>
      <c r="K207" s="497">
        <v>3</v>
      </c>
      <c r="L207" s="497">
        <v>0</v>
      </c>
      <c r="M207" s="248" t="s">
        <v>9</v>
      </c>
      <c r="N207" s="52">
        <v>45122.417974537035</v>
      </c>
      <c r="O207" s="53" t="s">
        <v>49</v>
      </c>
      <c r="P207" s="54" t="s">
        <v>603</v>
      </c>
      <c r="R207" s="210">
        <v>1</v>
      </c>
      <c r="S207" s="210">
        <v>2</v>
      </c>
      <c r="T207" s="56">
        <v>0.94709968566894531</v>
      </c>
      <c r="U207" s="57">
        <v>2.0509998798370361</v>
      </c>
      <c r="V207" s="215">
        <v>0.16563118880633598</v>
      </c>
      <c r="W207" s="494">
        <v>0.20532205457210206</v>
      </c>
      <c r="X207" s="494">
        <v>0.62380826473236084</v>
      </c>
      <c r="Y207" s="59">
        <v>3</v>
      </c>
      <c r="Z207" s="60">
        <v>0</v>
      </c>
      <c r="AA207" s="61"/>
      <c r="AB207" s="62"/>
      <c r="AC207" s="39">
        <f t="shared" si="9"/>
        <v>44961.375</v>
      </c>
      <c r="AD207" s="495">
        <f t="shared" si="10"/>
        <v>44961.333333333328</v>
      </c>
      <c r="AE207" s="40">
        <f t="shared" si="11"/>
        <v>44961.291666666664</v>
      </c>
    </row>
    <row r="208" spans="1:31" ht="21" customHeight="1" thickBot="1" x14ac:dyDescent="0.3">
      <c r="A208" s="445">
        <v>22</v>
      </c>
      <c r="B208" s="220">
        <v>44961</v>
      </c>
      <c r="C208" s="228">
        <v>44961.520833333336</v>
      </c>
      <c r="D208" s="493">
        <v>44961.729166666664</v>
      </c>
      <c r="E208" s="493">
        <v>44961.770833333336</v>
      </c>
      <c r="F208" s="493">
        <v>44961.8125</v>
      </c>
      <c r="G208" s="258">
        <v>44961.854166666664</v>
      </c>
      <c r="H208" s="226" t="s">
        <v>207</v>
      </c>
      <c r="I208" s="223" t="s">
        <v>55</v>
      </c>
      <c r="J208" s="243" t="s">
        <v>12</v>
      </c>
      <c r="K208" s="497">
        <v>1</v>
      </c>
      <c r="L208" s="497">
        <v>1</v>
      </c>
      <c r="M208" s="248" t="s">
        <v>15</v>
      </c>
      <c r="N208" s="52">
        <v>45122.417974537035</v>
      </c>
      <c r="O208" s="53" t="s">
        <v>49</v>
      </c>
      <c r="P208" s="54" t="s">
        <v>603</v>
      </c>
      <c r="R208" s="210">
        <v>2</v>
      </c>
      <c r="S208" s="210">
        <v>1</v>
      </c>
      <c r="T208" s="56">
        <v>1.6400998830795288</v>
      </c>
      <c r="U208" s="57">
        <v>1.0509997606277466</v>
      </c>
      <c r="V208" s="215">
        <v>0.50955680364813449</v>
      </c>
      <c r="W208" s="494">
        <v>0.24581656130276963</v>
      </c>
      <c r="X208" s="494">
        <v>0.24297888576984406</v>
      </c>
      <c r="Y208" s="59">
        <v>1</v>
      </c>
      <c r="Z208" s="60">
        <v>1</v>
      </c>
      <c r="AA208" s="61"/>
      <c r="AB208" s="62"/>
      <c r="AC208" s="39">
        <f t="shared" si="9"/>
        <v>44961.479166666672</v>
      </c>
      <c r="AD208" s="495">
        <f t="shared" si="10"/>
        <v>44961.4375</v>
      </c>
      <c r="AE208" s="40">
        <f t="shared" si="11"/>
        <v>44961.395833333336</v>
      </c>
    </row>
    <row r="209" spans="1:31" ht="21" customHeight="1" thickBot="1" x14ac:dyDescent="0.3">
      <c r="A209" s="445">
        <v>22</v>
      </c>
      <c r="B209" s="220">
        <v>44962</v>
      </c>
      <c r="C209" s="228">
        <v>44962.375</v>
      </c>
      <c r="D209" s="493">
        <v>44962.583333333336</v>
      </c>
      <c r="E209" s="493">
        <v>44962.625</v>
      </c>
      <c r="F209" s="493">
        <v>44962.666666666664</v>
      </c>
      <c r="G209" s="258">
        <v>44962.708333333336</v>
      </c>
      <c r="H209" s="226" t="s">
        <v>493</v>
      </c>
      <c r="I209" s="223" t="s">
        <v>436</v>
      </c>
      <c r="J209" s="243" t="s">
        <v>204</v>
      </c>
      <c r="K209" s="497">
        <v>1</v>
      </c>
      <c r="L209" s="497">
        <v>0</v>
      </c>
      <c r="M209" s="248" t="s">
        <v>139</v>
      </c>
      <c r="N209" s="52">
        <v>45122.417974537035</v>
      </c>
      <c r="O209" s="53" t="s">
        <v>49</v>
      </c>
      <c r="P209" s="54" t="s">
        <v>603</v>
      </c>
      <c r="R209" s="210">
        <v>1</v>
      </c>
      <c r="S209" s="210">
        <v>2</v>
      </c>
      <c r="T209" s="56">
        <v>1.3540997505187988</v>
      </c>
      <c r="U209" s="57">
        <v>1.6309996843338013</v>
      </c>
      <c r="V209" s="215">
        <v>0.31805638465529912</v>
      </c>
      <c r="W209" s="494">
        <v>0.241168499232991</v>
      </c>
      <c r="X209" s="494">
        <v>0.43877530097961426</v>
      </c>
      <c r="Y209" s="59">
        <v>1</v>
      </c>
      <c r="Z209" s="60">
        <v>0</v>
      </c>
      <c r="AA209" s="61"/>
      <c r="AB209" s="62"/>
      <c r="AC209" s="39">
        <f t="shared" si="9"/>
        <v>44962.333333333336</v>
      </c>
      <c r="AD209" s="495">
        <f t="shared" si="10"/>
        <v>44962.291666666664</v>
      </c>
      <c r="AE209" s="40">
        <f t="shared" si="11"/>
        <v>44962.25</v>
      </c>
    </row>
    <row r="210" spans="1:31" ht="21" customHeight="1" thickBot="1" x14ac:dyDescent="0.3">
      <c r="A210" s="445">
        <v>22</v>
      </c>
      <c r="B210" s="220">
        <v>44962</v>
      </c>
      <c r="C210" s="228">
        <v>44962.479166666664</v>
      </c>
      <c r="D210" s="493">
        <v>44962.6875</v>
      </c>
      <c r="E210" s="493">
        <v>44962.729166666664</v>
      </c>
      <c r="F210" s="493">
        <v>44962.770833333336</v>
      </c>
      <c r="G210" s="258">
        <v>44962.8125</v>
      </c>
      <c r="H210" s="226" t="s">
        <v>208</v>
      </c>
      <c r="I210" s="223" t="s">
        <v>53</v>
      </c>
      <c r="J210" s="243" t="s">
        <v>14</v>
      </c>
      <c r="K210" s="497">
        <v>1</v>
      </c>
      <c r="L210" s="497">
        <v>0</v>
      </c>
      <c r="M210" s="248" t="s">
        <v>10</v>
      </c>
      <c r="N210" s="52">
        <v>45122.417974537035</v>
      </c>
      <c r="O210" s="53" t="s">
        <v>49</v>
      </c>
      <c r="P210" s="54" t="s">
        <v>603</v>
      </c>
      <c r="R210" s="210">
        <v>1</v>
      </c>
      <c r="S210" s="210">
        <v>2</v>
      </c>
      <c r="T210" s="56">
        <v>1.2000998258590698</v>
      </c>
      <c r="U210" s="57">
        <v>2.370999813079834</v>
      </c>
      <c r="V210" s="215">
        <v>0.17941669797195456</v>
      </c>
      <c r="W210" s="494">
        <v>0.1866733525515184</v>
      </c>
      <c r="X210" s="494">
        <v>0.62275063991546631</v>
      </c>
      <c r="Y210" s="59">
        <v>1</v>
      </c>
      <c r="Z210" s="60">
        <v>0</v>
      </c>
      <c r="AA210" s="61"/>
      <c r="AB210" s="62"/>
      <c r="AC210" s="39">
        <f t="shared" si="9"/>
        <v>44962.4375</v>
      </c>
      <c r="AD210" s="495">
        <f t="shared" si="10"/>
        <v>44962.395833333328</v>
      </c>
      <c r="AE210" s="40">
        <f t="shared" si="11"/>
        <v>44962.354166666664</v>
      </c>
    </row>
    <row r="211" spans="1:31" ht="21" customHeight="1" thickBot="1" x14ac:dyDescent="0.3">
      <c r="A211" s="444">
        <v>8</v>
      </c>
      <c r="B211" s="219">
        <v>44965</v>
      </c>
      <c r="C211" s="230">
        <v>44965.625</v>
      </c>
      <c r="D211" s="256">
        <v>44965.833333333336</v>
      </c>
      <c r="E211" s="256">
        <v>44965.875</v>
      </c>
      <c r="F211" s="256">
        <v>44965.916666666664</v>
      </c>
      <c r="G211" s="257">
        <v>44965.958333333336</v>
      </c>
      <c r="H211" s="225" t="s">
        <v>205</v>
      </c>
      <c r="I211" s="222" t="s">
        <v>56</v>
      </c>
      <c r="J211" s="242" t="s">
        <v>11</v>
      </c>
      <c r="K211" s="497">
        <v>2</v>
      </c>
      <c r="L211" s="497">
        <v>2</v>
      </c>
      <c r="M211" s="247" t="s">
        <v>139</v>
      </c>
      <c r="N211" s="41">
        <v>45122.417974537035</v>
      </c>
      <c r="O211" s="42" t="s">
        <v>49</v>
      </c>
      <c r="P211" s="43" t="s">
        <v>603</v>
      </c>
      <c r="Q211" s="44"/>
      <c r="R211" s="212">
        <v>1</v>
      </c>
      <c r="S211" s="212">
        <v>0</v>
      </c>
      <c r="T211" s="45">
        <v>1.2703426906040736</v>
      </c>
      <c r="U211" s="46">
        <v>0.51899987459182739</v>
      </c>
      <c r="V211" s="213">
        <v>0.55118300387687214</v>
      </c>
      <c r="W211" s="214">
        <v>0.2967625647297179</v>
      </c>
      <c r="X211" s="214">
        <v>0.15170089900493622</v>
      </c>
      <c r="Y211" s="47">
        <v>2</v>
      </c>
      <c r="Z211" s="48">
        <v>2</v>
      </c>
      <c r="AA211" s="49"/>
      <c r="AB211" s="50"/>
      <c r="AC211" s="75">
        <f t="shared" si="9"/>
        <v>44965.583333333336</v>
      </c>
      <c r="AD211" s="76">
        <f t="shared" si="10"/>
        <v>44965.541666666664</v>
      </c>
      <c r="AE211" s="77">
        <f t="shared" si="11"/>
        <v>44965.5</v>
      </c>
    </row>
    <row r="212" spans="1:31" ht="21" customHeight="1" thickBot="1" x14ac:dyDescent="0.3">
      <c r="A212" s="444">
        <v>23</v>
      </c>
      <c r="B212" s="219">
        <v>44968</v>
      </c>
      <c r="C212" s="230">
        <v>44968.3125</v>
      </c>
      <c r="D212" s="256">
        <v>44968.520833333336</v>
      </c>
      <c r="E212" s="256">
        <v>44968.5625</v>
      </c>
      <c r="F212" s="256">
        <v>44968.604166666664</v>
      </c>
      <c r="G212" s="257">
        <v>44968.645833333336</v>
      </c>
      <c r="H212" s="225" t="s">
        <v>288</v>
      </c>
      <c r="I212" s="222" t="s">
        <v>50</v>
      </c>
      <c r="J212" s="242" t="s">
        <v>15</v>
      </c>
      <c r="K212" s="497">
        <v>1</v>
      </c>
      <c r="L212" s="497">
        <v>1</v>
      </c>
      <c r="M212" s="247" t="s">
        <v>5</v>
      </c>
      <c r="N212" s="41">
        <v>45122.417974537035</v>
      </c>
      <c r="O212" s="42" t="s">
        <v>49</v>
      </c>
      <c r="P212" s="43" t="s">
        <v>603</v>
      </c>
      <c r="Q212" s="44"/>
      <c r="R212" s="212">
        <v>1</v>
      </c>
      <c r="S212" s="212">
        <v>1</v>
      </c>
      <c r="T212" s="45">
        <v>1.1340998411178589</v>
      </c>
      <c r="U212" s="46">
        <v>1.3009997606277466</v>
      </c>
      <c r="V212" s="213">
        <v>0.32310410308421056</v>
      </c>
      <c r="W212" s="214">
        <v>0.27307363055296696</v>
      </c>
      <c r="X212" s="214">
        <v>0.40323790907859802</v>
      </c>
      <c r="Y212" s="47">
        <v>1</v>
      </c>
      <c r="Z212" s="48">
        <v>1</v>
      </c>
      <c r="AA212" s="49"/>
      <c r="AB212" s="50"/>
      <c r="AC212" s="75">
        <f t="shared" si="9"/>
        <v>44968.270833333336</v>
      </c>
      <c r="AD212" s="76">
        <f t="shared" si="10"/>
        <v>44968.229166666664</v>
      </c>
      <c r="AE212" s="77">
        <f t="shared" si="11"/>
        <v>44968.1875</v>
      </c>
    </row>
    <row r="213" spans="1:31" ht="21" customHeight="1" thickBot="1" x14ac:dyDescent="0.3">
      <c r="A213" s="445">
        <v>23</v>
      </c>
      <c r="B213" s="220">
        <v>44968</v>
      </c>
      <c r="C213" s="228">
        <v>44968.416666666664</v>
      </c>
      <c r="D213" s="493">
        <v>44968.625</v>
      </c>
      <c r="E213" s="493">
        <v>44968.666666666664</v>
      </c>
      <c r="F213" s="493">
        <v>44968.708333333336</v>
      </c>
      <c r="G213" s="258">
        <v>44968.75</v>
      </c>
      <c r="H213" s="226" t="s">
        <v>184</v>
      </c>
      <c r="I213" s="223" t="s">
        <v>57</v>
      </c>
      <c r="J213" s="243" t="s">
        <v>1</v>
      </c>
      <c r="K213" s="497">
        <v>1</v>
      </c>
      <c r="L213" s="497">
        <v>1</v>
      </c>
      <c r="M213" s="248" t="s">
        <v>125</v>
      </c>
      <c r="N213" s="52">
        <v>45122.417974537035</v>
      </c>
      <c r="O213" s="53" t="s">
        <v>49</v>
      </c>
      <c r="P213" s="54" t="s">
        <v>603</v>
      </c>
      <c r="R213" s="210">
        <v>2</v>
      </c>
      <c r="S213" s="210">
        <v>1</v>
      </c>
      <c r="T213" s="56">
        <v>2.1460998058319092</v>
      </c>
      <c r="U213" s="57">
        <v>1.2809996604919434</v>
      </c>
      <c r="V213" s="215">
        <v>0.56513428207327987</v>
      </c>
      <c r="W213" s="494">
        <v>0.205496919749977</v>
      </c>
      <c r="X213" s="494">
        <v>0.22243732213973999</v>
      </c>
      <c r="Y213" s="59">
        <v>1</v>
      </c>
      <c r="Z213" s="60">
        <v>1</v>
      </c>
      <c r="AA213" s="61"/>
      <c r="AB213" s="62"/>
      <c r="AC213" s="39">
        <f t="shared" si="9"/>
        <v>44968.375</v>
      </c>
      <c r="AD213" s="495">
        <f t="shared" si="10"/>
        <v>44968.333333333328</v>
      </c>
      <c r="AE213" s="40">
        <f t="shared" si="11"/>
        <v>44968.291666666664</v>
      </c>
    </row>
    <row r="214" spans="1:31" ht="21" customHeight="1" thickBot="1" x14ac:dyDescent="0.3">
      <c r="A214" s="445">
        <v>23</v>
      </c>
      <c r="B214" s="220">
        <v>44968</v>
      </c>
      <c r="C214" s="228">
        <v>44968.416666666664</v>
      </c>
      <c r="D214" s="493">
        <v>44968.625</v>
      </c>
      <c r="E214" s="493">
        <v>44968.666666666664</v>
      </c>
      <c r="F214" s="493">
        <v>44968.708333333336</v>
      </c>
      <c r="G214" s="258">
        <v>44968.75</v>
      </c>
      <c r="H214" s="226" t="s">
        <v>233</v>
      </c>
      <c r="I214" s="223" t="s">
        <v>52</v>
      </c>
      <c r="J214" s="243" t="s">
        <v>6</v>
      </c>
      <c r="K214" s="497">
        <v>1</v>
      </c>
      <c r="L214" s="497">
        <v>1</v>
      </c>
      <c r="M214" s="248" t="s">
        <v>4</v>
      </c>
      <c r="N214" s="52">
        <v>45122.417974537035</v>
      </c>
      <c r="O214" s="53" t="s">
        <v>49</v>
      </c>
      <c r="P214" s="54" t="s">
        <v>603</v>
      </c>
      <c r="R214" s="210">
        <v>1</v>
      </c>
      <c r="S214" s="210">
        <v>2</v>
      </c>
      <c r="T214" s="56">
        <v>1.0570996999740601</v>
      </c>
      <c r="U214" s="57">
        <v>1.6109998226165771</v>
      </c>
      <c r="V214" s="215">
        <v>0.24898354448614343</v>
      </c>
      <c r="W214" s="494">
        <v>0.24845467753351957</v>
      </c>
      <c r="X214" s="494">
        <v>0.50105679035186768</v>
      </c>
      <c r="Y214" s="59">
        <v>1</v>
      </c>
      <c r="Z214" s="60">
        <v>1</v>
      </c>
      <c r="AA214" s="61"/>
      <c r="AB214" s="62"/>
      <c r="AC214" s="39">
        <f t="shared" si="9"/>
        <v>44968.375</v>
      </c>
      <c r="AD214" s="495">
        <f t="shared" si="10"/>
        <v>44968.333333333328</v>
      </c>
      <c r="AE214" s="40">
        <f t="shared" si="11"/>
        <v>44968.291666666664</v>
      </c>
    </row>
    <row r="215" spans="1:31" ht="21" customHeight="1" thickBot="1" x14ac:dyDescent="0.3">
      <c r="A215" s="445">
        <v>23</v>
      </c>
      <c r="B215" s="220">
        <v>44968</v>
      </c>
      <c r="C215" s="228">
        <v>44968.416666666664</v>
      </c>
      <c r="D215" s="493">
        <v>44968.625</v>
      </c>
      <c r="E215" s="493">
        <v>44968.666666666664</v>
      </c>
      <c r="F215" s="493">
        <v>44968.708333333336</v>
      </c>
      <c r="G215" s="258">
        <v>44968.75</v>
      </c>
      <c r="H215" s="226" t="s">
        <v>495</v>
      </c>
      <c r="I215" s="223" t="s">
        <v>431</v>
      </c>
      <c r="J215" s="243" t="s">
        <v>126</v>
      </c>
      <c r="K215" s="497">
        <v>2</v>
      </c>
      <c r="L215" s="497">
        <v>0</v>
      </c>
      <c r="M215" s="248" t="s">
        <v>204</v>
      </c>
      <c r="N215" s="52">
        <v>45122.417974537035</v>
      </c>
      <c r="O215" s="53" t="s">
        <v>49</v>
      </c>
      <c r="P215" s="54" t="s">
        <v>603</v>
      </c>
      <c r="R215" s="210">
        <v>2</v>
      </c>
      <c r="S215" s="210">
        <v>1</v>
      </c>
      <c r="T215" s="56">
        <v>1.7610996961593628</v>
      </c>
      <c r="U215" s="57">
        <v>0.87514269351959229</v>
      </c>
      <c r="V215" s="215">
        <v>0.58104291646872375</v>
      </c>
      <c r="W215" s="494">
        <v>0.23259420401066969</v>
      </c>
      <c r="X215" s="494">
        <v>0.18404731154441833</v>
      </c>
      <c r="Y215" s="59">
        <v>2</v>
      </c>
      <c r="Z215" s="60">
        <v>0</v>
      </c>
      <c r="AA215" s="61"/>
      <c r="AB215" s="62"/>
      <c r="AC215" s="39">
        <f t="shared" si="9"/>
        <v>44968.375</v>
      </c>
      <c r="AD215" s="495">
        <f t="shared" si="10"/>
        <v>44968.333333333328</v>
      </c>
      <c r="AE215" s="40">
        <f t="shared" si="11"/>
        <v>44968.291666666664</v>
      </c>
    </row>
    <row r="216" spans="1:31" ht="21" customHeight="1" thickBot="1" x14ac:dyDescent="0.3">
      <c r="A216" s="445">
        <v>23</v>
      </c>
      <c r="B216" s="220">
        <v>44968</v>
      </c>
      <c r="C216" s="228">
        <v>44968.416666666664</v>
      </c>
      <c r="D216" s="493">
        <v>44968.625</v>
      </c>
      <c r="E216" s="493">
        <v>44968.666666666664</v>
      </c>
      <c r="F216" s="493">
        <v>44968.708333333336</v>
      </c>
      <c r="G216" s="258">
        <v>44968.75</v>
      </c>
      <c r="H216" s="226" t="s">
        <v>297</v>
      </c>
      <c r="I216" s="223" t="s">
        <v>54</v>
      </c>
      <c r="J216" s="243" t="s">
        <v>8</v>
      </c>
      <c r="K216" s="497">
        <v>4</v>
      </c>
      <c r="L216" s="497">
        <v>1</v>
      </c>
      <c r="M216" s="248" t="s">
        <v>14</v>
      </c>
      <c r="N216" s="52">
        <v>45122.417974537035</v>
      </c>
      <c r="O216" s="53" t="s">
        <v>49</v>
      </c>
      <c r="P216" s="54" t="s">
        <v>603</v>
      </c>
      <c r="R216" s="210">
        <v>1</v>
      </c>
      <c r="S216" s="210">
        <v>1</v>
      </c>
      <c r="T216" s="56">
        <v>1.4310997724533081</v>
      </c>
      <c r="U216" s="57">
        <v>1.4322856664657593</v>
      </c>
      <c r="V216" s="215">
        <v>0.37424296337916291</v>
      </c>
      <c r="W216" s="494">
        <v>0.24956860438651249</v>
      </c>
      <c r="X216" s="494">
        <v>0.37477213144302368</v>
      </c>
      <c r="Y216" s="59">
        <v>4</v>
      </c>
      <c r="Z216" s="60">
        <v>1</v>
      </c>
      <c r="AA216" s="61"/>
      <c r="AB216" s="62"/>
      <c r="AC216" s="39">
        <f t="shared" si="9"/>
        <v>44968.375</v>
      </c>
      <c r="AD216" s="495">
        <f t="shared" si="10"/>
        <v>44968.333333333328</v>
      </c>
      <c r="AE216" s="40">
        <f t="shared" si="11"/>
        <v>44968.291666666664</v>
      </c>
    </row>
    <row r="217" spans="1:31" ht="21" customHeight="1" thickBot="1" x14ac:dyDescent="0.3">
      <c r="A217" s="445">
        <v>23</v>
      </c>
      <c r="B217" s="220">
        <v>44968</v>
      </c>
      <c r="C217" s="228">
        <v>44968.416666666664</v>
      </c>
      <c r="D217" s="493">
        <v>44968.625</v>
      </c>
      <c r="E217" s="493">
        <v>44968.666666666664</v>
      </c>
      <c r="F217" s="493">
        <v>44968.708333333336</v>
      </c>
      <c r="G217" s="258">
        <v>44968.75</v>
      </c>
      <c r="H217" s="226" t="s">
        <v>236</v>
      </c>
      <c r="I217" s="223" t="s">
        <v>60</v>
      </c>
      <c r="J217" s="243" t="s">
        <v>13</v>
      </c>
      <c r="K217" s="497">
        <v>1</v>
      </c>
      <c r="L217" s="497">
        <v>2</v>
      </c>
      <c r="M217" s="248" t="s">
        <v>16</v>
      </c>
      <c r="N217" s="52">
        <v>45122.417974537035</v>
      </c>
      <c r="O217" s="53" t="s">
        <v>49</v>
      </c>
      <c r="P217" s="54" t="s">
        <v>603</v>
      </c>
      <c r="R217" s="210">
        <v>1</v>
      </c>
      <c r="S217" s="210">
        <v>1</v>
      </c>
      <c r="T217" s="56">
        <v>1.1010998487472534</v>
      </c>
      <c r="U217" s="57">
        <v>1.1709996461868286</v>
      </c>
      <c r="V217" s="215">
        <v>0.3397309740062161</v>
      </c>
      <c r="W217" s="494">
        <v>0.2855351497803657</v>
      </c>
      <c r="X217" s="494">
        <v>0.37436726689338684</v>
      </c>
      <c r="Y217" s="59">
        <v>1</v>
      </c>
      <c r="Z217" s="60">
        <v>2</v>
      </c>
      <c r="AA217" s="61"/>
      <c r="AB217" s="62"/>
      <c r="AC217" s="39">
        <f t="shared" si="9"/>
        <v>44968.375</v>
      </c>
      <c r="AD217" s="495">
        <f t="shared" si="10"/>
        <v>44968.333333333328</v>
      </c>
      <c r="AE217" s="40">
        <f t="shared" si="11"/>
        <v>44968.291666666664</v>
      </c>
    </row>
    <row r="218" spans="1:31" ht="21" customHeight="1" thickBot="1" x14ac:dyDescent="0.3">
      <c r="A218" s="445">
        <v>23</v>
      </c>
      <c r="B218" s="220">
        <v>44968</v>
      </c>
      <c r="C218" s="228">
        <v>44968.520833333336</v>
      </c>
      <c r="D218" s="493">
        <v>44968.729166666664</v>
      </c>
      <c r="E218" s="493">
        <v>44968.770833333336</v>
      </c>
      <c r="F218" s="493">
        <v>44968.8125</v>
      </c>
      <c r="G218" s="258">
        <v>44968.854166666664</v>
      </c>
      <c r="H218" s="226" t="s">
        <v>494</v>
      </c>
      <c r="I218" s="223" t="s">
        <v>51</v>
      </c>
      <c r="J218" s="243" t="s">
        <v>3</v>
      </c>
      <c r="K218" s="497">
        <v>1</v>
      </c>
      <c r="L218" s="497">
        <v>1</v>
      </c>
      <c r="M218" s="248" t="s">
        <v>12</v>
      </c>
      <c r="N218" s="52">
        <v>45122.417974537035</v>
      </c>
      <c r="O218" s="53" t="s">
        <v>49</v>
      </c>
      <c r="P218" s="54" t="s">
        <v>603</v>
      </c>
      <c r="R218" s="210">
        <v>1</v>
      </c>
      <c r="S218" s="210">
        <v>2</v>
      </c>
      <c r="T218" s="56">
        <v>0.94709974527359009</v>
      </c>
      <c r="U218" s="57">
        <v>1.8609998226165771</v>
      </c>
      <c r="V218" s="215">
        <v>0.18795839288916116</v>
      </c>
      <c r="W218" s="494">
        <v>0.2237427279902412</v>
      </c>
      <c r="X218" s="494">
        <v>0.58515876531600952</v>
      </c>
      <c r="Y218" s="59">
        <v>1</v>
      </c>
      <c r="Z218" s="60">
        <v>1</v>
      </c>
      <c r="AA218" s="61"/>
      <c r="AB218" s="62"/>
      <c r="AC218" s="39">
        <f t="shared" si="9"/>
        <v>44968.479166666672</v>
      </c>
      <c r="AD218" s="495">
        <f t="shared" si="10"/>
        <v>44968.4375</v>
      </c>
      <c r="AE218" s="40">
        <f t="shared" si="11"/>
        <v>44968.395833333336</v>
      </c>
    </row>
    <row r="219" spans="1:31" ht="21" customHeight="1" thickBot="1" x14ac:dyDescent="0.3">
      <c r="A219" s="445">
        <v>23</v>
      </c>
      <c r="B219" s="220">
        <v>44969</v>
      </c>
      <c r="C219" s="228">
        <v>44969.375</v>
      </c>
      <c r="D219" s="493">
        <v>44969.583333333336</v>
      </c>
      <c r="E219" s="493">
        <v>44969.625</v>
      </c>
      <c r="F219" s="493">
        <v>44969.666666666664</v>
      </c>
      <c r="G219" s="258">
        <v>44969.708333333336</v>
      </c>
      <c r="H219" s="226" t="s">
        <v>348</v>
      </c>
      <c r="I219" s="223" t="s">
        <v>140</v>
      </c>
      <c r="J219" s="243" t="s">
        <v>139</v>
      </c>
      <c r="K219" s="497">
        <v>0</v>
      </c>
      <c r="L219" s="497">
        <v>2</v>
      </c>
      <c r="M219" s="248" t="s">
        <v>11</v>
      </c>
      <c r="N219" s="52">
        <v>45122.417974537035</v>
      </c>
      <c r="O219" s="53" t="s">
        <v>49</v>
      </c>
      <c r="P219" s="54" t="s">
        <v>603</v>
      </c>
      <c r="R219" s="210">
        <v>0</v>
      </c>
      <c r="S219" s="210">
        <v>1</v>
      </c>
      <c r="T219" s="56">
        <v>0.76119981493268685</v>
      </c>
      <c r="U219" s="57">
        <v>1.1548569202423096</v>
      </c>
      <c r="V219" s="215">
        <v>0.24190722581362564</v>
      </c>
      <c r="W219" s="494">
        <v>0.30794524816319097</v>
      </c>
      <c r="X219" s="494">
        <v>0.44993281364440918</v>
      </c>
      <c r="Y219" s="59">
        <v>0</v>
      </c>
      <c r="Z219" s="60">
        <v>2</v>
      </c>
      <c r="AA219" s="61"/>
      <c r="AB219" s="62"/>
      <c r="AC219" s="39">
        <f t="shared" si="9"/>
        <v>44969.333333333336</v>
      </c>
      <c r="AD219" s="495">
        <f t="shared" si="10"/>
        <v>44969.291666666664</v>
      </c>
      <c r="AE219" s="40">
        <f t="shared" si="11"/>
        <v>44969.25</v>
      </c>
    </row>
    <row r="220" spans="1:31" ht="21" customHeight="1" thickBot="1" x14ac:dyDescent="0.3">
      <c r="A220" s="445">
        <v>23</v>
      </c>
      <c r="B220" s="220">
        <v>44969</v>
      </c>
      <c r="C220" s="228">
        <v>44969.479166666664</v>
      </c>
      <c r="D220" s="493">
        <v>44969.6875</v>
      </c>
      <c r="E220" s="493">
        <v>44969.729166666664</v>
      </c>
      <c r="F220" s="493">
        <v>44969.770833333336</v>
      </c>
      <c r="G220" s="258">
        <v>44969.8125</v>
      </c>
      <c r="H220" s="226" t="s">
        <v>420</v>
      </c>
      <c r="I220" s="223" t="s">
        <v>61</v>
      </c>
      <c r="J220" s="243" t="s">
        <v>10</v>
      </c>
      <c r="K220" s="497">
        <v>3</v>
      </c>
      <c r="L220" s="497">
        <v>1</v>
      </c>
      <c r="M220" s="248" t="s">
        <v>2</v>
      </c>
      <c r="N220" s="52">
        <v>45122.417974537035</v>
      </c>
      <c r="O220" s="53" t="s">
        <v>49</v>
      </c>
      <c r="P220" s="54" t="s">
        <v>603</v>
      </c>
      <c r="R220" s="210">
        <v>2</v>
      </c>
      <c r="S220" s="210">
        <v>1</v>
      </c>
      <c r="T220" s="56">
        <v>2.3880999088287354</v>
      </c>
      <c r="U220" s="57">
        <v>0.930999755859375</v>
      </c>
      <c r="V220" s="215">
        <v>0.68530515229874911</v>
      </c>
      <c r="W220" s="494">
        <v>0.17408141779441208</v>
      </c>
      <c r="X220" s="494">
        <v>0.12925037741661072</v>
      </c>
      <c r="Y220" s="59">
        <v>3</v>
      </c>
      <c r="Z220" s="60">
        <v>1</v>
      </c>
      <c r="AA220" s="61"/>
      <c r="AB220" s="62"/>
      <c r="AC220" s="39">
        <f t="shared" si="9"/>
        <v>44969.4375</v>
      </c>
      <c r="AD220" s="495">
        <f t="shared" si="10"/>
        <v>44969.395833333328</v>
      </c>
      <c r="AE220" s="40">
        <f t="shared" si="11"/>
        <v>44969.354166666664</v>
      </c>
    </row>
    <row r="221" spans="1:31" ht="21" customHeight="1" thickBot="1" x14ac:dyDescent="0.3">
      <c r="A221" s="445">
        <v>23</v>
      </c>
      <c r="B221" s="220">
        <v>44970</v>
      </c>
      <c r="C221" s="228">
        <v>44970.625</v>
      </c>
      <c r="D221" s="493">
        <v>44970.833333333336</v>
      </c>
      <c r="E221" s="493">
        <v>44970.875</v>
      </c>
      <c r="F221" s="493">
        <v>44970.916666666664</v>
      </c>
      <c r="G221" s="258">
        <v>44970.958333333336</v>
      </c>
      <c r="H221" s="226" t="s">
        <v>196</v>
      </c>
      <c r="I221" s="223" t="s">
        <v>48</v>
      </c>
      <c r="J221" s="243" t="s">
        <v>9</v>
      </c>
      <c r="K221" s="497">
        <v>2</v>
      </c>
      <c r="L221" s="497">
        <v>0</v>
      </c>
      <c r="M221" s="248" t="s">
        <v>7</v>
      </c>
      <c r="N221" s="52">
        <v>45122.417974537035</v>
      </c>
      <c r="O221" s="53" t="s">
        <v>49</v>
      </c>
      <c r="P221" s="54" t="s">
        <v>603</v>
      </c>
      <c r="R221" s="210">
        <v>3</v>
      </c>
      <c r="S221" s="210">
        <v>1</v>
      </c>
      <c r="T221" s="56">
        <v>2.5420999526977539</v>
      </c>
      <c r="U221" s="57">
        <v>0.91099977493286133</v>
      </c>
      <c r="V221" s="215">
        <v>0.71137136517002519</v>
      </c>
      <c r="W221" s="494">
        <v>0.16002547349389551</v>
      </c>
      <c r="X221" s="494">
        <v>0.11316306889057159</v>
      </c>
      <c r="Y221" s="59">
        <v>2</v>
      </c>
      <c r="Z221" s="60">
        <v>0</v>
      </c>
      <c r="AA221" s="61"/>
      <c r="AB221" s="62"/>
      <c r="AC221" s="39">
        <f t="shared" si="9"/>
        <v>44970.583333333336</v>
      </c>
      <c r="AD221" s="495">
        <f t="shared" si="10"/>
        <v>44970.541666666664</v>
      </c>
      <c r="AE221" s="40">
        <f t="shared" si="11"/>
        <v>44970.5</v>
      </c>
    </row>
    <row r="222" spans="1:31" ht="21" customHeight="1" thickBot="1" x14ac:dyDescent="0.3">
      <c r="A222" s="444">
        <v>12</v>
      </c>
      <c r="B222" s="219">
        <v>44972</v>
      </c>
      <c r="C222" s="230">
        <v>44972.604166666664</v>
      </c>
      <c r="D222" s="256">
        <v>44972.8125</v>
      </c>
      <c r="E222" s="256">
        <v>44972.854166666664</v>
      </c>
      <c r="F222" s="256">
        <v>44972.895833333336</v>
      </c>
      <c r="G222" s="257">
        <v>44972.9375</v>
      </c>
      <c r="H222" s="225" t="s">
        <v>319</v>
      </c>
      <c r="I222" s="222" t="s">
        <v>57</v>
      </c>
      <c r="J222" s="242" t="s">
        <v>1</v>
      </c>
      <c r="K222" s="497">
        <v>1</v>
      </c>
      <c r="L222" s="497">
        <v>3</v>
      </c>
      <c r="M222" s="247" t="s">
        <v>10</v>
      </c>
      <c r="N222" s="41">
        <v>45122.417974537035</v>
      </c>
      <c r="O222" s="42" t="s">
        <v>49</v>
      </c>
      <c r="P222" s="43" t="s">
        <v>603</v>
      </c>
      <c r="Q222" s="44"/>
      <c r="R222" s="212">
        <v>1</v>
      </c>
      <c r="S222" s="212">
        <v>1</v>
      </c>
      <c r="T222" s="45">
        <v>0.93091412952968045</v>
      </c>
      <c r="U222" s="46">
        <v>0.93042844533920288</v>
      </c>
      <c r="V222" s="213">
        <v>0.33895757365514406</v>
      </c>
      <c r="W222" s="214">
        <v>0.32223973543485318</v>
      </c>
      <c r="X222" s="214">
        <v>0.33869585394859314</v>
      </c>
      <c r="Y222" s="47">
        <v>1</v>
      </c>
      <c r="Z222" s="48">
        <v>3</v>
      </c>
      <c r="AA222" s="49"/>
      <c r="AB222" s="50"/>
      <c r="AC222" s="75">
        <f t="shared" si="9"/>
        <v>44972.5625</v>
      </c>
      <c r="AD222" s="76">
        <f t="shared" si="10"/>
        <v>44972.520833333328</v>
      </c>
      <c r="AE222" s="77">
        <f t="shared" si="11"/>
        <v>44972.479166666664</v>
      </c>
    </row>
    <row r="223" spans="1:31" ht="21" customHeight="1" thickBot="1" x14ac:dyDescent="0.3">
      <c r="A223" s="444">
        <v>24</v>
      </c>
      <c r="B223" s="219">
        <v>44975</v>
      </c>
      <c r="C223" s="230">
        <v>44975.3125</v>
      </c>
      <c r="D223" s="256">
        <v>44975.520833333336</v>
      </c>
      <c r="E223" s="256">
        <v>44975.5625</v>
      </c>
      <c r="F223" s="256">
        <v>44975.604166666664</v>
      </c>
      <c r="G223" s="257">
        <v>44975.645833333336</v>
      </c>
      <c r="H223" s="225" t="s">
        <v>189</v>
      </c>
      <c r="I223" s="222" t="s">
        <v>58</v>
      </c>
      <c r="J223" s="242" t="s">
        <v>2</v>
      </c>
      <c r="K223" s="497">
        <v>2</v>
      </c>
      <c r="L223" s="497">
        <v>4</v>
      </c>
      <c r="M223" s="247" t="s">
        <v>1</v>
      </c>
      <c r="N223" s="41">
        <v>45122.417974537035</v>
      </c>
      <c r="O223" s="42" t="s">
        <v>49</v>
      </c>
      <c r="P223" s="43" t="s">
        <v>603</v>
      </c>
      <c r="Q223" s="44"/>
      <c r="R223" s="212">
        <v>1</v>
      </c>
      <c r="S223" s="212">
        <v>0</v>
      </c>
      <c r="T223" s="45">
        <v>1.1606569290161133</v>
      </c>
      <c r="U223" s="46">
        <v>0.76328563690185547</v>
      </c>
      <c r="V223" s="213">
        <v>0.45117513640936369</v>
      </c>
      <c r="W223" s="214">
        <v>0.30703487988952194</v>
      </c>
      <c r="X223" s="214">
        <v>0.241568922996521</v>
      </c>
      <c r="Y223" s="47">
        <v>2</v>
      </c>
      <c r="Z223" s="48">
        <v>4</v>
      </c>
      <c r="AA223" s="49"/>
      <c r="AB223" s="50"/>
      <c r="AC223" s="75">
        <f t="shared" si="9"/>
        <v>44975.270833333336</v>
      </c>
      <c r="AD223" s="76">
        <f t="shared" si="10"/>
        <v>44975.229166666664</v>
      </c>
      <c r="AE223" s="77">
        <f t="shared" si="11"/>
        <v>44975.1875</v>
      </c>
    </row>
    <row r="224" spans="1:31" ht="21" customHeight="1" thickBot="1" x14ac:dyDescent="0.3">
      <c r="A224" s="445">
        <v>24</v>
      </c>
      <c r="B224" s="220">
        <v>44975</v>
      </c>
      <c r="C224" s="228">
        <v>44975.416666666664</v>
      </c>
      <c r="D224" s="493">
        <v>44975.625</v>
      </c>
      <c r="E224" s="493">
        <v>44975.666666666664</v>
      </c>
      <c r="F224" s="493">
        <v>44975.708333333336</v>
      </c>
      <c r="G224" s="258">
        <v>44975.75</v>
      </c>
      <c r="H224" s="226" t="s">
        <v>182</v>
      </c>
      <c r="I224" s="223" t="s">
        <v>593</v>
      </c>
      <c r="J224" s="243" t="s">
        <v>125</v>
      </c>
      <c r="K224" s="497">
        <v>1</v>
      </c>
      <c r="L224" s="497">
        <v>1</v>
      </c>
      <c r="M224" s="248" t="s">
        <v>6</v>
      </c>
      <c r="N224" s="52">
        <v>45122.417974537035</v>
      </c>
      <c r="O224" s="53" t="s">
        <v>49</v>
      </c>
      <c r="P224" s="54" t="s">
        <v>603</v>
      </c>
      <c r="R224" s="210">
        <v>1</v>
      </c>
      <c r="S224" s="210">
        <v>1</v>
      </c>
      <c r="T224" s="56">
        <v>1.3980996608734131</v>
      </c>
      <c r="U224" s="57">
        <v>1.1609996557235718</v>
      </c>
      <c r="V224" s="215">
        <v>0.42312103370948106</v>
      </c>
      <c r="W224" s="494">
        <v>0.26412136328966718</v>
      </c>
      <c r="X224" s="494">
        <v>0.31193429231643677</v>
      </c>
      <c r="Y224" s="59">
        <v>1</v>
      </c>
      <c r="Z224" s="60">
        <v>1</v>
      </c>
      <c r="AA224" s="61"/>
      <c r="AB224" s="62"/>
      <c r="AC224" s="39">
        <f t="shared" si="9"/>
        <v>44975.375</v>
      </c>
      <c r="AD224" s="495">
        <f t="shared" si="10"/>
        <v>44975.333333333328</v>
      </c>
      <c r="AE224" s="40">
        <f t="shared" si="11"/>
        <v>44975.291666666664</v>
      </c>
    </row>
    <row r="225" spans="1:31" ht="21" customHeight="1" thickBot="1" x14ac:dyDescent="0.3">
      <c r="A225" s="445">
        <v>24</v>
      </c>
      <c r="B225" s="220">
        <v>44975</v>
      </c>
      <c r="C225" s="228">
        <v>44975.416666666664</v>
      </c>
      <c r="D225" s="493">
        <v>44975.625</v>
      </c>
      <c r="E225" s="493">
        <v>44975.666666666664</v>
      </c>
      <c r="F225" s="493">
        <v>44975.708333333336</v>
      </c>
      <c r="G225" s="258">
        <v>44975.75</v>
      </c>
      <c r="H225" s="226" t="s">
        <v>496</v>
      </c>
      <c r="I225" s="223" t="s">
        <v>151</v>
      </c>
      <c r="J225" s="243" t="s">
        <v>4</v>
      </c>
      <c r="K225" s="497">
        <v>0</v>
      </c>
      <c r="L225" s="497">
        <v>1</v>
      </c>
      <c r="M225" s="248" t="s">
        <v>126</v>
      </c>
      <c r="N225" s="52">
        <v>45122.417974537035</v>
      </c>
      <c r="O225" s="53" t="s">
        <v>49</v>
      </c>
      <c r="P225" s="54" t="s">
        <v>603</v>
      </c>
      <c r="R225" s="210">
        <v>2</v>
      </c>
      <c r="S225" s="210">
        <v>1</v>
      </c>
      <c r="T225" s="56">
        <v>2.1240999698638916</v>
      </c>
      <c r="U225" s="57">
        <v>1.0309997797012329</v>
      </c>
      <c r="V225" s="215">
        <v>0.61779635644395159</v>
      </c>
      <c r="W225" s="494">
        <v>0.20141634930670732</v>
      </c>
      <c r="X225" s="494">
        <v>0.17446598410606384</v>
      </c>
      <c r="Y225" s="59">
        <v>0</v>
      </c>
      <c r="Z225" s="60">
        <v>1</v>
      </c>
      <c r="AA225" s="61"/>
      <c r="AB225" s="62"/>
      <c r="AC225" s="39">
        <f t="shared" si="9"/>
        <v>44975.375</v>
      </c>
      <c r="AD225" s="495">
        <f t="shared" si="10"/>
        <v>44975.333333333328</v>
      </c>
      <c r="AE225" s="40">
        <f t="shared" si="11"/>
        <v>44975.291666666664</v>
      </c>
    </row>
    <row r="226" spans="1:31" ht="21" customHeight="1" thickBot="1" x14ac:dyDescent="0.3">
      <c r="A226" s="445">
        <v>24</v>
      </c>
      <c r="B226" s="220">
        <v>44975</v>
      </c>
      <c r="C226" s="228">
        <v>44975.416666666664</v>
      </c>
      <c r="D226" s="493">
        <v>44975.625</v>
      </c>
      <c r="E226" s="493">
        <v>44975.666666666664</v>
      </c>
      <c r="F226" s="493">
        <v>44975.708333333336</v>
      </c>
      <c r="G226" s="258">
        <v>44975.75</v>
      </c>
      <c r="H226" s="226" t="s">
        <v>159</v>
      </c>
      <c r="I226" s="223" t="s">
        <v>62</v>
      </c>
      <c r="J226" s="243" t="s">
        <v>5</v>
      </c>
      <c r="K226" s="497">
        <v>0</v>
      </c>
      <c r="L226" s="497">
        <v>1</v>
      </c>
      <c r="M226" s="248" t="s">
        <v>13</v>
      </c>
      <c r="N226" s="52">
        <v>45122.417974537035</v>
      </c>
      <c r="O226" s="53" t="s">
        <v>49</v>
      </c>
      <c r="P226" s="54" t="s">
        <v>603</v>
      </c>
      <c r="R226" s="210">
        <v>2</v>
      </c>
      <c r="S226" s="210">
        <v>0</v>
      </c>
      <c r="T226" s="56">
        <v>1.6620998382568359</v>
      </c>
      <c r="U226" s="57">
        <v>0.71099984645843506</v>
      </c>
      <c r="V226" s="215">
        <v>0.60075611911142668</v>
      </c>
      <c r="W226" s="494">
        <v>0.24046016100554857</v>
      </c>
      <c r="X226" s="494">
        <v>0.15712009370326996</v>
      </c>
      <c r="Y226" s="59">
        <v>0</v>
      </c>
      <c r="Z226" s="60">
        <v>1</v>
      </c>
      <c r="AA226" s="61"/>
      <c r="AB226" s="62"/>
      <c r="AC226" s="39">
        <f t="shared" si="9"/>
        <v>44975.375</v>
      </c>
      <c r="AD226" s="495">
        <f t="shared" si="10"/>
        <v>44975.333333333328</v>
      </c>
      <c r="AE226" s="40">
        <f t="shared" si="11"/>
        <v>44975.291666666664</v>
      </c>
    </row>
    <row r="227" spans="1:31" ht="21" customHeight="1" thickBot="1" x14ac:dyDescent="0.3">
      <c r="A227" s="445">
        <v>24</v>
      </c>
      <c r="B227" s="220">
        <v>44975</v>
      </c>
      <c r="C227" s="228">
        <v>44975.416666666664</v>
      </c>
      <c r="D227" s="493">
        <v>44975.625</v>
      </c>
      <c r="E227" s="493">
        <v>44975.666666666664</v>
      </c>
      <c r="F227" s="493">
        <v>44975.708333333336</v>
      </c>
      <c r="G227" s="258">
        <v>44975.75</v>
      </c>
      <c r="H227" s="226" t="s">
        <v>343</v>
      </c>
      <c r="I227" s="223" t="s">
        <v>59</v>
      </c>
      <c r="J227" s="243" t="s">
        <v>7</v>
      </c>
      <c r="K227" s="497">
        <v>1</v>
      </c>
      <c r="L227" s="497">
        <v>0</v>
      </c>
      <c r="M227" s="248" t="s">
        <v>139</v>
      </c>
      <c r="N227" s="52">
        <v>45122.417974537035</v>
      </c>
      <c r="O227" s="53" t="s">
        <v>49</v>
      </c>
      <c r="P227" s="54" t="s">
        <v>603</v>
      </c>
      <c r="R227" s="210">
        <v>1</v>
      </c>
      <c r="S227" s="210">
        <v>1</v>
      </c>
      <c r="T227" s="56">
        <v>1.1243570702416557</v>
      </c>
      <c r="U227" s="57">
        <v>1.3294283151626587</v>
      </c>
      <c r="V227" s="215">
        <v>0.31502683559916972</v>
      </c>
      <c r="W227" s="494">
        <v>0.27125332079317971</v>
      </c>
      <c r="X227" s="494">
        <v>0.41308972239494324</v>
      </c>
      <c r="Y227" s="59">
        <v>1</v>
      </c>
      <c r="Z227" s="60">
        <v>0</v>
      </c>
      <c r="AA227" s="61"/>
      <c r="AB227" s="62"/>
      <c r="AC227" s="39">
        <f t="shared" si="9"/>
        <v>44975.375</v>
      </c>
      <c r="AD227" s="495">
        <f t="shared" si="10"/>
        <v>44975.333333333328</v>
      </c>
      <c r="AE227" s="40">
        <f t="shared" si="11"/>
        <v>44975.291666666664</v>
      </c>
    </row>
    <row r="228" spans="1:31" ht="21" customHeight="1" thickBot="1" x14ac:dyDescent="0.3">
      <c r="A228" s="445">
        <v>24</v>
      </c>
      <c r="B228" s="220">
        <v>44975</v>
      </c>
      <c r="C228" s="228">
        <v>44975.416666666664</v>
      </c>
      <c r="D228" s="493">
        <v>44975.625</v>
      </c>
      <c r="E228" s="493">
        <v>44975.666666666664</v>
      </c>
      <c r="F228" s="493">
        <v>44975.708333333336</v>
      </c>
      <c r="G228" s="258">
        <v>44975.75</v>
      </c>
      <c r="H228" s="226" t="s">
        <v>497</v>
      </c>
      <c r="I228" s="223" t="s">
        <v>436</v>
      </c>
      <c r="J228" s="243" t="s">
        <v>204</v>
      </c>
      <c r="K228" s="497">
        <v>1</v>
      </c>
      <c r="L228" s="497">
        <v>1</v>
      </c>
      <c r="M228" s="248" t="s">
        <v>10</v>
      </c>
      <c r="N228" s="52">
        <v>45122.417974537035</v>
      </c>
      <c r="O228" s="53" t="s">
        <v>49</v>
      </c>
      <c r="P228" s="54" t="s">
        <v>603</v>
      </c>
      <c r="R228" s="210">
        <v>0</v>
      </c>
      <c r="S228" s="210">
        <v>1</v>
      </c>
      <c r="T228" s="56">
        <v>0.45209977030754089</v>
      </c>
      <c r="U228" s="57">
        <v>1.161857008934021</v>
      </c>
      <c r="V228" s="215">
        <v>0.14387952567601953</v>
      </c>
      <c r="W228" s="494">
        <v>0.31824158676405057</v>
      </c>
      <c r="X228" s="494">
        <v>0.53767132759094238</v>
      </c>
      <c r="Y228" s="59">
        <v>1</v>
      </c>
      <c r="Z228" s="60">
        <v>1</v>
      </c>
      <c r="AA228" s="61"/>
      <c r="AB228" s="62"/>
      <c r="AC228" s="39">
        <f t="shared" si="9"/>
        <v>44975.375</v>
      </c>
      <c r="AD228" s="495">
        <f t="shared" si="10"/>
        <v>44975.333333333328</v>
      </c>
      <c r="AE228" s="40">
        <f t="shared" si="11"/>
        <v>44975.291666666664</v>
      </c>
    </row>
    <row r="229" spans="1:31" ht="21" customHeight="1" thickBot="1" x14ac:dyDescent="0.3">
      <c r="A229" s="445">
        <v>24</v>
      </c>
      <c r="B229" s="220">
        <v>44975</v>
      </c>
      <c r="C229" s="228">
        <v>44975.416666666664</v>
      </c>
      <c r="D229" s="493">
        <v>44975.625</v>
      </c>
      <c r="E229" s="493">
        <v>44975.666666666664</v>
      </c>
      <c r="F229" s="493">
        <v>44975.708333333336</v>
      </c>
      <c r="G229" s="258">
        <v>44975.75</v>
      </c>
      <c r="H229" s="226" t="s">
        <v>498</v>
      </c>
      <c r="I229" s="223" t="s">
        <v>63</v>
      </c>
      <c r="J229" s="243" t="s">
        <v>16</v>
      </c>
      <c r="K229" s="497">
        <v>0</v>
      </c>
      <c r="L229" s="497">
        <v>1</v>
      </c>
      <c r="M229" s="248" t="s">
        <v>3</v>
      </c>
      <c r="N229" s="52">
        <v>45122.417974537035</v>
      </c>
      <c r="O229" s="53" t="s">
        <v>49</v>
      </c>
      <c r="P229" s="54" t="s">
        <v>603</v>
      </c>
      <c r="R229" s="210">
        <v>2</v>
      </c>
      <c r="S229" s="210">
        <v>1</v>
      </c>
      <c r="T229" s="56">
        <v>1.4640997648239136</v>
      </c>
      <c r="U229" s="57">
        <v>1.1309996843338013</v>
      </c>
      <c r="V229" s="215">
        <v>0.44700404512913305</v>
      </c>
      <c r="W229" s="494">
        <v>0.25985195912759862</v>
      </c>
      <c r="X229" s="494">
        <v>0.29216217994689941</v>
      </c>
      <c r="Y229" s="59">
        <v>0</v>
      </c>
      <c r="Z229" s="60">
        <v>1</v>
      </c>
      <c r="AA229" s="61"/>
      <c r="AB229" s="62"/>
      <c r="AC229" s="39">
        <f t="shared" si="9"/>
        <v>44975.375</v>
      </c>
      <c r="AD229" s="495">
        <f t="shared" si="10"/>
        <v>44975.333333333328</v>
      </c>
      <c r="AE229" s="40">
        <f t="shared" si="11"/>
        <v>44975.291666666664</v>
      </c>
    </row>
    <row r="230" spans="1:31" ht="21" customHeight="1" thickBot="1" x14ac:dyDescent="0.3">
      <c r="A230" s="445">
        <v>24</v>
      </c>
      <c r="B230" s="220">
        <v>44975</v>
      </c>
      <c r="C230" s="228">
        <v>44975.520833333336</v>
      </c>
      <c r="D230" s="493">
        <v>44975.729166666664</v>
      </c>
      <c r="E230" s="493">
        <v>44975.770833333336</v>
      </c>
      <c r="F230" s="493">
        <v>44975.8125</v>
      </c>
      <c r="G230" s="258">
        <v>44975.854166666664</v>
      </c>
      <c r="H230" s="226" t="s">
        <v>401</v>
      </c>
      <c r="I230" s="223" t="s">
        <v>55</v>
      </c>
      <c r="J230" s="243" t="s">
        <v>12</v>
      </c>
      <c r="K230" s="497">
        <v>0</v>
      </c>
      <c r="L230" s="497">
        <v>2</v>
      </c>
      <c r="M230" s="248" t="s">
        <v>9</v>
      </c>
      <c r="N230" s="52">
        <v>45122.417974537035</v>
      </c>
      <c r="O230" s="53" t="s">
        <v>49</v>
      </c>
      <c r="P230" s="54" t="s">
        <v>603</v>
      </c>
      <c r="R230" s="210">
        <v>2</v>
      </c>
      <c r="S230" s="210">
        <v>1</v>
      </c>
      <c r="T230" s="56">
        <v>1.5300999879837036</v>
      </c>
      <c r="U230" s="57">
        <v>1.2721426486968994</v>
      </c>
      <c r="V230" s="215">
        <v>0.43212491016382548</v>
      </c>
      <c r="W230" s="494">
        <v>0.25031345628393936</v>
      </c>
      <c r="X230" s="494">
        <v>0.31616976857185364</v>
      </c>
      <c r="Y230" s="59">
        <v>0</v>
      </c>
      <c r="Z230" s="60">
        <v>2</v>
      </c>
      <c r="AA230" s="61"/>
      <c r="AB230" s="62"/>
      <c r="AC230" s="39">
        <f t="shared" si="9"/>
        <v>44975.479166666672</v>
      </c>
      <c r="AD230" s="495">
        <f t="shared" si="10"/>
        <v>44975.4375</v>
      </c>
      <c r="AE230" s="40">
        <f t="shared" si="11"/>
        <v>44975.395833333336</v>
      </c>
    </row>
    <row r="231" spans="1:31" ht="21" customHeight="1" thickBot="1" x14ac:dyDescent="0.3">
      <c r="A231" s="445">
        <v>24</v>
      </c>
      <c r="B231" s="220">
        <v>44976</v>
      </c>
      <c r="C231" s="228">
        <v>44976.375</v>
      </c>
      <c r="D231" s="493">
        <v>44976.583333333336</v>
      </c>
      <c r="E231" s="493">
        <v>44976.625</v>
      </c>
      <c r="F231" s="493">
        <v>44976.666666666664</v>
      </c>
      <c r="G231" s="258">
        <v>44976.708333333336</v>
      </c>
      <c r="H231" s="226" t="s">
        <v>378</v>
      </c>
      <c r="I231" s="223" t="s">
        <v>56</v>
      </c>
      <c r="J231" s="243" t="s">
        <v>11</v>
      </c>
      <c r="K231" s="497">
        <v>3</v>
      </c>
      <c r="L231" s="497">
        <v>0</v>
      </c>
      <c r="M231" s="248" t="s">
        <v>8</v>
      </c>
      <c r="N231" s="52">
        <v>45122.417974537035</v>
      </c>
      <c r="O231" s="53" t="s">
        <v>49</v>
      </c>
      <c r="P231" s="54" t="s">
        <v>603</v>
      </c>
      <c r="R231" s="210">
        <v>2</v>
      </c>
      <c r="S231" s="210">
        <v>1</v>
      </c>
      <c r="T231" s="56">
        <v>1.9590997695922852</v>
      </c>
      <c r="U231" s="57">
        <v>1.2209997177124023</v>
      </c>
      <c r="V231" s="215">
        <v>0.54139861951756563</v>
      </c>
      <c r="W231" s="494">
        <v>0.21894297376761543</v>
      </c>
      <c r="X231" s="494">
        <v>0.23531949520111084</v>
      </c>
      <c r="Y231" s="59">
        <v>3</v>
      </c>
      <c r="Z231" s="60">
        <v>0</v>
      </c>
      <c r="AA231" s="61"/>
      <c r="AB231" s="62"/>
      <c r="AC231" s="39">
        <f t="shared" si="9"/>
        <v>44976.333333333336</v>
      </c>
      <c r="AD231" s="495">
        <f t="shared" si="10"/>
        <v>44976.291666666664</v>
      </c>
      <c r="AE231" s="40">
        <f t="shared" si="11"/>
        <v>44976.25</v>
      </c>
    </row>
    <row r="232" spans="1:31" ht="21" customHeight="1" thickBot="1" x14ac:dyDescent="0.3">
      <c r="A232" s="445">
        <v>24</v>
      </c>
      <c r="B232" s="220">
        <v>44976</v>
      </c>
      <c r="C232" s="228">
        <v>44976.479166666664</v>
      </c>
      <c r="D232" s="493">
        <v>44976.6875</v>
      </c>
      <c r="E232" s="493">
        <v>44976.729166666664</v>
      </c>
      <c r="F232" s="493">
        <v>44976.770833333336</v>
      </c>
      <c r="G232" s="258">
        <v>44976.8125</v>
      </c>
      <c r="H232" s="226" t="s">
        <v>375</v>
      </c>
      <c r="I232" s="223" t="s">
        <v>53</v>
      </c>
      <c r="J232" s="243" t="s">
        <v>14</v>
      </c>
      <c r="K232" s="497">
        <v>2</v>
      </c>
      <c r="L232" s="497">
        <v>0</v>
      </c>
      <c r="M232" s="248" t="s">
        <v>15</v>
      </c>
      <c r="N232" s="52">
        <v>45122.417974537035</v>
      </c>
      <c r="O232" s="53" t="s">
        <v>49</v>
      </c>
      <c r="P232" s="54" t="s">
        <v>603</v>
      </c>
      <c r="R232" s="210">
        <v>2</v>
      </c>
      <c r="S232" s="210">
        <v>1</v>
      </c>
      <c r="T232" s="56">
        <v>1.6400998830795288</v>
      </c>
      <c r="U232" s="57">
        <v>1.3209997415542603</v>
      </c>
      <c r="V232" s="215">
        <v>0.44805071076179825</v>
      </c>
      <c r="W232" s="494">
        <v>0.24143574372732482</v>
      </c>
      <c r="X232" s="494">
        <v>0.30853575468063354</v>
      </c>
      <c r="Y232" s="59">
        <v>2</v>
      </c>
      <c r="Z232" s="60">
        <v>0</v>
      </c>
      <c r="AA232" s="61"/>
      <c r="AB232" s="62"/>
      <c r="AC232" s="39">
        <f t="shared" si="9"/>
        <v>44976.4375</v>
      </c>
      <c r="AD232" s="495">
        <f t="shared" si="10"/>
        <v>44976.395833333328</v>
      </c>
      <c r="AE232" s="40">
        <f t="shared" si="11"/>
        <v>44976.354166666664</v>
      </c>
    </row>
    <row r="233" spans="1:31" ht="21" customHeight="1" thickBot="1" x14ac:dyDescent="0.3">
      <c r="A233" s="444">
        <v>25</v>
      </c>
      <c r="B233" s="219">
        <v>44981</v>
      </c>
      <c r="C233" s="230">
        <v>44981.625</v>
      </c>
      <c r="D233" s="256">
        <v>44981.833333333336</v>
      </c>
      <c r="E233" s="256">
        <v>44981.875</v>
      </c>
      <c r="F233" s="256">
        <v>44981.916666666664</v>
      </c>
      <c r="G233" s="257">
        <v>44981.958333333336</v>
      </c>
      <c r="H233" s="225" t="s">
        <v>500</v>
      </c>
      <c r="I233" s="222" t="s">
        <v>431</v>
      </c>
      <c r="J233" s="242" t="s">
        <v>126</v>
      </c>
      <c r="K233" s="497">
        <v>1</v>
      </c>
      <c r="L233" s="497">
        <v>1</v>
      </c>
      <c r="M233" s="247" t="s">
        <v>16</v>
      </c>
      <c r="N233" s="41">
        <v>45122.417974537035</v>
      </c>
      <c r="O233" s="42" t="s">
        <v>49</v>
      </c>
      <c r="P233" s="43" t="s">
        <v>603</v>
      </c>
      <c r="Q233" s="44"/>
      <c r="R233" s="212">
        <v>1</v>
      </c>
      <c r="S233" s="212">
        <v>1</v>
      </c>
      <c r="T233" s="45">
        <v>1.1889427389417375</v>
      </c>
      <c r="U233" s="46">
        <v>1.0037139654159546</v>
      </c>
      <c r="V233" s="213">
        <v>0.40125396970876631</v>
      </c>
      <c r="W233" s="214">
        <v>0.29024349806652888</v>
      </c>
      <c r="X233" s="214">
        <v>0.30817979574203491</v>
      </c>
      <c r="Y233" s="47">
        <v>1</v>
      </c>
      <c r="Z233" s="48">
        <v>1</v>
      </c>
      <c r="AA233" s="49"/>
      <c r="AB233" s="50"/>
      <c r="AC233" s="75">
        <f t="shared" si="9"/>
        <v>44981.583333333336</v>
      </c>
      <c r="AD233" s="76">
        <f t="shared" si="10"/>
        <v>44981.541666666664</v>
      </c>
      <c r="AE233" s="77">
        <f t="shared" si="11"/>
        <v>44981.5</v>
      </c>
    </row>
    <row r="234" spans="1:31" ht="21" customHeight="1" thickBot="1" x14ac:dyDescent="0.3">
      <c r="A234" s="445">
        <v>25</v>
      </c>
      <c r="B234" s="220">
        <v>44982</v>
      </c>
      <c r="C234" s="228">
        <v>44982.416666666664</v>
      </c>
      <c r="D234" s="493">
        <v>44982.625</v>
      </c>
      <c r="E234" s="493">
        <v>44982.666666666664</v>
      </c>
      <c r="F234" s="493">
        <v>44982.708333333336</v>
      </c>
      <c r="G234" s="258">
        <v>44982.75</v>
      </c>
      <c r="H234" s="226" t="s">
        <v>181</v>
      </c>
      <c r="I234" s="223" t="s">
        <v>59</v>
      </c>
      <c r="J234" s="243" t="s">
        <v>7</v>
      </c>
      <c r="K234" s="497">
        <v>0</v>
      </c>
      <c r="L234" s="497">
        <v>2</v>
      </c>
      <c r="M234" s="248" t="s">
        <v>2</v>
      </c>
      <c r="N234" s="52">
        <v>45122.417974537035</v>
      </c>
      <c r="O234" s="53" t="s">
        <v>49</v>
      </c>
      <c r="P234" s="54" t="s">
        <v>603</v>
      </c>
      <c r="R234" s="210">
        <v>1</v>
      </c>
      <c r="S234" s="210">
        <v>2</v>
      </c>
      <c r="T234" s="56">
        <v>1.0020997524261475</v>
      </c>
      <c r="U234" s="57">
        <v>1.6909997463226318</v>
      </c>
      <c r="V234" s="215">
        <v>0.22353819600756777</v>
      </c>
      <c r="W234" s="494">
        <v>0.24110594524357504</v>
      </c>
      <c r="X234" s="494">
        <v>0.53345108032226563</v>
      </c>
      <c r="Y234" s="59">
        <v>0</v>
      </c>
      <c r="Z234" s="60">
        <v>2</v>
      </c>
      <c r="AA234" s="61"/>
      <c r="AB234" s="62"/>
      <c r="AC234" s="39">
        <f t="shared" si="9"/>
        <v>44982.375</v>
      </c>
      <c r="AD234" s="495">
        <f t="shared" si="10"/>
        <v>44982.333333333328</v>
      </c>
      <c r="AE234" s="40">
        <f t="shared" si="11"/>
        <v>44982.291666666664</v>
      </c>
    </row>
    <row r="235" spans="1:31" ht="21" customHeight="1" thickBot="1" x14ac:dyDescent="0.3">
      <c r="A235" s="445">
        <v>25</v>
      </c>
      <c r="B235" s="220">
        <v>44982</v>
      </c>
      <c r="C235" s="228">
        <v>44982.416666666664</v>
      </c>
      <c r="D235" s="493">
        <v>44982.625</v>
      </c>
      <c r="E235" s="493">
        <v>44982.666666666664</v>
      </c>
      <c r="F235" s="493">
        <v>44982.708333333336</v>
      </c>
      <c r="G235" s="258">
        <v>44982.75</v>
      </c>
      <c r="H235" s="226" t="s">
        <v>377</v>
      </c>
      <c r="I235" s="223" t="s">
        <v>140</v>
      </c>
      <c r="J235" s="243" t="s">
        <v>139</v>
      </c>
      <c r="K235" s="497">
        <v>1</v>
      </c>
      <c r="L235" s="497">
        <v>0</v>
      </c>
      <c r="M235" s="248" t="s">
        <v>13</v>
      </c>
      <c r="N235" s="52">
        <v>45122.417974537035</v>
      </c>
      <c r="O235" s="53" t="s">
        <v>49</v>
      </c>
      <c r="P235" s="54" t="s">
        <v>603</v>
      </c>
      <c r="R235" s="210">
        <v>2</v>
      </c>
      <c r="S235" s="210">
        <v>1</v>
      </c>
      <c r="T235" s="56">
        <v>1.5410997867584229</v>
      </c>
      <c r="U235" s="57">
        <v>1.3209997415542603</v>
      </c>
      <c r="V235" s="215">
        <v>0.42427895821472528</v>
      </c>
      <c r="W235" s="494">
        <v>0.2479484908359913</v>
      </c>
      <c r="X235" s="494">
        <v>0.32624933123588562</v>
      </c>
      <c r="Y235" s="59">
        <v>1</v>
      </c>
      <c r="Z235" s="60">
        <v>0</v>
      </c>
      <c r="AA235" s="61"/>
      <c r="AB235" s="62"/>
      <c r="AC235" s="39">
        <f t="shared" si="9"/>
        <v>44982.375</v>
      </c>
      <c r="AD235" s="495">
        <f t="shared" si="10"/>
        <v>44982.333333333328</v>
      </c>
      <c r="AE235" s="40">
        <f t="shared" si="11"/>
        <v>44982.291666666664</v>
      </c>
    </row>
    <row r="236" spans="1:31" ht="21" customHeight="1" thickBot="1" x14ac:dyDescent="0.3">
      <c r="A236" s="445">
        <v>25</v>
      </c>
      <c r="B236" s="220">
        <v>44982</v>
      </c>
      <c r="C236" s="228">
        <v>44982.416666666664</v>
      </c>
      <c r="D236" s="493">
        <v>44982.625</v>
      </c>
      <c r="E236" s="493">
        <v>44982.666666666664</v>
      </c>
      <c r="F236" s="493">
        <v>44982.708333333336</v>
      </c>
      <c r="G236" s="258">
        <v>44982.75</v>
      </c>
      <c r="H236" s="226" t="s">
        <v>256</v>
      </c>
      <c r="I236" s="223" t="s">
        <v>54</v>
      </c>
      <c r="J236" s="243" t="s">
        <v>8</v>
      </c>
      <c r="K236" s="497">
        <v>0</v>
      </c>
      <c r="L236" s="497">
        <v>1</v>
      </c>
      <c r="M236" s="248" t="s">
        <v>1</v>
      </c>
      <c r="N236" s="52">
        <v>45122.417974537035</v>
      </c>
      <c r="O236" s="53" t="s">
        <v>49</v>
      </c>
      <c r="P236" s="54" t="s">
        <v>603</v>
      </c>
      <c r="R236" s="210">
        <v>1</v>
      </c>
      <c r="S236" s="210">
        <v>2</v>
      </c>
      <c r="T236" s="56">
        <v>1.0380854947226388</v>
      </c>
      <c r="U236" s="57">
        <v>2.0609996318817139</v>
      </c>
      <c r="V236" s="215">
        <v>0.18321302111710749</v>
      </c>
      <c r="W236" s="494">
        <v>0.20721605453573166</v>
      </c>
      <c r="X236" s="494">
        <v>0.6041533350944519</v>
      </c>
      <c r="Y236" s="59">
        <v>0</v>
      </c>
      <c r="Z236" s="60">
        <v>1</v>
      </c>
      <c r="AA236" s="61"/>
      <c r="AB236" s="62"/>
      <c r="AC236" s="39">
        <f t="shared" si="9"/>
        <v>44982.375</v>
      </c>
      <c r="AD236" s="495">
        <f t="shared" si="10"/>
        <v>44982.333333333328</v>
      </c>
      <c r="AE236" s="40">
        <f t="shared" si="11"/>
        <v>44982.291666666664</v>
      </c>
    </row>
    <row r="237" spans="1:31" ht="21" customHeight="1" thickBot="1" x14ac:dyDescent="0.3">
      <c r="A237" s="445">
        <v>25</v>
      </c>
      <c r="B237" s="220">
        <v>44982</v>
      </c>
      <c r="C237" s="228">
        <v>44982.416666666664</v>
      </c>
      <c r="D237" s="493">
        <v>44982.625</v>
      </c>
      <c r="E237" s="493">
        <v>44982.666666666664</v>
      </c>
      <c r="F237" s="493">
        <v>44982.708333333336</v>
      </c>
      <c r="G237" s="258">
        <v>44982.75</v>
      </c>
      <c r="H237" s="226" t="s">
        <v>501</v>
      </c>
      <c r="I237" s="223" t="s">
        <v>50</v>
      </c>
      <c r="J237" s="243" t="s">
        <v>15</v>
      </c>
      <c r="K237" s="497">
        <v>4</v>
      </c>
      <c r="L237" s="497">
        <v>0</v>
      </c>
      <c r="M237" s="248" t="s">
        <v>204</v>
      </c>
      <c r="N237" s="52">
        <v>45122.417974537035</v>
      </c>
      <c r="O237" s="53" t="s">
        <v>49</v>
      </c>
      <c r="P237" s="54" t="s">
        <v>603</v>
      </c>
      <c r="R237" s="210">
        <v>2</v>
      </c>
      <c r="S237" s="210">
        <v>1</v>
      </c>
      <c r="T237" s="56">
        <v>1.5660854407719202</v>
      </c>
      <c r="U237" s="57">
        <v>0.81099975109100342</v>
      </c>
      <c r="V237" s="215">
        <v>0.55116104562407098</v>
      </c>
      <c r="W237" s="494">
        <v>0.25386915765566392</v>
      </c>
      <c r="X237" s="494">
        <v>0.19376373291015625</v>
      </c>
      <c r="Y237" s="59">
        <v>4</v>
      </c>
      <c r="Z237" s="60">
        <v>0</v>
      </c>
      <c r="AA237" s="61"/>
      <c r="AB237" s="62"/>
      <c r="AC237" s="39">
        <f t="shared" si="9"/>
        <v>44982.375</v>
      </c>
      <c r="AD237" s="495">
        <f t="shared" si="10"/>
        <v>44982.333333333328</v>
      </c>
      <c r="AE237" s="40">
        <f t="shared" si="11"/>
        <v>44982.291666666664</v>
      </c>
    </row>
    <row r="238" spans="1:31" ht="21" customHeight="1" thickBot="1" x14ac:dyDescent="0.3">
      <c r="A238" s="445">
        <v>25</v>
      </c>
      <c r="B238" s="220">
        <v>44982</v>
      </c>
      <c r="C238" s="228">
        <v>44982.520833333336</v>
      </c>
      <c r="D238" s="493">
        <v>44982.729166666664</v>
      </c>
      <c r="E238" s="493">
        <v>44982.770833333336</v>
      </c>
      <c r="F238" s="493">
        <v>44982.8125</v>
      </c>
      <c r="G238" s="258">
        <v>44982.854166666664</v>
      </c>
      <c r="H238" s="226" t="s">
        <v>499</v>
      </c>
      <c r="I238" s="223" t="s">
        <v>51</v>
      </c>
      <c r="J238" s="243" t="s">
        <v>3</v>
      </c>
      <c r="K238" s="497">
        <v>1</v>
      </c>
      <c r="L238" s="497">
        <v>4</v>
      </c>
      <c r="M238" s="248" t="s">
        <v>10</v>
      </c>
      <c r="N238" s="52">
        <v>45122.417974537035</v>
      </c>
      <c r="O238" s="53" t="s">
        <v>49</v>
      </c>
      <c r="P238" s="54" t="s">
        <v>603</v>
      </c>
      <c r="R238" s="210">
        <v>0</v>
      </c>
      <c r="S238" s="210">
        <v>3</v>
      </c>
      <c r="T238" s="56">
        <v>0.6940997838973999</v>
      </c>
      <c r="U238" s="57">
        <v>2.6409997940063477</v>
      </c>
      <c r="V238" s="215">
        <v>7.4269358429898166E-2</v>
      </c>
      <c r="W238" s="494">
        <v>0.13765158332466604</v>
      </c>
      <c r="X238" s="494">
        <v>0.76955884695053101</v>
      </c>
      <c r="Y238" s="59">
        <v>1</v>
      </c>
      <c r="Z238" s="60">
        <v>4</v>
      </c>
      <c r="AA238" s="61"/>
      <c r="AB238" s="62"/>
      <c r="AC238" s="39">
        <f t="shared" si="9"/>
        <v>44982.479166666672</v>
      </c>
      <c r="AD238" s="495">
        <f t="shared" si="10"/>
        <v>44982.4375</v>
      </c>
      <c r="AE238" s="40">
        <f t="shared" si="11"/>
        <v>44982.395833333336</v>
      </c>
    </row>
    <row r="239" spans="1:31" ht="21" customHeight="1" thickBot="1" x14ac:dyDescent="0.3">
      <c r="A239" s="445">
        <v>25</v>
      </c>
      <c r="B239" s="220">
        <v>44982</v>
      </c>
      <c r="C239" s="228">
        <v>44982.614583333336</v>
      </c>
      <c r="D239" s="493">
        <v>44982.822916666664</v>
      </c>
      <c r="E239" s="493">
        <v>44982.864583333336</v>
      </c>
      <c r="F239" s="493">
        <v>44982.90625</v>
      </c>
      <c r="G239" s="258">
        <v>44982.947916666664</v>
      </c>
      <c r="H239" s="226" t="s">
        <v>180</v>
      </c>
      <c r="I239" s="223" t="s">
        <v>52</v>
      </c>
      <c r="J239" s="243" t="s">
        <v>6</v>
      </c>
      <c r="K239" s="497">
        <v>0</v>
      </c>
      <c r="L239" s="497">
        <v>0</v>
      </c>
      <c r="M239" s="248" t="s">
        <v>9</v>
      </c>
      <c r="N239" s="52">
        <v>45122.417974537035</v>
      </c>
      <c r="O239" s="53" t="s">
        <v>49</v>
      </c>
      <c r="P239" s="54" t="s">
        <v>603</v>
      </c>
      <c r="R239" s="210">
        <v>1</v>
      </c>
      <c r="S239" s="210">
        <v>2</v>
      </c>
      <c r="T239" s="56">
        <v>1.0900996923446655</v>
      </c>
      <c r="U239" s="57">
        <v>1.8409998416900635</v>
      </c>
      <c r="V239" s="215">
        <v>0.22282487136435711</v>
      </c>
      <c r="W239" s="494">
        <v>0.22769228153684987</v>
      </c>
      <c r="X239" s="494">
        <v>0.54643714427947998</v>
      </c>
      <c r="Y239" s="59">
        <v>0</v>
      </c>
      <c r="Z239" s="60">
        <v>0</v>
      </c>
      <c r="AA239" s="61"/>
      <c r="AB239" s="62"/>
      <c r="AC239" s="39">
        <f t="shared" si="9"/>
        <v>44982.572916666672</v>
      </c>
      <c r="AD239" s="495">
        <f t="shared" si="10"/>
        <v>44982.53125</v>
      </c>
      <c r="AE239" s="40">
        <f t="shared" si="11"/>
        <v>44982.489583333336</v>
      </c>
    </row>
    <row r="240" spans="1:31" ht="21" customHeight="1" thickBot="1" x14ac:dyDescent="0.3">
      <c r="A240" s="445">
        <v>25</v>
      </c>
      <c r="B240" s="220">
        <v>44983</v>
      </c>
      <c r="C240" s="228">
        <v>44983.354166666664</v>
      </c>
      <c r="D240" s="493">
        <v>44983.5625</v>
      </c>
      <c r="E240" s="493">
        <v>44983.604166666664</v>
      </c>
      <c r="F240" s="493">
        <v>44983.645833333336</v>
      </c>
      <c r="G240" s="258">
        <v>44983.6875</v>
      </c>
      <c r="H240" s="226" t="s">
        <v>228</v>
      </c>
      <c r="I240" s="223" t="s">
        <v>53</v>
      </c>
      <c r="J240" s="243" t="s">
        <v>14</v>
      </c>
      <c r="K240" s="497">
        <v>2</v>
      </c>
      <c r="L240" s="497">
        <v>0</v>
      </c>
      <c r="M240" s="248" t="s">
        <v>5</v>
      </c>
      <c r="N240" s="52">
        <v>45122.417974537035</v>
      </c>
      <c r="O240" s="53" t="s">
        <v>49</v>
      </c>
      <c r="P240" s="54" t="s">
        <v>603</v>
      </c>
      <c r="R240" s="210">
        <v>1</v>
      </c>
      <c r="S240" s="210">
        <v>1</v>
      </c>
      <c r="T240" s="56">
        <v>1.4310998916625977</v>
      </c>
      <c r="U240" s="57">
        <v>1.4009996652603149</v>
      </c>
      <c r="V240" s="215">
        <v>0.38052555023518964</v>
      </c>
      <c r="W240" s="494">
        <v>0.25111839024834731</v>
      </c>
      <c r="X240" s="494">
        <v>0.36702489852905273</v>
      </c>
      <c r="Y240" s="59">
        <v>2</v>
      </c>
      <c r="Z240" s="60">
        <v>0</v>
      </c>
      <c r="AA240" s="61"/>
      <c r="AB240" s="62"/>
      <c r="AC240" s="39">
        <f t="shared" si="9"/>
        <v>44983.3125</v>
      </c>
      <c r="AD240" s="495">
        <f t="shared" si="10"/>
        <v>44983.270833333328</v>
      </c>
      <c r="AE240" s="40">
        <f t="shared" si="11"/>
        <v>44983.229166666664</v>
      </c>
    </row>
    <row r="241" spans="1:31" ht="21" customHeight="1" thickBot="1" x14ac:dyDescent="0.3">
      <c r="A241" s="444">
        <v>7</v>
      </c>
      <c r="B241" s="219">
        <v>44986</v>
      </c>
      <c r="C241" s="230">
        <v>44986.614583333336</v>
      </c>
      <c r="D241" s="256">
        <v>44986.822916666664</v>
      </c>
      <c r="E241" s="256">
        <v>44986.864583333336</v>
      </c>
      <c r="F241" s="256">
        <v>44986.90625</v>
      </c>
      <c r="G241" s="257">
        <v>44986.947916666664</v>
      </c>
      <c r="H241" s="225" t="s">
        <v>203</v>
      </c>
      <c r="I241" s="222" t="s">
        <v>57</v>
      </c>
      <c r="J241" s="242" t="s">
        <v>1</v>
      </c>
      <c r="K241" s="497">
        <v>4</v>
      </c>
      <c r="L241" s="497">
        <v>0</v>
      </c>
      <c r="M241" s="247" t="s">
        <v>7</v>
      </c>
      <c r="N241" s="41">
        <v>45122.417974537035</v>
      </c>
      <c r="O241" s="42" t="s">
        <v>49</v>
      </c>
      <c r="P241" s="43" t="s">
        <v>603</v>
      </c>
      <c r="Q241" s="44"/>
      <c r="R241" s="212">
        <v>1</v>
      </c>
      <c r="S241" s="212">
        <v>0</v>
      </c>
      <c r="T241" s="45">
        <v>1.4086284637451172</v>
      </c>
      <c r="U241" s="46">
        <v>0.52057129144668579</v>
      </c>
      <c r="V241" s="213">
        <v>0.58980832097685731</v>
      </c>
      <c r="W241" s="214">
        <v>0.27297948153559404</v>
      </c>
      <c r="X241" s="214">
        <v>0.13656599819660187</v>
      </c>
      <c r="Y241" s="47">
        <v>4</v>
      </c>
      <c r="Z241" s="48">
        <v>0</v>
      </c>
      <c r="AA241" s="49"/>
      <c r="AB241" s="50"/>
      <c r="AC241" s="75">
        <f t="shared" si="9"/>
        <v>44986.572916666672</v>
      </c>
      <c r="AD241" s="76">
        <f t="shared" si="10"/>
        <v>44986.53125</v>
      </c>
      <c r="AE241" s="77">
        <f t="shared" si="11"/>
        <v>44986.489583333336</v>
      </c>
    </row>
    <row r="242" spans="1:31" ht="21" customHeight="1" thickBot="1" x14ac:dyDescent="0.3">
      <c r="A242" s="445">
        <v>7</v>
      </c>
      <c r="B242" s="220">
        <v>44986</v>
      </c>
      <c r="C242" s="228">
        <v>44986.625</v>
      </c>
      <c r="D242" s="493">
        <v>44986.833333333336</v>
      </c>
      <c r="E242" s="493">
        <v>44986.875</v>
      </c>
      <c r="F242" s="493">
        <v>44986.916666666664</v>
      </c>
      <c r="G242" s="258">
        <v>44986.958333333336</v>
      </c>
      <c r="H242" s="226" t="s">
        <v>419</v>
      </c>
      <c r="I242" s="223" t="s">
        <v>48</v>
      </c>
      <c r="J242" s="243" t="s">
        <v>9</v>
      </c>
      <c r="K242" s="497">
        <v>2</v>
      </c>
      <c r="L242" s="497">
        <v>0</v>
      </c>
      <c r="M242" s="248" t="s">
        <v>16</v>
      </c>
      <c r="N242" s="52">
        <v>45122.417974537035</v>
      </c>
      <c r="O242" s="53" t="s">
        <v>49</v>
      </c>
      <c r="P242" s="54" t="s">
        <v>603</v>
      </c>
      <c r="R242" s="210">
        <v>1</v>
      </c>
      <c r="S242" s="210">
        <v>0</v>
      </c>
      <c r="T242" s="56">
        <v>1.2891999653407504</v>
      </c>
      <c r="U242" s="57">
        <v>0.61499977111816406</v>
      </c>
      <c r="V242" s="215">
        <v>0.52939078953536756</v>
      </c>
      <c r="W242" s="494">
        <v>0.29260604505120635</v>
      </c>
      <c r="X242" s="494">
        <v>0.17761504650115967</v>
      </c>
      <c r="Y242" s="59">
        <v>2</v>
      </c>
      <c r="Z242" s="60">
        <v>0</v>
      </c>
      <c r="AA242" s="61"/>
      <c r="AB242" s="62"/>
      <c r="AC242" s="39">
        <f t="shared" si="9"/>
        <v>44986.583333333336</v>
      </c>
      <c r="AD242" s="495">
        <f t="shared" si="10"/>
        <v>44986.541666666664</v>
      </c>
      <c r="AE242" s="40">
        <f t="shared" si="11"/>
        <v>44986.5</v>
      </c>
    </row>
    <row r="243" spans="1:31" ht="21" customHeight="1" thickBot="1" x14ac:dyDescent="0.3">
      <c r="A243" s="444">
        <v>26</v>
      </c>
      <c r="B243" s="219">
        <v>44989</v>
      </c>
      <c r="C243" s="230">
        <v>44989.3125</v>
      </c>
      <c r="D243" s="256">
        <v>44989.520833333336</v>
      </c>
      <c r="E243" s="256">
        <v>44989.5625</v>
      </c>
      <c r="F243" s="256">
        <v>44989.604166666664</v>
      </c>
      <c r="G243" s="257">
        <v>44989.645833333336</v>
      </c>
      <c r="H243" s="225" t="s">
        <v>410</v>
      </c>
      <c r="I243" s="222" t="s">
        <v>61</v>
      </c>
      <c r="J243" s="242" t="s">
        <v>10</v>
      </c>
      <c r="K243" s="497">
        <v>2</v>
      </c>
      <c r="L243" s="497">
        <v>0</v>
      </c>
      <c r="M243" s="247" t="s">
        <v>12</v>
      </c>
      <c r="N243" s="41">
        <v>45122.417974537035</v>
      </c>
      <c r="O243" s="42" t="s">
        <v>49</v>
      </c>
      <c r="P243" s="43" t="s">
        <v>603</v>
      </c>
      <c r="Q243" s="44"/>
      <c r="R243" s="212">
        <v>2</v>
      </c>
      <c r="S243" s="212">
        <v>1</v>
      </c>
      <c r="T243" s="45">
        <v>2.3110997676849365</v>
      </c>
      <c r="U243" s="46">
        <v>1.0909998416900635</v>
      </c>
      <c r="V243" s="213">
        <v>0.63704165164126059</v>
      </c>
      <c r="W243" s="214">
        <v>0.18762407481917803</v>
      </c>
      <c r="X243" s="214">
        <v>0.16560123860836029</v>
      </c>
      <c r="Y243" s="47">
        <v>2</v>
      </c>
      <c r="Z243" s="48">
        <v>0</v>
      </c>
      <c r="AA243" s="49"/>
      <c r="AB243" s="50"/>
      <c r="AC243" s="75">
        <f t="shared" si="9"/>
        <v>44989.270833333336</v>
      </c>
      <c r="AD243" s="76">
        <f t="shared" si="10"/>
        <v>44989.229166666664</v>
      </c>
      <c r="AE243" s="77">
        <f t="shared" si="11"/>
        <v>44989.1875</v>
      </c>
    </row>
    <row r="244" spans="1:31" ht="21" customHeight="1" thickBot="1" x14ac:dyDescent="0.3">
      <c r="A244" s="445">
        <v>26</v>
      </c>
      <c r="B244" s="220">
        <v>44989</v>
      </c>
      <c r="C244" s="228">
        <v>44989.416666666664</v>
      </c>
      <c r="D244" s="493">
        <v>44989.625</v>
      </c>
      <c r="E244" s="493">
        <v>44989.666666666664</v>
      </c>
      <c r="F244" s="493">
        <v>44989.708333333336</v>
      </c>
      <c r="G244" s="258">
        <v>44989.75</v>
      </c>
      <c r="H244" s="226" t="s">
        <v>502</v>
      </c>
      <c r="I244" s="223" t="s">
        <v>57</v>
      </c>
      <c r="J244" s="243" t="s">
        <v>1</v>
      </c>
      <c r="K244" s="497">
        <v>3</v>
      </c>
      <c r="L244" s="497">
        <v>2</v>
      </c>
      <c r="M244" s="248" t="s">
        <v>3</v>
      </c>
      <c r="N244" s="52">
        <v>45122.417974537035</v>
      </c>
      <c r="O244" s="53" t="s">
        <v>49</v>
      </c>
      <c r="P244" s="54" t="s">
        <v>603</v>
      </c>
      <c r="R244" s="210">
        <v>1</v>
      </c>
      <c r="S244" s="210">
        <v>1</v>
      </c>
      <c r="T244" s="56">
        <v>1.0611855983734131</v>
      </c>
      <c r="U244" s="57">
        <v>0.930999755859375</v>
      </c>
      <c r="V244" s="215">
        <v>0.37983895414868168</v>
      </c>
      <c r="W244" s="494">
        <v>0.30832403471657377</v>
      </c>
      <c r="X244" s="494">
        <v>0.31166374683380127</v>
      </c>
      <c r="Y244" s="59">
        <v>3</v>
      </c>
      <c r="Z244" s="60">
        <v>2</v>
      </c>
      <c r="AA244" s="61"/>
      <c r="AB244" s="62"/>
      <c r="AC244" s="39">
        <f t="shared" si="9"/>
        <v>44989.375</v>
      </c>
      <c r="AD244" s="495">
        <f t="shared" si="10"/>
        <v>44989.333333333328</v>
      </c>
      <c r="AE244" s="40">
        <f t="shared" si="11"/>
        <v>44989.291666666664</v>
      </c>
    </row>
    <row r="245" spans="1:31" ht="21" customHeight="1" thickBot="1" x14ac:dyDescent="0.3">
      <c r="A245" s="445">
        <v>26</v>
      </c>
      <c r="B245" s="220">
        <v>44989</v>
      </c>
      <c r="C245" s="228">
        <v>44989.416666666664</v>
      </c>
      <c r="D245" s="493">
        <v>44989.625</v>
      </c>
      <c r="E245" s="493">
        <v>44989.666666666664</v>
      </c>
      <c r="F245" s="493">
        <v>44989.708333333336</v>
      </c>
      <c r="G245" s="258">
        <v>44989.75</v>
      </c>
      <c r="H245" s="226" t="s">
        <v>200</v>
      </c>
      <c r="I245" s="223" t="s">
        <v>58</v>
      </c>
      <c r="J245" s="243" t="s">
        <v>2</v>
      </c>
      <c r="K245" s="497">
        <v>1</v>
      </c>
      <c r="L245" s="497">
        <v>0</v>
      </c>
      <c r="M245" s="248" t="s">
        <v>6</v>
      </c>
      <c r="N245" s="52">
        <v>45122.417974537035</v>
      </c>
      <c r="O245" s="53" t="s">
        <v>49</v>
      </c>
      <c r="P245" s="54" t="s">
        <v>603</v>
      </c>
      <c r="R245" s="210">
        <v>1</v>
      </c>
      <c r="S245" s="210">
        <v>1</v>
      </c>
      <c r="T245" s="56">
        <v>1.3430997133255005</v>
      </c>
      <c r="U245" s="57">
        <v>0.99099969863891602</v>
      </c>
      <c r="V245" s="215">
        <v>0.4476106551507511</v>
      </c>
      <c r="W245" s="494">
        <v>0.27568940185381824</v>
      </c>
      <c r="X245" s="494">
        <v>0.27613252401351929</v>
      </c>
      <c r="Y245" s="59">
        <v>1</v>
      </c>
      <c r="Z245" s="60">
        <v>0</v>
      </c>
      <c r="AA245" s="61"/>
      <c r="AB245" s="62"/>
      <c r="AC245" s="39">
        <f t="shared" si="9"/>
        <v>44989.375</v>
      </c>
      <c r="AD245" s="495">
        <f t="shared" si="10"/>
        <v>44989.333333333328</v>
      </c>
      <c r="AE245" s="40">
        <f t="shared" si="11"/>
        <v>44989.291666666664</v>
      </c>
    </row>
    <row r="246" spans="1:31" ht="21" customHeight="1" thickBot="1" x14ac:dyDescent="0.3">
      <c r="A246" s="445">
        <v>26</v>
      </c>
      <c r="B246" s="220">
        <v>44989</v>
      </c>
      <c r="C246" s="228">
        <v>44989.416666666664</v>
      </c>
      <c r="D246" s="493">
        <v>44989.625</v>
      </c>
      <c r="E246" s="493">
        <v>44989.666666666664</v>
      </c>
      <c r="F246" s="493">
        <v>44989.708333333336</v>
      </c>
      <c r="G246" s="258">
        <v>44989.75</v>
      </c>
      <c r="H246" s="226" t="s">
        <v>416</v>
      </c>
      <c r="I246" s="223" t="s">
        <v>151</v>
      </c>
      <c r="J246" s="243" t="s">
        <v>4</v>
      </c>
      <c r="K246" s="497">
        <v>4</v>
      </c>
      <c r="L246" s="497">
        <v>0</v>
      </c>
      <c r="M246" s="248" t="s">
        <v>15</v>
      </c>
      <c r="N246" s="52">
        <v>45122.417974537035</v>
      </c>
      <c r="O246" s="53" t="s">
        <v>49</v>
      </c>
      <c r="P246" s="54" t="s">
        <v>603</v>
      </c>
      <c r="R246" s="210">
        <v>2</v>
      </c>
      <c r="S246" s="210">
        <v>1</v>
      </c>
      <c r="T246" s="56">
        <v>1.8930999040603638</v>
      </c>
      <c r="U246" s="57">
        <v>1.0909997224807739</v>
      </c>
      <c r="V246" s="215">
        <v>0.55749493579652121</v>
      </c>
      <c r="W246" s="494">
        <v>0.22312525760860699</v>
      </c>
      <c r="X246" s="494">
        <v>0.21585947275161743</v>
      </c>
      <c r="Y246" s="59">
        <v>4</v>
      </c>
      <c r="Z246" s="60">
        <v>0</v>
      </c>
      <c r="AA246" s="61"/>
      <c r="AB246" s="62"/>
      <c r="AC246" s="39">
        <f t="shared" si="9"/>
        <v>44989.375</v>
      </c>
      <c r="AD246" s="495">
        <f t="shared" si="10"/>
        <v>44989.333333333328</v>
      </c>
      <c r="AE246" s="40">
        <f t="shared" si="11"/>
        <v>44989.291666666664</v>
      </c>
    </row>
    <row r="247" spans="1:31" ht="21" customHeight="1" thickBot="1" x14ac:dyDescent="0.3">
      <c r="A247" s="445">
        <v>26</v>
      </c>
      <c r="B247" s="220">
        <v>44989</v>
      </c>
      <c r="C247" s="228">
        <v>44989.416666666664</v>
      </c>
      <c r="D247" s="493">
        <v>44989.625</v>
      </c>
      <c r="E247" s="493">
        <v>44989.666666666664</v>
      </c>
      <c r="F247" s="493">
        <v>44989.708333333336</v>
      </c>
      <c r="G247" s="258">
        <v>44989.75</v>
      </c>
      <c r="H247" s="226" t="s">
        <v>291</v>
      </c>
      <c r="I247" s="223" t="s">
        <v>62</v>
      </c>
      <c r="J247" s="243" t="s">
        <v>5</v>
      </c>
      <c r="K247" s="497">
        <v>1</v>
      </c>
      <c r="L247" s="497">
        <v>0</v>
      </c>
      <c r="M247" s="248" t="s">
        <v>139</v>
      </c>
      <c r="N247" s="52">
        <v>45122.417974537035</v>
      </c>
      <c r="O247" s="53" t="s">
        <v>49</v>
      </c>
      <c r="P247" s="54" t="s">
        <v>603</v>
      </c>
      <c r="R247" s="210">
        <v>2</v>
      </c>
      <c r="S247" s="210">
        <v>1</v>
      </c>
      <c r="T247" s="56">
        <v>1.6226569584437778</v>
      </c>
      <c r="U247" s="57">
        <v>1.0009998083114624</v>
      </c>
      <c r="V247" s="215">
        <v>0.51738795626763778</v>
      </c>
      <c r="W247" s="494">
        <v>0.24777168349959489</v>
      </c>
      <c r="X247" s="494">
        <v>0.23331104218959808</v>
      </c>
      <c r="Y247" s="59">
        <v>1</v>
      </c>
      <c r="Z247" s="60">
        <v>0</v>
      </c>
      <c r="AA247" s="61"/>
      <c r="AB247" s="62"/>
      <c r="AC247" s="39">
        <f t="shared" si="9"/>
        <v>44989.375</v>
      </c>
      <c r="AD247" s="495">
        <f t="shared" si="10"/>
        <v>44989.333333333328</v>
      </c>
      <c r="AE247" s="40">
        <f t="shared" si="11"/>
        <v>44989.291666666664</v>
      </c>
    </row>
    <row r="248" spans="1:31" ht="21" customHeight="1" thickBot="1" x14ac:dyDescent="0.3">
      <c r="A248" s="445">
        <v>26</v>
      </c>
      <c r="B248" s="220">
        <v>44989</v>
      </c>
      <c r="C248" s="228">
        <v>44989.416666666664</v>
      </c>
      <c r="D248" s="493">
        <v>44989.625</v>
      </c>
      <c r="E248" s="493">
        <v>44989.666666666664</v>
      </c>
      <c r="F248" s="493">
        <v>44989.708333333336</v>
      </c>
      <c r="G248" s="258">
        <v>44989.75</v>
      </c>
      <c r="H248" s="226" t="s">
        <v>211</v>
      </c>
      <c r="I248" s="223" t="s">
        <v>63</v>
      </c>
      <c r="J248" s="243" t="s">
        <v>16</v>
      </c>
      <c r="K248" s="497">
        <v>1</v>
      </c>
      <c r="L248" s="497">
        <v>0</v>
      </c>
      <c r="M248" s="248" t="s">
        <v>14</v>
      </c>
      <c r="N248" s="52">
        <v>45122.417974537035</v>
      </c>
      <c r="O248" s="53" t="s">
        <v>49</v>
      </c>
      <c r="P248" s="54" t="s">
        <v>603</v>
      </c>
      <c r="R248" s="210">
        <v>0</v>
      </c>
      <c r="S248" s="210">
        <v>1</v>
      </c>
      <c r="T248" s="56">
        <v>0.50018559183393208</v>
      </c>
      <c r="U248" s="57">
        <v>1.3637140989303589</v>
      </c>
      <c r="V248" s="215">
        <v>0.13573703017019964</v>
      </c>
      <c r="W248" s="494">
        <v>0.28030340651278168</v>
      </c>
      <c r="X248" s="494">
        <v>0.58342450857162476</v>
      </c>
      <c r="Y248" s="59">
        <v>1</v>
      </c>
      <c r="Z248" s="60">
        <v>0</v>
      </c>
      <c r="AA248" s="61"/>
      <c r="AB248" s="62"/>
      <c r="AC248" s="39">
        <f t="shared" si="9"/>
        <v>44989.375</v>
      </c>
      <c r="AD248" s="495">
        <f t="shared" si="10"/>
        <v>44989.333333333328</v>
      </c>
      <c r="AE248" s="40">
        <f t="shared" si="11"/>
        <v>44989.291666666664</v>
      </c>
    </row>
    <row r="249" spans="1:31" ht="21" customHeight="1" thickBot="1" x14ac:dyDescent="0.3">
      <c r="A249" s="445">
        <v>26</v>
      </c>
      <c r="B249" s="220">
        <v>44989</v>
      </c>
      <c r="C249" s="228">
        <v>44989.520833333336</v>
      </c>
      <c r="D249" s="493">
        <v>44989.729166666664</v>
      </c>
      <c r="E249" s="493">
        <v>44989.770833333336</v>
      </c>
      <c r="F249" s="493">
        <v>44989.8125</v>
      </c>
      <c r="G249" s="258">
        <v>44989.854166666664</v>
      </c>
      <c r="H249" s="226" t="s">
        <v>282</v>
      </c>
      <c r="I249" s="223" t="s">
        <v>60</v>
      </c>
      <c r="J249" s="243" t="s">
        <v>13</v>
      </c>
      <c r="K249" s="497">
        <v>1</v>
      </c>
      <c r="L249" s="497">
        <v>0</v>
      </c>
      <c r="M249" s="248" t="s">
        <v>8</v>
      </c>
      <c r="N249" s="52">
        <v>45122.417974537035</v>
      </c>
      <c r="O249" s="53" t="s">
        <v>49</v>
      </c>
      <c r="P249" s="54" t="s">
        <v>603</v>
      </c>
      <c r="R249" s="210">
        <v>1</v>
      </c>
      <c r="S249" s="210">
        <v>1</v>
      </c>
      <c r="T249" s="56">
        <v>1.189099907875061</v>
      </c>
      <c r="U249" s="57">
        <v>1.4109996557235718</v>
      </c>
      <c r="V249" s="215">
        <v>0.31689712073096904</v>
      </c>
      <c r="W249" s="494">
        <v>0.26197496435591555</v>
      </c>
      <c r="X249" s="494">
        <v>0.42023909091949463</v>
      </c>
      <c r="Y249" s="59">
        <v>1</v>
      </c>
      <c r="Z249" s="60">
        <v>0</v>
      </c>
      <c r="AA249" s="61"/>
      <c r="AB249" s="62"/>
      <c r="AC249" s="39">
        <f t="shared" si="9"/>
        <v>44989.479166666672</v>
      </c>
      <c r="AD249" s="495">
        <f t="shared" si="10"/>
        <v>44989.4375</v>
      </c>
      <c r="AE249" s="40">
        <f t="shared" si="11"/>
        <v>44989.395833333336</v>
      </c>
    </row>
    <row r="250" spans="1:31" ht="21" customHeight="1" thickBot="1" x14ac:dyDescent="0.3">
      <c r="A250" s="445">
        <v>26</v>
      </c>
      <c r="B250" s="220">
        <v>44990</v>
      </c>
      <c r="C250" s="228">
        <v>44990.375</v>
      </c>
      <c r="D250" s="493">
        <v>44990.583333333336</v>
      </c>
      <c r="E250" s="493">
        <v>44990.625</v>
      </c>
      <c r="F250" s="493">
        <v>44990.666666666664</v>
      </c>
      <c r="G250" s="258">
        <v>44990.708333333336</v>
      </c>
      <c r="H250" s="226" t="s">
        <v>504</v>
      </c>
      <c r="I250" s="223" t="s">
        <v>436</v>
      </c>
      <c r="J250" s="243" t="s">
        <v>204</v>
      </c>
      <c r="K250" s="497">
        <v>2</v>
      </c>
      <c r="L250" s="497">
        <v>2</v>
      </c>
      <c r="M250" s="248" t="s">
        <v>7</v>
      </c>
      <c r="N250" s="52">
        <v>45122.417974537035</v>
      </c>
      <c r="O250" s="53" t="s">
        <v>49</v>
      </c>
      <c r="P250" s="54" t="s">
        <v>603</v>
      </c>
      <c r="R250" s="210">
        <v>1</v>
      </c>
      <c r="S250" s="210">
        <v>1</v>
      </c>
      <c r="T250" s="56">
        <v>1.2880997657775879</v>
      </c>
      <c r="U250" s="57">
        <v>0.82914274930953979</v>
      </c>
      <c r="V250" s="215">
        <v>0.47204189342409664</v>
      </c>
      <c r="W250" s="494">
        <v>0.28759347774410732</v>
      </c>
      <c r="X250" s="494">
        <v>0.23995636403560638</v>
      </c>
      <c r="Y250" s="59">
        <v>2</v>
      </c>
      <c r="Z250" s="60">
        <v>2</v>
      </c>
      <c r="AA250" s="61"/>
      <c r="AB250" s="62"/>
      <c r="AC250" s="39">
        <f t="shared" si="9"/>
        <v>44990.333333333336</v>
      </c>
      <c r="AD250" s="495">
        <f t="shared" si="10"/>
        <v>44990.291666666664</v>
      </c>
      <c r="AE250" s="40">
        <f t="shared" si="11"/>
        <v>44990.25</v>
      </c>
    </row>
    <row r="251" spans="1:31" ht="21" customHeight="1" thickBot="1" x14ac:dyDescent="0.3">
      <c r="A251" s="445">
        <v>26</v>
      </c>
      <c r="B251" s="220">
        <v>44990</v>
      </c>
      <c r="C251" s="228">
        <v>44990.479166666664</v>
      </c>
      <c r="D251" s="493">
        <v>44990.6875</v>
      </c>
      <c r="E251" s="493">
        <v>44990.729166666664</v>
      </c>
      <c r="F251" s="493">
        <v>44990.770833333336</v>
      </c>
      <c r="G251" s="258">
        <v>44990.8125</v>
      </c>
      <c r="H251" s="226" t="s">
        <v>372</v>
      </c>
      <c r="I251" s="223" t="s">
        <v>48</v>
      </c>
      <c r="J251" s="243" t="s">
        <v>9</v>
      </c>
      <c r="K251" s="497">
        <v>7</v>
      </c>
      <c r="L251" s="497">
        <v>0</v>
      </c>
      <c r="M251" s="248" t="s">
        <v>11</v>
      </c>
      <c r="N251" s="52">
        <v>45122.417974537035</v>
      </c>
      <c r="O251" s="53" t="s">
        <v>49</v>
      </c>
      <c r="P251" s="54" t="s">
        <v>603</v>
      </c>
      <c r="R251" s="210">
        <v>1</v>
      </c>
      <c r="S251" s="210">
        <v>2</v>
      </c>
      <c r="T251" s="56">
        <v>1.2389142172677177</v>
      </c>
      <c r="U251" s="57">
        <v>1.5009996891021729</v>
      </c>
      <c r="V251" s="215">
        <v>0.31312478324732496</v>
      </c>
      <c r="W251" s="494">
        <v>0.25347118544413139</v>
      </c>
      <c r="X251" s="494">
        <v>0.43217113614082336</v>
      </c>
      <c r="Y251" s="59">
        <v>7</v>
      </c>
      <c r="Z251" s="60">
        <v>0</v>
      </c>
      <c r="AA251" s="61"/>
      <c r="AB251" s="62"/>
      <c r="AC251" s="39">
        <f t="shared" si="9"/>
        <v>44990.4375</v>
      </c>
      <c r="AD251" s="495">
        <f t="shared" si="10"/>
        <v>44990.395833333328</v>
      </c>
      <c r="AE251" s="40">
        <f t="shared" si="11"/>
        <v>44990.354166666664</v>
      </c>
    </row>
    <row r="252" spans="1:31" ht="21" customHeight="1" thickBot="1" x14ac:dyDescent="0.3">
      <c r="A252" s="445">
        <v>26</v>
      </c>
      <c r="B252" s="220">
        <v>44991</v>
      </c>
      <c r="C252" s="228">
        <v>44991.625</v>
      </c>
      <c r="D252" s="493">
        <v>44991.833333333336</v>
      </c>
      <c r="E252" s="493">
        <v>44991.875</v>
      </c>
      <c r="F252" s="493">
        <v>44991.916666666664</v>
      </c>
      <c r="G252" s="258">
        <v>44991.958333333336</v>
      </c>
      <c r="H252" s="226" t="s">
        <v>503</v>
      </c>
      <c r="I252" s="223" t="s">
        <v>593</v>
      </c>
      <c r="J252" s="243" t="s">
        <v>125</v>
      </c>
      <c r="K252" s="497">
        <v>3</v>
      </c>
      <c r="L252" s="497">
        <v>2</v>
      </c>
      <c r="M252" s="248" t="s">
        <v>126</v>
      </c>
      <c r="N252" s="52">
        <v>45122.417974537035</v>
      </c>
      <c r="O252" s="53" t="s">
        <v>49</v>
      </c>
      <c r="P252" s="54" t="s">
        <v>603</v>
      </c>
      <c r="R252" s="210">
        <v>2</v>
      </c>
      <c r="S252" s="210">
        <v>1</v>
      </c>
      <c r="T252" s="56">
        <v>1.750099778175354</v>
      </c>
      <c r="U252" s="57">
        <v>1.2309998273849487</v>
      </c>
      <c r="V252" s="215">
        <v>0.49354053027070927</v>
      </c>
      <c r="W252" s="494">
        <v>0.23507834343181122</v>
      </c>
      <c r="X252" s="494">
        <v>0.26888757944107056</v>
      </c>
      <c r="Y252" s="59">
        <v>3</v>
      </c>
      <c r="Z252" s="60">
        <v>2</v>
      </c>
      <c r="AA252" s="61"/>
      <c r="AB252" s="62"/>
      <c r="AC252" s="39">
        <f t="shared" si="9"/>
        <v>44991.583333333336</v>
      </c>
      <c r="AD252" s="495">
        <f t="shared" si="10"/>
        <v>44991.541666666664</v>
      </c>
      <c r="AE252" s="40">
        <f t="shared" si="11"/>
        <v>44991.5</v>
      </c>
    </row>
    <row r="253" spans="1:31" ht="21" customHeight="1" thickBot="1" x14ac:dyDescent="0.3">
      <c r="A253" s="444">
        <v>27</v>
      </c>
      <c r="B253" s="219">
        <v>44996</v>
      </c>
      <c r="C253" s="230">
        <v>44996.3125</v>
      </c>
      <c r="D253" s="256">
        <v>44996.520833333336</v>
      </c>
      <c r="E253" s="256">
        <v>44996.5625</v>
      </c>
      <c r="F253" s="256">
        <v>44996.604166666664</v>
      </c>
      <c r="G253" s="257">
        <v>44996.645833333336</v>
      </c>
      <c r="H253" s="225" t="s">
        <v>505</v>
      </c>
      <c r="I253" s="222" t="s">
        <v>51</v>
      </c>
      <c r="J253" s="242" t="s">
        <v>3</v>
      </c>
      <c r="K253" s="497">
        <v>1</v>
      </c>
      <c r="L253" s="497">
        <v>0</v>
      </c>
      <c r="M253" s="247" t="s">
        <v>9</v>
      </c>
      <c r="N253" s="41">
        <v>45122.417974537035</v>
      </c>
      <c r="O253" s="42" t="s">
        <v>49</v>
      </c>
      <c r="P253" s="43" t="s">
        <v>603</v>
      </c>
      <c r="Q253" s="44"/>
      <c r="R253" s="212">
        <v>1</v>
      </c>
      <c r="S253" s="212">
        <v>2</v>
      </c>
      <c r="T253" s="45">
        <v>1.0240997076034546</v>
      </c>
      <c r="U253" s="46">
        <v>1.9894284009933472</v>
      </c>
      <c r="V253" s="213">
        <v>0.18888656015546357</v>
      </c>
      <c r="W253" s="214">
        <v>0.21329516477249624</v>
      </c>
      <c r="X253" s="214">
        <v>0.593314528465271</v>
      </c>
      <c r="Y253" s="47">
        <v>1</v>
      </c>
      <c r="Z253" s="48">
        <v>0</v>
      </c>
      <c r="AA253" s="49"/>
      <c r="AB253" s="50"/>
      <c r="AC253" s="75">
        <f t="shared" si="9"/>
        <v>44996.270833333336</v>
      </c>
      <c r="AD253" s="76">
        <f t="shared" si="10"/>
        <v>44996.229166666664</v>
      </c>
      <c r="AE253" s="77">
        <f t="shared" si="11"/>
        <v>44996.1875</v>
      </c>
    </row>
    <row r="254" spans="1:31" ht="21" customHeight="1" thickBot="1" x14ac:dyDescent="0.3">
      <c r="A254" s="445">
        <v>27</v>
      </c>
      <c r="B254" s="220">
        <v>44996</v>
      </c>
      <c r="C254" s="228">
        <v>44996.416666666664</v>
      </c>
      <c r="D254" s="493">
        <v>44996.625</v>
      </c>
      <c r="E254" s="493">
        <v>44996.666666666664</v>
      </c>
      <c r="F254" s="493">
        <v>44996.708333333336</v>
      </c>
      <c r="G254" s="258">
        <v>44996.75</v>
      </c>
      <c r="H254" s="226" t="s">
        <v>201</v>
      </c>
      <c r="I254" s="223" t="s">
        <v>59</v>
      </c>
      <c r="J254" s="243" t="s">
        <v>7</v>
      </c>
      <c r="K254" s="497">
        <v>1</v>
      </c>
      <c r="L254" s="497">
        <v>0</v>
      </c>
      <c r="M254" s="248" t="s">
        <v>125</v>
      </c>
      <c r="N254" s="52">
        <v>45122.417974537035</v>
      </c>
      <c r="O254" s="53" t="s">
        <v>49</v>
      </c>
      <c r="P254" s="54" t="s">
        <v>603</v>
      </c>
      <c r="R254" s="210">
        <v>1</v>
      </c>
      <c r="S254" s="210">
        <v>1</v>
      </c>
      <c r="T254" s="56">
        <v>1.019228492464338</v>
      </c>
      <c r="U254" s="57">
        <v>1.2435712814331055</v>
      </c>
      <c r="V254" s="215">
        <v>0.30217536720865412</v>
      </c>
      <c r="W254" s="494">
        <v>0.28412088461093649</v>
      </c>
      <c r="X254" s="494">
        <v>0.41329970955848694</v>
      </c>
      <c r="Y254" s="59">
        <v>1</v>
      </c>
      <c r="Z254" s="60">
        <v>0</v>
      </c>
      <c r="AA254" s="61"/>
      <c r="AB254" s="62"/>
      <c r="AC254" s="39">
        <f t="shared" si="9"/>
        <v>44996.375</v>
      </c>
      <c r="AD254" s="495">
        <f t="shared" si="10"/>
        <v>44996.333333333328</v>
      </c>
      <c r="AE254" s="40">
        <f t="shared" si="11"/>
        <v>44996.291666666664</v>
      </c>
    </row>
    <row r="255" spans="1:31" ht="21" customHeight="1" thickBot="1" x14ac:dyDescent="0.3">
      <c r="A255" s="445">
        <v>27</v>
      </c>
      <c r="B255" s="220">
        <v>44996</v>
      </c>
      <c r="C255" s="228">
        <v>44996.416666666664</v>
      </c>
      <c r="D255" s="493">
        <v>44996.625</v>
      </c>
      <c r="E255" s="493">
        <v>44996.666666666664</v>
      </c>
      <c r="F255" s="493">
        <v>44996.708333333336</v>
      </c>
      <c r="G255" s="258">
        <v>44996.75</v>
      </c>
      <c r="H255" s="226" t="s">
        <v>411</v>
      </c>
      <c r="I255" s="223" t="s">
        <v>140</v>
      </c>
      <c r="J255" s="243" t="s">
        <v>139</v>
      </c>
      <c r="K255" s="497">
        <v>2</v>
      </c>
      <c r="L255" s="497">
        <v>2</v>
      </c>
      <c r="M255" s="248" t="s">
        <v>4</v>
      </c>
      <c r="N255" s="52">
        <v>45122.417974537035</v>
      </c>
      <c r="O255" s="53" t="s">
        <v>49</v>
      </c>
      <c r="P255" s="54" t="s">
        <v>603</v>
      </c>
      <c r="R255" s="210">
        <v>1</v>
      </c>
      <c r="S255" s="210">
        <v>2</v>
      </c>
      <c r="T255" s="56">
        <v>1.1670997142791748</v>
      </c>
      <c r="U255" s="57">
        <v>2.1409997940063477</v>
      </c>
      <c r="V255" s="215">
        <v>0.19993344001856855</v>
      </c>
      <c r="W255" s="494">
        <v>0.20370920758516323</v>
      </c>
      <c r="X255" s="494">
        <v>0.58966279029846191</v>
      </c>
      <c r="Y255" s="59">
        <v>2</v>
      </c>
      <c r="Z255" s="60">
        <v>2</v>
      </c>
      <c r="AA255" s="61"/>
      <c r="AB255" s="62"/>
      <c r="AC255" s="39">
        <f t="shared" si="9"/>
        <v>44996.375</v>
      </c>
      <c r="AD255" s="495">
        <f t="shared" si="10"/>
        <v>44996.333333333328</v>
      </c>
      <c r="AE255" s="40">
        <f t="shared" si="11"/>
        <v>44996.291666666664</v>
      </c>
    </row>
    <row r="256" spans="1:31" ht="21" customHeight="1" thickBot="1" x14ac:dyDescent="0.3">
      <c r="A256" s="445">
        <v>27</v>
      </c>
      <c r="B256" s="220">
        <v>44996</v>
      </c>
      <c r="C256" s="228">
        <v>44996.416666666664</v>
      </c>
      <c r="D256" s="493">
        <v>44996.625</v>
      </c>
      <c r="E256" s="493">
        <v>44996.666666666664</v>
      </c>
      <c r="F256" s="493">
        <v>44996.708333333336</v>
      </c>
      <c r="G256" s="258">
        <v>44996.75</v>
      </c>
      <c r="H256" s="226" t="s">
        <v>269</v>
      </c>
      <c r="I256" s="223" t="s">
        <v>54</v>
      </c>
      <c r="J256" s="243" t="s">
        <v>8</v>
      </c>
      <c r="K256" s="497">
        <v>1</v>
      </c>
      <c r="L256" s="497">
        <v>3</v>
      </c>
      <c r="M256" s="248" t="s">
        <v>5</v>
      </c>
      <c r="N256" s="52">
        <v>45122.417974537035</v>
      </c>
      <c r="O256" s="53" t="s">
        <v>49</v>
      </c>
      <c r="P256" s="54" t="s">
        <v>603</v>
      </c>
      <c r="R256" s="210">
        <v>1</v>
      </c>
      <c r="S256" s="210">
        <v>2</v>
      </c>
      <c r="T256" s="56">
        <v>1.1120997667312622</v>
      </c>
      <c r="U256" s="57">
        <v>1.4809998273849487</v>
      </c>
      <c r="V256" s="215">
        <v>0.28432048802650717</v>
      </c>
      <c r="W256" s="494">
        <v>0.25898662680531803</v>
      </c>
      <c r="X256" s="494">
        <v>0.45567318797111511</v>
      </c>
      <c r="Y256" s="59">
        <v>1</v>
      </c>
      <c r="Z256" s="60">
        <v>3</v>
      </c>
      <c r="AA256" s="61"/>
      <c r="AB256" s="62"/>
      <c r="AC256" s="39">
        <f t="shared" si="9"/>
        <v>44996.375</v>
      </c>
      <c r="AD256" s="495">
        <f t="shared" si="10"/>
        <v>44996.333333333328</v>
      </c>
      <c r="AE256" s="40">
        <f t="shared" si="11"/>
        <v>44996.291666666664</v>
      </c>
    </row>
    <row r="257" spans="1:31" ht="21" customHeight="1" thickBot="1" x14ac:dyDescent="0.3">
      <c r="A257" s="445">
        <v>27</v>
      </c>
      <c r="B257" s="220">
        <v>44996</v>
      </c>
      <c r="C257" s="228">
        <v>44996.416666666664</v>
      </c>
      <c r="D257" s="493">
        <v>44996.625</v>
      </c>
      <c r="E257" s="493">
        <v>44996.666666666664</v>
      </c>
      <c r="F257" s="493">
        <v>44996.708333333336</v>
      </c>
      <c r="G257" s="258">
        <v>44996.75</v>
      </c>
      <c r="H257" s="226" t="s">
        <v>507</v>
      </c>
      <c r="I257" s="223" t="s">
        <v>53</v>
      </c>
      <c r="J257" s="243" t="s">
        <v>14</v>
      </c>
      <c r="K257" s="497">
        <v>3</v>
      </c>
      <c r="L257" s="497">
        <v>1</v>
      </c>
      <c r="M257" s="248" t="s">
        <v>204</v>
      </c>
      <c r="N257" s="52">
        <v>45122.417974537035</v>
      </c>
      <c r="O257" s="53" t="s">
        <v>49</v>
      </c>
      <c r="P257" s="54" t="s">
        <v>603</v>
      </c>
      <c r="R257" s="210">
        <v>2</v>
      </c>
      <c r="S257" s="210">
        <v>0</v>
      </c>
      <c r="T257" s="56">
        <v>2.1240997314453125</v>
      </c>
      <c r="U257" s="57">
        <v>0.7808569073677063</v>
      </c>
      <c r="V257" s="215">
        <v>0.67746448124019487</v>
      </c>
      <c r="W257" s="494">
        <v>0.19092655761103688</v>
      </c>
      <c r="X257" s="494">
        <v>0.12536968290805817</v>
      </c>
      <c r="Y257" s="59">
        <v>3</v>
      </c>
      <c r="Z257" s="60">
        <v>1</v>
      </c>
      <c r="AA257" s="61"/>
      <c r="AB257" s="62"/>
      <c r="AC257" s="39">
        <f t="shared" si="9"/>
        <v>44996.375</v>
      </c>
      <c r="AD257" s="495">
        <f t="shared" si="10"/>
        <v>44996.333333333328</v>
      </c>
      <c r="AE257" s="40">
        <f t="shared" si="11"/>
        <v>44996.291666666664</v>
      </c>
    </row>
    <row r="258" spans="1:31" ht="21" customHeight="1" thickBot="1" x14ac:dyDescent="0.3">
      <c r="A258" s="445">
        <v>27</v>
      </c>
      <c r="B258" s="220">
        <v>44996</v>
      </c>
      <c r="C258" s="228">
        <v>44996.520833333336</v>
      </c>
      <c r="D258" s="493">
        <v>44996.729166666664</v>
      </c>
      <c r="E258" s="493">
        <v>44996.770833333336</v>
      </c>
      <c r="F258" s="493">
        <v>44996.8125</v>
      </c>
      <c r="G258" s="258">
        <v>44996.854166666664</v>
      </c>
      <c r="H258" s="226" t="s">
        <v>367</v>
      </c>
      <c r="I258" s="223" t="s">
        <v>52</v>
      </c>
      <c r="J258" s="243" t="s">
        <v>6</v>
      </c>
      <c r="K258" s="497">
        <v>0</v>
      </c>
      <c r="L258" s="497">
        <v>1</v>
      </c>
      <c r="M258" s="248" t="s">
        <v>10</v>
      </c>
      <c r="N258" s="52">
        <v>45122.417974537035</v>
      </c>
      <c r="O258" s="53" t="s">
        <v>49</v>
      </c>
      <c r="P258" s="54" t="s">
        <v>603</v>
      </c>
      <c r="R258" s="210">
        <v>0</v>
      </c>
      <c r="S258" s="210">
        <v>2</v>
      </c>
      <c r="T258" s="56">
        <v>0.76009970903396606</v>
      </c>
      <c r="U258" s="57">
        <v>2.1609997749328613</v>
      </c>
      <c r="V258" s="215">
        <v>0.11823786816550852</v>
      </c>
      <c r="W258" s="494">
        <v>0.18606604867473575</v>
      </c>
      <c r="X258" s="494">
        <v>0.6888776421546936</v>
      </c>
      <c r="Y258" s="59">
        <v>0</v>
      </c>
      <c r="Z258" s="60">
        <v>1</v>
      </c>
      <c r="AA258" s="61"/>
      <c r="AB258" s="62"/>
      <c r="AC258" s="39">
        <f t="shared" ref="AC258:AC321" si="12">IF(C258&lt;&gt;"TBC",C258-1/24,"TBC")</f>
        <v>44996.479166666672</v>
      </c>
      <c r="AD258" s="495">
        <f t="shared" ref="AD258:AD321" si="13">IF(C258&lt;&gt;"TBC",C258-1/12,"TBC")</f>
        <v>44996.4375</v>
      </c>
      <c r="AE258" s="40">
        <f t="shared" ref="AE258:AE321" si="14">IF(C258&lt;&gt;"TBC",C258-1/8,"TBC")</f>
        <v>44996.395833333336</v>
      </c>
    </row>
    <row r="259" spans="1:31" ht="21" customHeight="1" thickBot="1" x14ac:dyDescent="0.3">
      <c r="A259" s="445">
        <v>27</v>
      </c>
      <c r="B259" s="220">
        <v>44997</v>
      </c>
      <c r="C259" s="228">
        <v>44997.416666666664</v>
      </c>
      <c r="D259" s="493">
        <v>44997.583333333336</v>
      </c>
      <c r="E259" s="493">
        <v>44997.625</v>
      </c>
      <c r="F259" s="493">
        <v>44997.666666666664</v>
      </c>
      <c r="G259" s="258">
        <v>44997.708333333336</v>
      </c>
      <c r="H259" s="226" t="s">
        <v>506</v>
      </c>
      <c r="I259" s="223" t="s">
        <v>431</v>
      </c>
      <c r="J259" s="243" t="s">
        <v>126</v>
      </c>
      <c r="K259" s="497">
        <v>0</v>
      </c>
      <c r="L259" s="497">
        <v>3</v>
      </c>
      <c r="M259" s="248" t="s">
        <v>1</v>
      </c>
      <c r="N259" s="52">
        <v>45122.417974537035</v>
      </c>
      <c r="O259" s="53" t="s">
        <v>49</v>
      </c>
      <c r="P259" s="54" t="s">
        <v>603</v>
      </c>
      <c r="R259" s="210">
        <v>1</v>
      </c>
      <c r="S259" s="210">
        <v>2</v>
      </c>
      <c r="T259" s="56">
        <v>1.0003711836678642</v>
      </c>
      <c r="U259" s="57">
        <v>2.0909996032714844</v>
      </c>
      <c r="V259" s="215">
        <v>0.17202446031596333</v>
      </c>
      <c r="W259" s="494">
        <v>0.20339127763503206</v>
      </c>
      <c r="X259" s="494">
        <v>0.61876946687698364</v>
      </c>
      <c r="Y259" s="59">
        <v>0</v>
      </c>
      <c r="Z259" s="60">
        <v>3</v>
      </c>
      <c r="AA259" s="61"/>
      <c r="AB259" s="62"/>
      <c r="AC259" s="39">
        <f t="shared" si="12"/>
        <v>44997.375</v>
      </c>
      <c r="AD259" s="495">
        <f t="shared" si="13"/>
        <v>44997.333333333328</v>
      </c>
      <c r="AE259" s="40">
        <f t="shared" si="14"/>
        <v>44997.291666666664</v>
      </c>
    </row>
    <row r="260" spans="1:31" ht="21" customHeight="1" thickBot="1" x14ac:dyDescent="0.3">
      <c r="A260" s="445">
        <v>27</v>
      </c>
      <c r="B260" s="220">
        <v>44997</v>
      </c>
      <c r="C260" s="228">
        <v>44997.416666666664</v>
      </c>
      <c r="D260" s="493">
        <v>44997.583333333336</v>
      </c>
      <c r="E260" s="493">
        <v>44997.625</v>
      </c>
      <c r="F260" s="493">
        <v>44997.666666666664</v>
      </c>
      <c r="G260" s="258">
        <v>44997.708333333336</v>
      </c>
      <c r="H260" s="226" t="s">
        <v>345</v>
      </c>
      <c r="I260" s="223" t="s">
        <v>56</v>
      </c>
      <c r="J260" s="243" t="s">
        <v>11</v>
      </c>
      <c r="K260" s="497">
        <v>0</v>
      </c>
      <c r="L260" s="497">
        <v>0</v>
      </c>
      <c r="M260" s="248" t="s">
        <v>13</v>
      </c>
      <c r="N260" s="52">
        <v>45122.417974537035</v>
      </c>
      <c r="O260" s="53" t="s">
        <v>49</v>
      </c>
      <c r="P260" s="54" t="s">
        <v>603</v>
      </c>
      <c r="R260" s="210">
        <v>2</v>
      </c>
      <c r="S260" s="210">
        <v>1</v>
      </c>
      <c r="T260" s="56">
        <v>1.9920997619628906</v>
      </c>
      <c r="U260" s="57">
        <v>0.92099976539611816</v>
      </c>
      <c r="V260" s="215">
        <v>0.61861042719363102</v>
      </c>
      <c r="W260" s="494">
        <v>0.21011558779800951</v>
      </c>
      <c r="X260" s="494">
        <v>0.16678459942340851</v>
      </c>
      <c r="Y260" s="59">
        <v>0</v>
      </c>
      <c r="Z260" s="60">
        <v>0</v>
      </c>
      <c r="AA260" s="61"/>
      <c r="AB260" s="62"/>
      <c r="AC260" s="39">
        <f t="shared" si="12"/>
        <v>44997.375</v>
      </c>
      <c r="AD260" s="495">
        <f t="shared" si="13"/>
        <v>44997.333333333328</v>
      </c>
      <c r="AE260" s="40">
        <f t="shared" si="14"/>
        <v>44997.291666666664</v>
      </c>
    </row>
    <row r="261" spans="1:31" ht="21" customHeight="1" thickBot="1" x14ac:dyDescent="0.3">
      <c r="A261" s="445">
        <v>27</v>
      </c>
      <c r="B261" s="220">
        <v>44997</v>
      </c>
      <c r="C261" s="228">
        <v>44997.416666666664</v>
      </c>
      <c r="D261" s="493">
        <v>44997.583333333336</v>
      </c>
      <c r="E261" s="493">
        <v>44997.625</v>
      </c>
      <c r="F261" s="493">
        <v>44997.666666666664</v>
      </c>
      <c r="G261" s="258">
        <v>44997.708333333336</v>
      </c>
      <c r="H261" s="226" t="s">
        <v>370</v>
      </c>
      <c r="I261" s="223" t="s">
        <v>50</v>
      </c>
      <c r="J261" s="243" t="s">
        <v>15</v>
      </c>
      <c r="K261" s="497">
        <v>1</v>
      </c>
      <c r="L261" s="497">
        <v>1</v>
      </c>
      <c r="M261" s="248" t="s">
        <v>2</v>
      </c>
      <c r="N261" s="52">
        <v>45122.417974537035</v>
      </c>
      <c r="O261" s="53" t="s">
        <v>49</v>
      </c>
      <c r="P261" s="54" t="s">
        <v>603</v>
      </c>
      <c r="R261" s="210">
        <v>1</v>
      </c>
      <c r="S261" s="210">
        <v>1</v>
      </c>
      <c r="T261" s="56">
        <v>1.2330996990203857</v>
      </c>
      <c r="U261" s="57">
        <v>1.3309997320175171</v>
      </c>
      <c r="V261" s="215">
        <v>0.34379651985051085</v>
      </c>
      <c r="W261" s="494">
        <v>0.2656838032714483</v>
      </c>
      <c r="X261" s="494">
        <v>0.3897610604763031</v>
      </c>
      <c r="Y261" s="59">
        <v>1</v>
      </c>
      <c r="Z261" s="60">
        <v>1</v>
      </c>
      <c r="AA261" s="61"/>
      <c r="AB261" s="62"/>
      <c r="AC261" s="39">
        <f t="shared" si="12"/>
        <v>44997.375</v>
      </c>
      <c r="AD261" s="495">
        <f t="shared" si="13"/>
        <v>44997.333333333328</v>
      </c>
      <c r="AE261" s="40">
        <f t="shared" si="14"/>
        <v>44997.291666666664</v>
      </c>
    </row>
    <row r="262" spans="1:31" ht="21" customHeight="1" thickBot="1" x14ac:dyDescent="0.3">
      <c r="A262" s="445">
        <v>27</v>
      </c>
      <c r="B262" s="220">
        <v>44997</v>
      </c>
      <c r="C262" s="228">
        <v>44997.520833333336</v>
      </c>
      <c r="D262" s="493">
        <v>44997.6875</v>
      </c>
      <c r="E262" s="493">
        <v>44997.729166666664</v>
      </c>
      <c r="F262" s="493">
        <v>44997.770833333336</v>
      </c>
      <c r="G262" s="258">
        <v>44997.8125</v>
      </c>
      <c r="H262" s="226" t="s">
        <v>388</v>
      </c>
      <c r="I262" s="223" t="s">
        <v>55</v>
      </c>
      <c r="J262" s="243" t="s">
        <v>12</v>
      </c>
      <c r="K262" s="497">
        <v>2</v>
      </c>
      <c r="L262" s="497">
        <v>1</v>
      </c>
      <c r="M262" s="248" t="s">
        <v>16</v>
      </c>
      <c r="N262" s="52">
        <v>45122.417974537035</v>
      </c>
      <c r="O262" s="53" t="s">
        <v>49</v>
      </c>
      <c r="P262" s="54" t="s">
        <v>603</v>
      </c>
      <c r="R262" s="210">
        <v>2</v>
      </c>
      <c r="S262" s="210">
        <v>0</v>
      </c>
      <c r="T262" s="56">
        <v>1.7500998973846436</v>
      </c>
      <c r="U262" s="57">
        <v>0.79099977016448975</v>
      </c>
      <c r="V262" s="215">
        <v>0.60001431487225931</v>
      </c>
      <c r="W262" s="494">
        <v>0.23191596206844936</v>
      </c>
      <c r="X262" s="494">
        <v>0.16584858298301697</v>
      </c>
      <c r="Y262" s="59">
        <v>2</v>
      </c>
      <c r="Z262" s="60">
        <v>1</v>
      </c>
      <c r="AA262" s="61"/>
      <c r="AB262" s="62"/>
      <c r="AC262" s="39">
        <f t="shared" si="12"/>
        <v>44997.479166666672</v>
      </c>
      <c r="AD262" s="495">
        <f t="shared" si="13"/>
        <v>44997.4375</v>
      </c>
      <c r="AE262" s="40">
        <f t="shared" si="14"/>
        <v>44997.395833333336</v>
      </c>
    </row>
    <row r="263" spans="1:31" ht="21" customHeight="1" thickBot="1" x14ac:dyDescent="0.3">
      <c r="A263" s="444">
        <v>8</v>
      </c>
      <c r="B263" s="219">
        <v>45000</v>
      </c>
      <c r="C263" s="230">
        <v>45000.645833333336</v>
      </c>
      <c r="D263" s="256">
        <v>45000.8125</v>
      </c>
      <c r="E263" s="256">
        <v>45000.854166666664</v>
      </c>
      <c r="F263" s="256">
        <v>45000.895833333336</v>
      </c>
      <c r="G263" s="257">
        <v>45000.9375</v>
      </c>
      <c r="H263" s="225" t="s">
        <v>325</v>
      </c>
      <c r="I263" s="222" t="s">
        <v>151</v>
      </c>
      <c r="J263" s="242" t="s">
        <v>4</v>
      </c>
      <c r="K263" s="497">
        <v>1</v>
      </c>
      <c r="L263" s="497">
        <v>0</v>
      </c>
      <c r="M263" s="247" t="s">
        <v>6</v>
      </c>
      <c r="N263" s="41">
        <v>45122.417974537035</v>
      </c>
      <c r="O263" s="42" t="s">
        <v>49</v>
      </c>
      <c r="P263" s="43" t="s">
        <v>603</v>
      </c>
      <c r="Q263" s="44"/>
      <c r="R263" s="212">
        <v>1</v>
      </c>
      <c r="S263" s="212">
        <v>0</v>
      </c>
      <c r="T263" s="45">
        <v>1.0126284871782574</v>
      </c>
      <c r="U263" s="46">
        <v>0.54914271831512451</v>
      </c>
      <c r="V263" s="213">
        <v>0.46037316725228544</v>
      </c>
      <c r="W263" s="214">
        <v>0.34366284743369541</v>
      </c>
      <c r="X263" s="214">
        <v>0.1958722323179245</v>
      </c>
      <c r="Y263" s="47">
        <v>1</v>
      </c>
      <c r="Z263" s="48">
        <v>0</v>
      </c>
      <c r="AA263" s="49"/>
      <c r="AB263" s="50"/>
      <c r="AC263" s="75">
        <f t="shared" si="12"/>
        <v>45000.604166666672</v>
      </c>
      <c r="AD263" s="76">
        <f t="shared" si="13"/>
        <v>45000.5625</v>
      </c>
      <c r="AE263" s="77">
        <f t="shared" si="14"/>
        <v>45000.520833333336</v>
      </c>
    </row>
    <row r="264" spans="1:31" ht="21" customHeight="1" thickBot="1" x14ac:dyDescent="0.3">
      <c r="A264" s="444">
        <v>7</v>
      </c>
      <c r="B264" s="219">
        <v>45000</v>
      </c>
      <c r="C264" s="230">
        <v>45000.645833333336</v>
      </c>
      <c r="D264" s="256">
        <v>45000.8125</v>
      </c>
      <c r="E264" s="256">
        <v>45000.854166666664</v>
      </c>
      <c r="F264" s="256">
        <v>45000.895833333336</v>
      </c>
      <c r="G264" s="257">
        <v>45000.9375</v>
      </c>
      <c r="H264" s="225" t="s">
        <v>175</v>
      </c>
      <c r="I264" s="222" t="s">
        <v>60</v>
      </c>
      <c r="J264" s="242" t="s">
        <v>13</v>
      </c>
      <c r="K264" s="497">
        <v>0</v>
      </c>
      <c r="L264" s="497">
        <v>2</v>
      </c>
      <c r="M264" s="247" t="s">
        <v>125</v>
      </c>
      <c r="N264" s="41">
        <v>45122.417974537035</v>
      </c>
      <c r="O264" s="42" t="s">
        <v>49</v>
      </c>
      <c r="P264" s="43" t="s">
        <v>603</v>
      </c>
      <c r="Q264" s="44"/>
      <c r="R264" s="212">
        <v>0</v>
      </c>
      <c r="S264" s="212">
        <v>1</v>
      </c>
      <c r="T264" s="45">
        <v>0.45775708130427767</v>
      </c>
      <c r="U264" s="46">
        <v>0.90914267301559448</v>
      </c>
      <c r="V264" s="213">
        <v>0.17838413663330141</v>
      </c>
      <c r="W264" s="214">
        <v>0.37253563028388387</v>
      </c>
      <c r="X264" s="214">
        <v>0.44903340935707092</v>
      </c>
      <c r="Y264" s="47">
        <v>0</v>
      </c>
      <c r="Z264" s="48">
        <v>2</v>
      </c>
      <c r="AA264" s="49"/>
      <c r="AB264" s="50"/>
      <c r="AC264" s="75">
        <f t="shared" si="12"/>
        <v>45000.604166666672</v>
      </c>
      <c r="AD264" s="76">
        <f t="shared" si="13"/>
        <v>45000.5625</v>
      </c>
      <c r="AE264" s="77">
        <f t="shared" si="14"/>
        <v>45000.520833333336</v>
      </c>
    </row>
    <row r="265" spans="1:31" ht="21" customHeight="1" thickBot="1" x14ac:dyDescent="0.3">
      <c r="A265" s="444">
        <v>28</v>
      </c>
      <c r="B265" s="219">
        <v>45002</v>
      </c>
      <c r="C265" s="230">
        <v>45002.666666666664</v>
      </c>
      <c r="D265" s="256">
        <v>45002.833333333336</v>
      </c>
      <c r="E265" s="256">
        <v>45002.875</v>
      </c>
      <c r="F265" s="256">
        <v>45002.916666666664</v>
      </c>
      <c r="G265" s="257">
        <v>45002.958333333336</v>
      </c>
      <c r="H265" s="225" t="s">
        <v>510</v>
      </c>
      <c r="I265" s="222" t="s">
        <v>436</v>
      </c>
      <c r="J265" s="242" t="s">
        <v>204</v>
      </c>
      <c r="K265" s="497">
        <v>1</v>
      </c>
      <c r="L265" s="497">
        <v>2</v>
      </c>
      <c r="M265" s="247" t="s">
        <v>12</v>
      </c>
      <c r="N265" s="41">
        <v>45122.417974537035</v>
      </c>
      <c r="O265" s="42" t="s">
        <v>49</v>
      </c>
      <c r="P265" s="43" t="s">
        <v>603</v>
      </c>
      <c r="Q265" s="44"/>
      <c r="R265" s="212">
        <v>0</v>
      </c>
      <c r="S265" s="212">
        <v>1</v>
      </c>
      <c r="T265" s="45">
        <v>0.60437117304120747</v>
      </c>
      <c r="U265" s="46">
        <v>1.3792855739593506</v>
      </c>
      <c r="V265" s="213">
        <v>0.16305474086206645</v>
      </c>
      <c r="W265" s="214">
        <v>0.27847068286156906</v>
      </c>
      <c r="X265" s="214">
        <v>0.55790042877197266</v>
      </c>
      <c r="Y265" s="47">
        <v>1</v>
      </c>
      <c r="Z265" s="48">
        <v>2</v>
      </c>
      <c r="AA265" s="49"/>
      <c r="AB265" s="50"/>
      <c r="AC265" s="75">
        <f t="shared" si="12"/>
        <v>45002.625</v>
      </c>
      <c r="AD265" s="76">
        <f t="shared" si="13"/>
        <v>45002.583333333328</v>
      </c>
      <c r="AE265" s="77">
        <f t="shared" si="14"/>
        <v>45002.541666666664</v>
      </c>
    </row>
    <row r="266" spans="1:31" ht="21" customHeight="1" thickBot="1" x14ac:dyDescent="0.3">
      <c r="A266" s="445">
        <v>28</v>
      </c>
      <c r="B266" s="220">
        <v>45003</v>
      </c>
      <c r="C266" s="228">
        <v>45003.458333333336</v>
      </c>
      <c r="D266" s="493">
        <v>45003.625</v>
      </c>
      <c r="E266" s="493">
        <v>45003.666666666664</v>
      </c>
      <c r="F266" s="493">
        <v>45003.708333333336</v>
      </c>
      <c r="G266" s="258">
        <v>45003.75</v>
      </c>
      <c r="H266" s="226" t="s">
        <v>508</v>
      </c>
      <c r="I266" s="223" t="s">
        <v>58</v>
      </c>
      <c r="J266" s="243" t="s">
        <v>2</v>
      </c>
      <c r="K266" s="497">
        <v>3</v>
      </c>
      <c r="L266" s="497">
        <v>0</v>
      </c>
      <c r="M266" s="248" t="s">
        <v>3</v>
      </c>
      <c r="N266" s="52">
        <v>45122.417974537035</v>
      </c>
      <c r="O266" s="53" t="s">
        <v>49</v>
      </c>
      <c r="P266" s="54" t="s">
        <v>603</v>
      </c>
      <c r="R266" s="210">
        <v>2</v>
      </c>
      <c r="S266" s="210">
        <v>1</v>
      </c>
      <c r="T266" s="56">
        <v>1.6037997518266949</v>
      </c>
      <c r="U266" s="57">
        <v>0.930999755859375</v>
      </c>
      <c r="V266" s="215">
        <v>0.53000059765916252</v>
      </c>
      <c r="W266" s="494">
        <v>0.24989389603877943</v>
      </c>
      <c r="X266" s="494">
        <v>0.21869826316833496</v>
      </c>
      <c r="Y266" s="59">
        <v>3</v>
      </c>
      <c r="Z266" s="60">
        <v>0</v>
      </c>
      <c r="AA266" s="61"/>
      <c r="AB266" s="62"/>
      <c r="AC266" s="39">
        <f t="shared" si="12"/>
        <v>45003.416666666672</v>
      </c>
      <c r="AD266" s="495">
        <f t="shared" si="13"/>
        <v>45003.375</v>
      </c>
      <c r="AE266" s="40">
        <f t="shared" si="14"/>
        <v>45003.333333333336</v>
      </c>
    </row>
    <row r="267" spans="1:31" ht="21" customHeight="1" thickBot="1" x14ac:dyDescent="0.3">
      <c r="A267" s="445">
        <v>28</v>
      </c>
      <c r="B267" s="220">
        <v>45003</v>
      </c>
      <c r="C267" s="228">
        <v>45003.458333333336</v>
      </c>
      <c r="D267" s="493">
        <v>45003.625</v>
      </c>
      <c r="E267" s="493">
        <v>45003.666666666664</v>
      </c>
      <c r="F267" s="493">
        <v>45003.708333333336</v>
      </c>
      <c r="G267" s="258">
        <v>45003.75</v>
      </c>
      <c r="H267" s="226" t="s">
        <v>249</v>
      </c>
      <c r="I267" s="223" t="s">
        <v>593</v>
      </c>
      <c r="J267" s="243" t="s">
        <v>125</v>
      </c>
      <c r="K267" s="497">
        <v>1</v>
      </c>
      <c r="L267" s="497">
        <v>1</v>
      </c>
      <c r="M267" s="248" t="s">
        <v>8</v>
      </c>
      <c r="N267" s="52">
        <v>45122.417974537035</v>
      </c>
      <c r="O267" s="53" t="s">
        <v>49</v>
      </c>
      <c r="P267" s="54" t="s">
        <v>603</v>
      </c>
      <c r="R267" s="210">
        <v>0</v>
      </c>
      <c r="S267" s="210">
        <v>1</v>
      </c>
      <c r="T267" s="56">
        <v>0.73589990820203499</v>
      </c>
      <c r="U267" s="57">
        <v>1.2709997892379761</v>
      </c>
      <c r="V267" s="215">
        <v>0.21561953645579304</v>
      </c>
      <c r="W267" s="494">
        <v>0.29275335284402165</v>
      </c>
      <c r="X267" s="494">
        <v>0.49126157164573669</v>
      </c>
      <c r="Y267" s="59">
        <v>1</v>
      </c>
      <c r="Z267" s="60">
        <v>1</v>
      </c>
      <c r="AA267" s="61"/>
      <c r="AB267" s="62"/>
      <c r="AC267" s="39">
        <f t="shared" si="12"/>
        <v>45003.416666666672</v>
      </c>
      <c r="AD267" s="495">
        <f t="shared" si="13"/>
        <v>45003.375</v>
      </c>
      <c r="AE267" s="40">
        <f t="shared" si="14"/>
        <v>45003.333333333336</v>
      </c>
    </row>
    <row r="268" spans="1:31" ht="21" customHeight="1" thickBot="1" x14ac:dyDescent="0.3">
      <c r="A268" s="445">
        <v>28</v>
      </c>
      <c r="B268" s="220">
        <v>45003</v>
      </c>
      <c r="C268" s="228">
        <v>45003.458333333336</v>
      </c>
      <c r="D268" s="493">
        <v>45003.625</v>
      </c>
      <c r="E268" s="493">
        <v>45003.666666666664</v>
      </c>
      <c r="F268" s="493">
        <v>45003.708333333336</v>
      </c>
      <c r="G268" s="258">
        <v>45003.75</v>
      </c>
      <c r="H268" s="226" t="s">
        <v>318</v>
      </c>
      <c r="I268" s="223" t="s">
        <v>60</v>
      </c>
      <c r="J268" s="243" t="s">
        <v>13</v>
      </c>
      <c r="K268" s="497">
        <v>3</v>
      </c>
      <c r="L268" s="497">
        <v>3</v>
      </c>
      <c r="M268" s="248" t="s">
        <v>14</v>
      </c>
      <c r="N268" s="52">
        <v>45122.417974537035</v>
      </c>
      <c r="O268" s="53" t="s">
        <v>49</v>
      </c>
      <c r="P268" s="54" t="s">
        <v>603</v>
      </c>
      <c r="R268" s="210">
        <v>0</v>
      </c>
      <c r="S268" s="210">
        <v>2</v>
      </c>
      <c r="T268" s="56">
        <v>0.47189993517739431</v>
      </c>
      <c r="U268" s="57">
        <v>1.7009998559951782</v>
      </c>
      <c r="V268" s="215">
        <v>9.7529612224853734E-2</v>
      </c>
      <c r="W268" s="494">
        <v>0.22529132193148804</v>
      </c>
      <c r="X268" s="494">
        <v>0.67529726028442383</v>
      </c>
      <c r="Y268" s="59">
        <v>3</v>
      </c>
      <c r="Z268" s="60">
        <v>3</v>
      </c>
      <c r="AA268" s="61"/>
      <c r="AB268" s="62"/>
      <c r="AC268" s="39">
        <f t="shared" si="12"/>
        <v>45003.416666666672</v>
      </c>
      <c r="AD268" s="495">
        <f t="shared" si="13"/>
        <v>45003.375</v>
      </c>
      <c r="AE268" s="40">
        <f t="shared" si="14"/>
        <v>45003.333333333336</v>
      </c>
    </row>
    <row r="269" spans="1:31" ht="21" customHeight="1" thickBot="1" x14ac:dyDescent="0.3">
      <c r="A269" s="445">
        <v>28</v>
      </c>
      <c r="B269" s="220">
        <v>45003</v>
      </c>
      <c r="C269" s="228">
        <v>45003.458333333336</v>
      </c>
      <c r="D269" s="493">
        <v>45003.625</v>
      </c>
      <c r="E269" s="493">
        <v>45003.666666666664</v>
      </c>
      <c r="F269" s="493">
        <v>45003.708333333336</v>
      </c>
      <c r="G269" s="258">
        <v>45003.75</v>
      </c>
      <c r="H269" s="226" t="s">
        <v>376</v>
      </c>
      <c r="I269" s="223" t="s">
        <v>63</v>
      </c>
      <c r="J269" s="243" t="s">
        <v>16</v>
      </c>
      <c r="K269" s="497">
        <v>2</v>
      </c>
      <c r="L269" s="497">
        <v>4</v>
      </c>
      <c r="M269" s="248" t="s">
        <v>139</v>
      </c>
      <c r="N269" s="52">
        <v>45122.417974537035</v>
      </c>
      <c r="O269" s="53" t="s">
        <v>49</v>
      </c>
      <c r="P269" s="54" t="s">
        <v>603</v>
      </c>
      <c r="R269" s="210">
        <v>1</v>
      </c>
      <c r="S269" s="210">
        <v>1</v>
      </c>
      <c r="T269" s="56">
        <v>1.3020854677472795</v>
      </c>
      <c r="U269" s="57">
        <v>1.2909997701644897</v>
      </c>
      <c r="V269" s="215">
        <v>0.37003299399254264</v>
      </c>
      <c r="W269" s="494">
        <v>0.26431976348630198</v>
      </c>
      <c r="X269" s="494">
        <v>0.36485257744789124</v>
      </c>
      <c r="Y269" s="59">
        <v>2</v>
      </c>
      <c r="Z269" s="60">
        <v>4</v>
      </c>
      <c r="AA269" s="61"/>
      <c r="AB269" s="62"/>
      <c r="AC269" s="39">
        <f t="shared" si="12"/>
        <v>45003.416666666672</v>
      </c>
      <c r="AD269" s="495">
        <f t="shared" si="13"/>
        <v>45003.375</v>
      </c>
      <c r="AE269" s="40">
        <f t="shared" si="14"/>
        <v>45003.333333333336</v>
      </c>
    </row>
    <row r="270" spans="1:31" ht="21" customHeight="1" thickBot="1" x14ac:dyDescent="0.3">
      <c r="A270" s="445">
        <v>28</v>
      </c>
      <c r="B270" s="220">
        <v>45003</v>
      </c>
      <c r="C270" s="228">
        <v>45003.5625</v>
      </c>
      <c r="D270" s="493">
        <v>45003.729166666664</v>
      </c>
      <c r="E270" s="493">
        <v>45003.770833333336</v>
      </c>
      <c r="F270" s="493">
        <v>45003.8125</v>
      </c>
      <c r="G270" s="258">
        <v>45003.854166666664</v>
      </c>
      <c r="H270" s="226" t="s">
        <v>174</v>
      </c>
      <c r="I270" s="223" t="s">
        <v>62</v>
      </c>
      <c r="J270" s="243" t="s">
        <v>5</v>
      </c>
      <c r="K270" s="497">
        <v>2</v>
      </c>
      <c r="L270" s="497">
        <v>2</v>
      </c>
      <c r="M270" s="248" t="s">
        <v>7</v>
      </c>
      <c r="N270" s="52">
        <v>45122.417974537035</v>
      </c>
      <c r="O270" s="53" t="s">
        <v>49</v>
      </c>
      <c r="P270" s="54" t="s">
        <v>603</v>
      </c>
      <c r="R270" s="210">
        <v>2</v>
      </c>
      <c r="S270" s="210">
        <v>1</v>
      </c>
      <c r="T270" s="56">
        <v>1.8270998001098633</v>
      </c>
      <c r="U270" s="57">
        <v>0.82099980115890503</v>
      </c>
      <c r="V270" s="215">
        <v>0.60930238042649487</v>
      </c>
      <c r="W270" s="494">
        <v>0.22408484095442288</v>
      </c>
      <c r="X270" s="494">
        <v>0.16380056738853455</v>
      </c>
      <c r="Y270" s="59">
        <v>2</v>
      </c>
      <c r="Z270" s="60">
        <v>2</v>
      </c>
      <c r="AA270" s="61"/>
      <c r="AB270" s="62"/>
      <c r="AC270" s="39">
        <f t="shared" si="12"/>
        <v>45003.520833333336</v>
      </c>
      <c r="AD270" s="495">
        <f t="shared" si="13"/>
        <v>45003.479166666664</v>
      </c>
      <c r="AE270" s="40">
        <f t="shared" si="14"/>
        <v>45003.4375</v>
      </c>
    </row>
    <row r="271" spans="1:31" ht="21" customHeight="1" thickBot="1" x14ac:dyDescent="0.3">
      <c r="A271" s="445">
        <v>28</v>
      </c>
      <c r="B271" s="220">
        <v>45004</v>
      </c>
      <c r="C271" s="228">
        <v>45004.416666666664</v>
      </c>
      <c r="D271" s="493">
        <v>45004.583333333336</v>
      </c>
      <c r="E271" s="493">
        <v>45004.625</v>
      </c>
      <c r="F271" s="493">
        <v>45004.666666666664</v>
      </c>
      <c r="G271" s="258">
        <v>45004.708333333336</v>
      </c>
      <c r="H271" s="226" t="s">
        <v>160</v>
      </c>
      <c r="I271" s="223" t="s">
        <v>57</v>
      </c>
      <c r="J271" s="243" t="s">
        <v>1</v>
      </c>
      <c r="K271" s="497">
        <v>4</v>
      </c>
      <c r="L271" s="497">
        <v>1</v>
      </c>
      <c r="M271" s="248" t="s">
        <v>6</v>
      </c>
      <c r="N271" s="52">
        <v>45122.417974537035</v>
      </c>
      <c r="O271" s="53" t="s">
        <v>49</v>
      </c>
      <c r="P271" s="54" t="s">
        <v>603</v>
      </c>
      <c r="R271" s="210">
        <v>2</v>
      </c>
      <c r="S271" s="210">
        <v>0</v>
      </c>
      <c r="T271" s="56">
        <v>1.9480997323989868</v>
      </c>
      <c r="U271" s="57">
        <v>0.56628555059432983</v>
      </c>
      <c r="V271" s="215">
        <v>0.69970145766067338</v>
      </c>
      <c r="W271" s="494">
        <v>0.19802678487434469</v>
      </c>
      <c r="X271" s="494">
        <v>9.8328344523906708E-2</v>
      </c>
      <c r="Y271" s="59">
        <v>4</v>
      </c>
      <c r="Z271" s="60">
        <v>1</v>
      </c>
      <c r="AA271" s="61"/>
      <c r="AB271" s="62"/>
      <c r="AC271" s="39">
        <f t="shared" si="12"/>
        <v>45004.375</v>
      </c>
      <c r="AD271" s="495">
        <f t="shared" si="13"/>
        <v>45004.333333333328</v>
      </c>
      <c r="AE271" s="40">
        <f t="shared" si="14"/>
        <v>45004.291666666664</v>
      </c>
    </row>
    <row r="272" spans="1:31" ht="21" customHeight="1" thickBot="1" x14ac:dyDescent="0.3">
      <c r="A272" s="444">
        <v>29</v>
      </c>
      <c r="B272" s="219">
        <v>45017</v>
      </c>
      <c r="C272" s="230">
        <v>45017.3125</v>
      </c>
      <c r="D272" s="256">
        <v>45017.520833333336</v>
      </c>
      <c r="E272" s="256">
        <v>45017.5625</v>
      </c>
      <c r="F272" s="256">
        <v>45017.604166666664</v>
      </c>
      <c r="G272" s="257">
        <v>45017.604166666664</v>
      </c>
      <c r="H272" s="225" t="s">
        <v>387</v>
      </c>
      <c r="I272" s="222" t="s">
        <v>61</v>
      </c>
      <c r="J272" s="242" t="s">
        <v>10</v>
      </c>
      <c r="K272" s="497">
        <v>4</v>
      </c>
      <c r="L272" s="497">
        <v>1</v>
      </c>
      <c r="M272" s="247" t="s">
        <v>9</v>
      </c>
      <c r="N272" s="41">
        <v>45122.417974537035</v>
      </c>
      <c r="O272" s="42" t="s">
        <v>49</v>
      </c>
      <c r="P272" s="43" t="s">
        <v>603</v>
      </c>
      <c r="Q272" s="44"/>
      <c r="R272" s="212">
        <v>2</v>
      </c>
      <c r="S272" s="212">
        <v>1</v>
      </c>
      <c r="T272" s="45">
        <v>2.3880999088287354</v>
      </c>
      <c r="U272" s="46">
        <v>1.5509998798370361</v>
      </c>
      <c r="V272" s="213">
        <v>0.55107043355671903</v>
      </c>
      <c r="W272" s="214">
        <v>0.19320572130961969</v>
      </c>
      <c r="X272" s="214">
        <v>0.24330611526966095</v>
      </c>
      <c r="Y272" s="47">
        <v>4</v>
      </c>
      <c r="Z272" s="48">
        <v>1</v>
      </c>
      <c r="AA272" s="49"/>
      <c r="AB272" s="50"/>
      <c r="AC272" s="75">
        <f t="shared" si="12"/>
        <v>45017.270833333336</v>
      </c>
      <c r="AD272" s="76">
        <f t="shared" si="13"/>
        <v>45017.229166666664</v>
      </c>
      <c r="AE272" s="77">
        <f t="shared" si="14"/>
        <v>45017.1875</v>
      </c>
    </row>
    <row r="273" spans="1:31" ht="21" customHeight="1" thickBot="1" x14ac:dyDescent="0.3">
      <c r="A273" s="445">
        <v>29</v>
      </c>
      <c r="B273" s="220">
        <v>45017</v>
      </c>
      <c r="C273" s="228">
        <v>45017.416666666664</v>
      </c>
      <c r="D273" s="493">
        <v>45017.625</v>
      </c>
      <c r="E273" s="493">
        <v>45017.666666666664</v>
      </c>
      <c r="F273" s="493">
        <v>45017.708333333336</v>
      </c>
      <c r="G273" s="258">
        <v>45017.708333333336</v>
      </c>
      <c r="H273" s="226" t="s">
        <v>405</v>
      </c>
      <c r="I273" s="223" t="s">
        <v>57</v>
      </c>
      <c r="J273" s="243" t="s">
        <v>1</v>
      </c>
      <c r="K273" s="497">
        <v>4</v>
      </c>
      <c r="L273" s="497">
        <v>1</v>
      </c>
      <c r="M273" s="248" t="s">
        <v>139</v>
      </c>
      <c r="N273" s="52">
        <v>45122.417974537035</v>
      </c>
      <c r="O273" s="53" t="s">
        <v>49</v>
      </c>
      <c r="P273" s="54" t="s">
        <v>603</v>
      </c>
      <c r="R273" s="210">
        <v>3</v>
      </c>
      <c r="S273" s="210">
        <v>1</v>
      </c>
      <c r="T273" s="56">
        <v>2.5310995578765869</v>
      </c>
      <c r="U273" s="57">
        <v>1.0909997224807739</v>
      </c>
      <c r="V273" s="215">
        <v>0.67089891844080485</v>
      </c>
      <c r="W273" s="494">
        <v>0.17013248634452627</v>
      </c>
      <c r="X273" s="494">
        <v>0.14375722408294678</v>
      </c>
      <c r="Y273" s="59">
        <v>4</v>
      </c>
      <c r="Z273" s="60">
        <v>1</v>
      </c>
      <c r="AA273" s="61"/>
      <c r="AB273" s="62"/>
      <c r="AC273" s="39">
        <f t="shared" si="12"/>
        <v>45017.375</v>
      </c>
      <c r="AD273" s="495">
        <f t="shared" si="13"/>
        <v>45017.333333333328</v>
      </c>
      <c r="AE273" s="40">
        <f t="shared" si="14"/>
        <v>45017.291666666664</v>
      </c>
    </row>
    <row r="274" spans="1:31" ht="21" customHeight="1" thickBot="1" x14ac:dyDescent="0.3">
      <c r="A274" s="445">
        <v>29</v>
      </c>
      <c r="B274" s="220">
        <v>45017</v>
      </c>
      <c r="C274" s="228">
        <v>45017.416666666664</v>
      </c>
      <c r="D274" s="493">
        <v>45017.625</v>
      </c>
      <c r="E274" s="493">
        <v>45017.666666666664</v>
      </c>
      <c r="F274" s="493">
        <v>45017.708333333336</v>
      </c>
      <c r="G274" s="258">
        <v>45017.708333333336</v>
      </c>
      <c r="H274" s="226" t="s">
        <v>511</v>
      </c>
      <c r="I274" s="223" t="s">
        <v>51</v>
      </c>
      <c r="J274" s="243" t="s">
        <v>3</v>
      </c>
      <c r="K274" s="497">
        <v>2</v>
      </c>
      <c r="L274" s="497">
        <v>1</v>
      </c>
      <c r="M274" s="248" t="s">
        <v>126</v>
      </c>
      <c r="N274" s="52">
        <v>45122.417974537035</v>
      </c>
      <c r="O274" s="53" t="s">
        <v>49</v>
      </c>
      <c r="P274" s="54" t="s">
        <v>603</v>
      </c>
      <c r="R274" s="210">
        <v>2</v>
      </c>
      <c r="S274" s="210">
        <v>2</v>
      </c>
      <c r="T274" s="56">
        <v>1.3650997877120972</v>
      </c>
      <c r="U274" s="57">
        <v>1.5309997797012329</v>
      </c>
      <c r="V274" s="215">
        <v>0.33893999762393018</v>
      </c>
      <c r="W274" s="494">
        <v>0.24700295501471861</v>
      </c>
      <c r="X274" s="494">
        <v>0.41247972846031189</v>
      </c>
      <c r="Y274" s="59">
        <v>2</v>
      </c>
      <c r="Z274" s="60">
        <v>1</v>
      </c>
      <c r="AA274" s="61"/>
      <c r="AB274" s="62"/>
      <c r="AC274" s="39">
        <f t="shared" si="12"/>
        <v>45017.375</v>
      </c>
      <c r="AD274" s="495">
        <f t="shared" si="13"/>
        <v>45017.333333333328</v>
      </c>
      <c r="AE274" s="40">
        <f t="shared" si="14"/>
        <v>45017.291666666664</v>
      </c>
    </row>
    <row r="275" spans="1:31" ht="21" customHeight="1" thickBot="1" x14ac:dyDescent="0.3">
      <c r="A275" s="445">
        <v>29</v>
      </c>
      <c r="B275" s="220">
        <v>45017</v>
      </c>
      <c r="C275" s="228">
        <v>45017.416666666664</v>
      </c>
      <c r="D275" s="493">
        <v>45017.625</v>
      </c>
      <c r="E275" s="493">
        <v>45017.666666666664</v>
      </c>
      <c r="F275" s="493">
        <v>45017.708333333336</v>
      </c>
      <c r="G275" s="258">
        <v>45017.708333333336</v>
      </c>
      <c r="H275" s="226" t="s">
        <v>306</v>
      </c>
      <c r="I275" s="223" t="s">
        <v>151</v>
      </c>
      <c r="J275" s="243" t="s">
        <v>4</v>
      </c>
      <c r="K275" s="497">
        <v>3</v>
      </c>
      <c r="L275" s="497">
        <v>3</v>
      </c>
      <c r="M275" s="248" t="s">
        <v>125</v>
      </c>
      <c r="N275" s="52">
        <v>45122.417974537035</v>
      </c>
      <c r="O275" s="53" t="s">
        <v>49</v>
      </c>
      <c r="P275" s="54" t="s">
        <v>603</v>
      </c>
      <c r="R275" s="210">
        <v>2</v>
      </c>
      <c r="S275" s="210">
        <v>1</v>
      </c>
      <c r="T275" s="56">
        <v>1.970099925994873</v>
      </c>
      <c r="U275" s="57">
        <v>1.2509996891021729</v>
      </c>
      <c r="V275" s="215">
        <v>0.53691443847181786</v>
      </c>
      <c r="W275" s="494">
        <v>0.21830604053824579</v>
      </c>
      <c r="X275" s="494">
        <v>0.24027448892593384</v>
      </c>
      <c r="Y275" s="59">
        <v>3</v>
      </c>
      <c r="Z275" s="60">
        <v>3</v>
      </c>
      <c r="AA275" s="61"/>
      <c r="AB275" s="62"/>
      <c r="AC275" s="39">
        <f t="shared" si="12"/>
        <v>45017.375</v>
      </c>
      <c r="AD275" s="495">
        <f t="shared" si="13"/>
        <v>45017.333333333328</v>
      </c>
      <c r="AE275" s="40">
        <f t="shared" si="14"/>
        <v>45017.291666666664</v>
      </c>
    </row>
    <row r="276" spans="1:31" ht="21" customHeight="1" thickBot="1" x14ac:dyDescent="0.3">
      <c r="A276" s="445">
        <v>29</v>
      </c>
      <c r="B276" s="220">
        <v>45017</v>
      </c>
      <c r="C276" s="228">
        <v>45017.416666666664</v>
      </c>
      <c r="D276" s="493">
        <v>45017.625</v>
      </c>
      <c r="E276" s="493">
        <v>45017.666666666664</v>
      </c>
      <c r="F276" s="493">
        <v>45017.708333333336</v>
      </c>
      <c r="G276" s="258">
        <v>45017.708333333336</v>
      </c>
      <c r="H276" s="226" t="s">
        <v>238</v>
      </c>
      <c r="I276" s="223" t="s">
        <v>52</v>
      </c>
      <c r="J276" s="243" t="s">
        <v>6</v>
      </c>
      <c r="K276" s="497">
        <v>2</v>
      </c>
      <c r="L276" s="497">
        <v>1</v>
      </c>
      <c r="M276" s="248" t="s">
        <v>8</v>
      </c>
      <c r="N276" s="52">
        <v>45122.417974537035</v>
      </c>
      <c r="O276" s="53" t="s">
        <v>49</v>
      </c>
      <c r="P276" s="54" t="s">
        <v>603</v>
      </c>
      <c r="R276" s="210">
        <v>1</v>
      </c>
      <c r="S276" s="210">
        <v>1</v>
      </c>
      <c r="T276" s="56">
        <v>1.3980997800827026</v>
      </c>
      <c r="U276" s="57">
        <v>1.0909997224807739</v>
      </c>
      <c r="V276" s="215">
        <v>0.43898594072220049</v>
      </c>
      <c r="W276" s="494">
        <v>0.26684186991507997</v>
      </c>
      <c r="X276" s="494">
        <v>0.2934131920337677</v>
      </c>
      <c r="Y276" s="59">
        <v>2</v>
      </c>
      <c r="Z276" s="60">
        <v>1</v>
      </c>
      <c r="AA276" s="61"/>
      <c r="AB276" s="62"/>
      <c r="AC276" s="39">
        <f t="shared" si="12"/>
        <v>45017.375</v>
      </c>
      <c r="AD276" s="495">
        <f t="shared" si="13"/>
        <v>45017.333333333328</v>
      </c>
      <c r="AE276" s="40">
        <f t="shared" si="14"/>
        <v>45017.291666666664</v>
      </c>
    </row>
    <row r="277" spans="1:31" ht="21" customHeight="1" thickBot="1" x14ac:dyDescent="0.3">
      <c r="A277" s="445">
        <v>29</v>
      </c>
      <c r="B277" s="220">
        <v>45017</v>
      </c>
      <c r="C277" s="228">
        <v>45017.416666666664</v>
      </c>
      <c r="D277" s="493">
        <v>45017.625</v>
      </c>
      <c r="E277" s="493">
        <v>45017.666666666664</v>
      </c>
      <c r="F277" s="493">
        <v>45017.708333333336</v>
      </c>
      <c r="G277" s="258">
        <v>45017.708333333336</v>
      </c>
      <c r="H277" s="226" t="s">
        <v>512</v>
      </c>
      <c r="I277" s="223" t="s">
        <v>436</v>
      </c>
      <c r="J277" s="243" t="s">
        <v>204</v>
      </c>
      <c r="K277" s="497">
        <v>1</v>
      </c>
      <c r="L277" s="497">
        <v>1</v>
      </c>
      <c r="M277" s="248" t="s">
        <v>16</v>
      </c>
      <c r="N277" s="52">
        <v>45122.417974537035</v>
      </c>
      <c r="O277" s="53" t="s">
        <v>49</v>
      </c>
      <c r="P277" s="54" t="s">
        <v>603</v>
      </c>
      <c r="R277" s="210">
        <v>1</v>
      </c>
      <c r="S277" s="210">
        <v>1</v>
      </c>
      <c r="T277" s="56">
        <v>1.0020997524261475</v>
      </c>
      <c r="U277" s="57">
        <v>1.4009996652603149</v>
      </c>
      <c r="V277" s="215">
        <v>0.26911423907398774</v>
      </c>
      <c r="W277" s="494">
        <v>0.26956715953891802</v>
      </c>
      <c r="X277" s="494">
        <v>0.46060943603515625</v>
      </c>
      <c r="Y277" s="59">
        <v>1</v>
      </c>
      <c r="Z277" s="60">
        <v>1</v>
      </c>
      <c r="AA277" s="61"/>
      <c r="AB277" s="62"/>
      <c r="AC277" s="39">
        <f t="shared" si="12"/>
        <v>45017.375</v>
      </c>
      <c r="AD277" s="495">
        <f t="shared" si="13"/>
        <v>45017.333333333328</v>
      </c>
      <c r="AE277" s="40">
        <f t="shared" si="14"/>
        <v>45017.291666666664</v>
      </c>
    </row>
    <row r="278" spans="1:31" ht="21" customHeight="1" thickBot="1" x14ac:dyDescent="0.3">
      <c r="A278" s="445">
        <v>29</v>
      </c>
      <c r="B278" s="220">
        <v>45017</v>
      </c>
      <c r="C278" s="228">
        <v>45017.520833333336</v>
      </c>
      <c r="D278" s="493">
        <v>45017.729166666664</v>
      </c>
      <c r="E278" s="493">
        <v>45017.770833333336</v>
      </c>
      <c r="F278" s="493">
        <v>45017.8125</v>
      </c>
      <c r="G278" s="258">
        <v>45017.8125</v>
      </c>
      <c r="H278" s="226" t="s">
        <v>155</v>
      </c>
      <c r="I278" s="223" t="s">
        <v>62</v>
      </c>
      <c r="J278" s="243" t="s">
        <v>5</v>
      </c>
      <c r="K278" s="497">
        <v>0</v>
      </c>
      <c r="L278" s="497">
        <v>2</v>
      </c>
      <c r="M278" s="248" t="s">
        <v>2</v>
      </c>
      <c r="N278" s="52">
        <v>45122.417974537035</v>
      </c>
      <c r="O278" s="53" t="s">
        <v>49</v>
      </c>
      <c r="P278" s="54" t="s">
        <v>603</v>
      </c>
      <c r="R278" s="210">
        <v>1</v>
      </c>
      <c r="S278" s="210">
        <v>1</v>
      </c>
      <c r="T278" s="56">
        <v>1.3210997581481934</v>
      </c>
      <c r="U278" s="57">
        <v>1.1409996747970581</v>
      </c>
      <c r="V278" s="215">
        <v>0.40713995008249831</v>
      </c>
      <c r="W278" s="494">
        <v>0.27112056899488535</v>
      </c>
      <c r="X278" s="494">
        <v>0.32111027836799622</v>
      </c>
      <c r="Y278" s="59">
        <v>0</v>
      </c>
      <c r="Z278" s="60">
        <v>2</v>
      </c>
      <c r="AA278" s="61"/>
      <c r="AB278" s="62"/>
      <c r="AC278" s="39">
        <f t="shared" si="12"/>
        <v>45017.479166666672</v>
      </c>
      <c r="AD278" s="495">
        <f t="shared" si="13"/>
        <v>45017.4375</v>
      </c>
      <c r="AE278" s="40">
        <f t="shared" si="14"/>
        <v>45017.395833333336</v>
      </c>
    </row>
    <row r="279" spans="1:31" ht="21" customHeight="1" thickBot="1" x14ac:dyDescent="0.3">
      <c r="A279" s="445">
        <v>29</v>
      </c>
      <c r="B279" s="220">
        <v>45018</v>
      </c>
      <c r="C279" s="228">
        <v>45018.375</v>
      </c>
      <c r="D279" s="493">
        <v>45018.583333333336</v>
      </c>
      <c r="E279" s="493">
        <v>45018.625</v>
      </c>
      <c r="F279" s="493">
        <v>45018.666666666664</v>
      </c>
      <c r="G279" s="258">
        <v>45018.666666666664</v>
      </c>
      <c r="H279" s="226" t="s">
        <v>311</v>
      </c>
      <c r="I279" s="223" t="s">
        <v>50</v>
      </c>
      <c r="J279" s="243" t="s">
        <v>15</v>
      </c>
      <c r="K279" s="497">
        <v>1</v>
      </c>
      <c r="L279" s="497">
        <v>0</v>
      </c>
      <c r="M279" s="248" t="s">
        <v>13</v>
      </c>
      <c r="N279" s="52">
        <v>45122.417974537035</v>
      </c>
      <c r="O279" s="53" t="s">
        <v>49</v>
      </c>
      <c r="P279" s="54" t="s">
        <v>603</v>
      </c>
      <c r="R279" s="210">
        <v>2</v>
      </c>
      <c r="S279" s="210">
        <v>1</v>
      </c>
      <c r="T279" s="56">
        <v>1.5740997791290283</v>
      </c>
      <c r="U279" s="57">
        <v>0.90099978446960449</v>
      </c>
      <c r="V279" s="215">
        <v>0.53017087264796225</v>
      </c>
      <c r="W279" s="494">
        <v>0.25312144514585705</v>
      </c>
      <c r="X279" s="494">
        <v>0.21544583141803741</v>
      </c>
      <c r="Y279" s="59">
        <v>1</v>
      </c>
      <c r="Z279" s="60">
        <v>0</v>
      </c>
      <c r="AA279" s="61"/>
      <c r="AB279" s="62"/>
      <c r="AC279" s="39">
        <f t="shared" si="12"/>
        <v>45018.333333333336</v>
      </c>
      <c r="AD279" s="495">
        <f t="shared" si="13"/>
        <v>45018.291666666664</v>
      </c>
      <c r="AE279" s="40">
        <f t="shared" si="14"/>
        <v>45018.25</v>
      </c>
    </row>
    <row r="280" spans="1:31" ht="21" customHeight="1" thickBot="1" x14ac:dyDescent="0.3">
      <c r="A280" s="445">
        <v>29</v>
      </c>
      <c r="B280" s="220">
        <v>45018</v>
      </c>
      <c r="C280" s="228">
        <v>45018.479166666664</v>
      </c>
      <c r="D280" s="493">
        <v>45018.6875</v>
      </c>
      <c r="E280" s="493">
        <v>45018.729166666664</v>
      </c>
      <c r="F280" s="493">
        <v>45018.770833333336</v>
      </c>
      <c r="G280" s="258">
        <v>45018.770833333336</v>
      </c>
      <c r="H280" s="226" t="s">
        <v>309</v>
      </c>
      <c r="I280" s="223" t="s">
        <v>55</v>
      </c>
      <c r="J280" s="243" t="s">
        <v>12</v>
      </c>
      <c r="K280" s="497">
        <v>2</v>
      </c>
      <c r="L280" s="497">
        <v>0</v>
      </c>
      <c r="M280" s="248" t="s">
        <v>11</v>
      </c>
      <c r="N280" s="52">
        <v>45122.417974537035</v>
      </c>
      <c r="O280" s="53" t="s">
        <v>49</v>
      </c>
      <c r="P280" s="54" t="s">
        <v>603</v>
      </c>
      <c r="R280" s="210">
        <v>2</v>
      </c>
      <c r="S280" s="210">
        <v>1</v>
      </c>
      <c r="T280" s="56">
        <v>1.6620998382568359</v>
      </c>
      <c r="U280" s="57">
        <v>1.4309996366500854</v>
      </c>
      <c r="V280" s="215">
        <v>0.4298077444870963</v>
      </c>
      <c r="W280" s="494">
        <v>0.23713389208812166</v>
      </c>
      <c r="X280" s="494">
        <v>0.33069923520088196</v>
      </c>
      <c r="Y280" s="59">
        <v>2</v>
      </c>
      <c r="Z280" s="60">
        <v>0</v>
      </c>
      <c r="AA280" s="61"/>
      <c r="AB280" s="62"/>
      <c r="AC280" s="39">
        <f t="shared" si="12"/>
        <v>45018.4375</v>
      </c>
      <c r="AD280" s="495">
        <f t="shared" si="13"/>
        <v>45018.395833333328</v>
      </c>
      <c r="AE280" s="40">
        <f t="shared" si="14"/>
        <v>45018.354166666664</v>
      </c>
    </row>
    <row r="281" spans="1:31" ht="21" customHeight="1" thickBot="1" x14ac:dyDescent="0.3">
      <c r="A281" s="445">
        <v>29</v>
      </c>
      <c r="B281" s="220">
        <v>45019</v>
      </c>
      <c r="C281" s="228">
        <v>45019.625</v>
      </c>
      <c r="D281" s="493">
        <v>45019.833333333336</v>
      </c>
      <c r="E281" s="493">
        <v>45019.875</v>
      </c>
      <c r="F281" s="493">
        <v>45019.916666666664</v>
      </c>
      <c r="G281" s="258">
        <v>45019.916666666664</v>
      </c>
      <c r="H281" s="226" t="s">
        <v>264</v>
      </c>
      <c r="I281" s="223" t="s">
        <v>59</v>
      </c>
      <c r="J281" s="243" t="s">
        <v>7</v>
      </c>
      <c r="K281" s="497">
        <v>1</v>
      </c>
      <c r="L281" s="497">
        <v>1</v>
      </c>
      <c r="M281" s="248" t="s">
        <v>14</v>
      </c>
      <c r="N281" s="52">
        <v>45122.417974537035</v>
      </c>
      <c r="O281" s="53" t="s">
        <v>49</v>
      </c>
      <c r="P281" s="54" t="s">
        <v>603</v>
      </c>
      <c r="R281" s="210">
        <v>1</v>
      </c>
      <c r="S281" s="210">
        <v>2</v>
      </c>
      <c r="T281" s="56">
        <v>1.222099781036377</v>
      </c>
      <c r="U281" s="57">
        <v>1.8509999513626099</v>
      </c>
      <c r="V281" s="215">
        <v>0.25128250431767363</v>
      </c>
      <c r="W281" s="494">
        <v>0.22735024134512505</v>
      </c>
      <c r="X281" s="494">
        <v>0.51809614896774292</v>
      </c>
      <c r="Y281" s="59">
        <v>1</v>
      </c>
      <c r="Z281" s="60">
        <v>1</v>
      </c>
      <c r="AA281" s="61"/>
      <c r="AB281" s="62"/>
      <c r="AC281" s="39">
        <f t="shared" si="12"/>
        <v>45019.583333333336</v>
      </c>
      <c r="AD281" s="495">
        <f t="shared" si="13"/>
        <v>45019.541666666664</v>
      </c>
      <c r="AE281" s="40">
        <f t="shared" si="14"/>
        <v>45019.5</v>
      </c>
    </row>
    <row r="282" spans="1:31" ht="21" customHeight="1" thickBot="1" x14ac:dyDescent="0.3">
      <c r="A282" s="444">
        <v>7</v>
      </c>
      <c r="B282" s="219">
        <v>45020</v>
      </c>
      <c r="C282" s="230">
        <v>45020.614583333336</v>
      </c>
      <c r="D282" s="256">
        <v>45020.822916666664</v>
      </c>
      <c r="E282" s="256">
        <v>45020.864583333336</v>
      </c>
      <c r="F282" s="256">
        <v>45020.90625</v>
      </c>
      <c r="G282" s="257">
        <v>45020.90625</v>
      </c>
      <c r="H282" s="225" t="s">
        <v>449</v>
      </c>
      <c r="I282" s="222" t="s">
        <v>51</v>
      </c>
      <c r="J282" s="242" t="s">
        <v>3</v>
      </c>
      <c r="K282" s="497">
        <v>0</v>
      </c>
      <c r="L282" s="497">
        <v>2</v>
      </c>
      <c r="M282" s="247" t="s">
        <v>4</v>
      </c>
      <c r="N282" s="41">
        <v>45122.417974537035</v>
      </c>
      <c r="O282" s="42" t="s">
        <v>49</v>
      </c>
      <c r="P282" s="43" t="s">
        <v>603</v>
      </c>
      <c r="Q282" s="44"/>
      <c r="R282" s="212">
        <v>0</v>
      </c>
      <c r="S282" s="212">
        <v>1</v>
      </c>
      <c r="T282" s="45">
        <v>0.42475704635892592</v>
      </c>
      <c r="U282" s="46">
        <v>0.89614278078079224</v>
      </c>
      <c r="V282" s="213">
        <v>0.1678059997686929</v>
      </c>
      <c r="W282" s="214">
        <v>0.37857304620147342</v>
      </c>
      <c r="X282" s="214">
        <v>0.45357835292816162</v>
      </c>
      <c r="Y282" s="47">
        <v>0</v>
      </c>
      <c r="Z282" s="48">
        <v>2</v>
      </c>
      <c r="AA282" s="49"/>
      <c r="AB282" s="50"/>
      <c r="AC282" s="75">
        <f t="shared" si="12"/>
        <v>45020.572916666672</v>
      </c>
      <c r="AD282" s="76">
        <f t="shared" si="13"/>
        <v>45020.53125</v>
      </c>
      <c r="AE282" s="77">
        <f t="shared" si="14"/>
        <v>45020.489583333336</v>
      </c>
    </row>
    <row r="283" spans="1:31" ht="21" customHeight="1" thickBot="1" x14ac:dyDescent="0.3">
      <c r="A283" s="445">
        <v>7</v>
      </c>
      <c r="B283" s="220">
        <v>45020</v>
      </c>
      <c r="C283" s="228">
        <v>45020.614583333336</v>
      </c>
      <c r="D283" s="493">
        <v>45020.822916666664</v>
      </c>
      <c r="E283" s="493">
        <v>45020.864583333336</v>
      </c>
      <c r="F283" s="493">
        <v>45020.90625</v>
      </c>
      <c r="G283" s="258">
        <v>45020.90625</v>
      </c>
      <c r="H283" s="226" t="s">
        <v>451</v>
      </c>
      <c r="I283" s="223" t="s">
        <v>140</v>
      </c>
      <c r="J283" s="243" t="s">
        <v>139</v>
      </c>
      <c r="K283" s="497">
        <v>2</v>
      </c>
      <c r="L283" s="497">
        <v>1</v>
      </c>
      <c r="M283" s="248" t="s">
        <v>204</v>
      </c>
      <c r="N283" s="52">
        <v>45122.417974537035</v>
      </c>
      <c r="O283" s="53" t="s">
        <v>49</v>
      </c>
      <c r="P283" s="54" t="s">
        <v>603</v>
      </c>
      <c r="R283" s="210">
        <v>1</v>
      </c>
      <c r="S283" s="210">
        <v>0</v>
      </c>
      <c r="T283" s="56">
        <v>0.76889986651284348</v>
      </c>
      <c r="U283" s="57">
        <v>0.52757132053375244</v>
      </c>
      <c r="V283" s="215">
        <v>0.3762320066344027</v>
      </c>
      <c r="W283" s="494">
        <v>0.39620959294649888</v>
      </c>
      <c r="X283" s="494">
        <v>0.22754086554050446</v>
      </c>
      <c r="Y283" s="59">
        <v>2</v>
      </c>
      <c r="Z283" s="60">
        <v>1</v>
      </c>
      <c r="AA283" s="61"/>
      <c r="AB283" s="62"/>
      <c r="AC283" s="39">
        <f t="shared" si="12"/>
        <v>45020.572916666672</v>
      </c>
      <c r="AD283" s="495">
        <f t="shared" si="13"/>
        <v>45020.53125</v>
      </c>
      <c r="AE283" s="40">
        <f t="shared" si="14"/>
        <v>45020.489583333336</v>
      </c>
    </row>
    <row r="284" spans="1:31" ht="21" customHeight="1" thickBot="1" x14ac:dyDescent="0.3">
      <c r="A284" s="445">
        <v>7</v>
      </c>
      <c r="B284" s="220">
        <v>45020</v>
      </c>
      <c r="C284" s="228">
        <v>45020.614583333336</v>
      </c>
      <c r="D284" s="493">
        <v>45020.822916666664</v>
      </c>
      <c r="E284" s="493">
        <v>45020.864583333336</v>
      </c>
      <c r="F284" s="493">
        <v>45020.90625</v>
      </c>
      <c r="G284" s="258">
        <v>45020.90625</v>
      </c>
      <c r="H284" s="226" t="s">
        <v>398</v>
      </c>
      <c r="I284" s="223" t="s">
        <v>54</v>
      </c>
      <c r="J284" s="243" t="s">
        <v>8</v>
      </c>
      <c r="K284" s="497">
        <v>1</v>
      </c>
      <c r="L284" s="497">
        <v>2</v>
      </c>
      <c r="M284" s="248" t="s">
        <v>2</v>
      </c>
      <c r="N284" s="52">
        <v>45122.417974537035</v>
      </c>
      <c r="O284" s="53" t="s">
        <v>49</v>
      </c>
      <c r="P284" s="54" t="s">
        <v>603</v>
      </c>
      <c r="R284" s="210">
        <v>1</v>
      </c>
      <c r="S284" s="210">
        <v>1</v>
      </c>
      <c r="T284" s="56">
        <v>0.51904274736131939</v>
      </c>
      <c r="U284" s="57">
        <v>0.64757132530212402</v>
      </c>
      <c r="V284" s="215">
        <v>0.24622824416128627</v>
      </c>
      <c r="W284" s="494">
        <v>0.4252242059320866</v>
      </c>
      <c r="X284" s="494">
        <v>0.32854083180427551</v>
      </c>
      <c r="Y284" s="59">
        <v>1</v>
      </c>
      <c r="Z284" s="60">
        <v>2</v>
      </c>
      <c r="AA284" s="61"/>
      <c r="AB284" s="62"/>
      <c r="AC284" s="39">
        <f t="shared" si="12"/>
        <v>45020.572916666672</v>
      </c>
      <c r="AD284" s="495">
        <f t="shared" si="13"/>
        <v>45020.53125</v>
      </c>
      <c r="AE284" s="40">
        <f t="shared" si="14"/>
        <v>45020.489583333336</v>
      </c>
    </row>
    <row r="285" spans="1:31" ht="21" customHeight="1" thickBot="1" x14ac:dyDescent="0.3">
      <c r="A285" s="444">
        <v>8</v>
      </c>
      <c r="B285" s="219">
        <v>45020</v>
      </c>
      <c r="C285" s="230">
        <v>45020.625</v>
      </c>
      <c r="D285" s="256">
        <v>45020.833333333336</v>
      </c>
      <c r="E285" s="256">
        <v>45020.875</v>
      </c>
      <c r="F285" s="256">
        <v>45020.916666666664</v>
      </c>
      <c r="G285" s="257">
        <v>45020.916666666664</v>
      </c>
      <c r="H285" s="225" t="s">
        <v>178</v>
      </c>
      <c r="I285" s="222" t="s">
        <v>62</v>
      </c>
      <c r="J285" s="242" t="s">
        <v>5</v>
      </c>
      <c r="K285" s="497">
        <v>0</v>
      </c>
      <c r="L285" s="497">
        <v>0</v>
      </c>
      <c r="M285" s="247" t="s">
        <v>9</v>
      </c>
      <c r="N285" s="41">
        <v>45122.417974537035</v>
      </c>
      <c r="O285" s="42" t="s">
        <v>49</v>
      </c>
      <c r="P285" s="43" t="s">
        <v>603</v>
      </c>
      <c r="Q285" s="44"/>
      <c r="R285" s="212">
        <v>1</v>
      </c>
      <c r="S285" s="212">
        <v>1</v>
      </c>
      <c r="T285" s="45">
        <v>0.56618561063494</v>
      </c>
      <c r="U285" s="46">
        <v>0.75471419095993042</v>
      </c>
      <c r="V285" s="213">
        <v>0.24535627819882733</v>
      </c>
      <c r="W285" s="214">
        <v>0.39371892351196663</v>
      </c>
      <c r="X285" s="214">
        <v>0.3609081506729126</v>
      </c>
      <c r="Y285" s="47">
        <v>0</v>
      </c>
      <c r="Z285" s="48">
        <v>0</v>
      </c>
      <c r="AA285" s="49"/>
      <c r="AB285" s="50"/>
      <c r="AC285" s="75">
        <f t="shared" si="12"/>
        <v>45020.583333333336</v>
      </c>
      <c r="AD285" s="76">
        <f t="shared" si="13"/>
        <v>45020.541666666664</v>
      </c>
      <c r="AE285" s="77">
        <f t="shared" si="14"/>
        <v>45020.5</v>
      </c>
    </row>
    <row r="286" spans="1:31" ht="21" customHeight="1" thickBot="1" x14ac:dyDescent="0.3">
      <c r="A286" s="444">
        <v>25</v>
      </c>
      <c r="B286" s="219">
        <v>45021</v>
      </c>
      <c r="C286" s="230">
        <v>45021.625</v>
      </c>
      <c r="D286" s="256">
        <v>45021.833333333336</v>
      </c>
      <c r="E286" s="256">
        <v>45021.875</v>
      </c>
      <c r="F286" s="256">
        <v>45021.916666666664</v>
      </c>
      <c r="G286" s="257">
        <v>45021.916666666664</v>
      </c>
      <c r="H286" s="225" t="s">
        <v>400</v>
      </c>
      <c r="I286" s="222" t="s">
        <v>56</v>
      </c>
      <c r="J286" s="242" t="s">
        <v>11</v>
      </c>
      <c r="K286" s="497">
        <v>1</v>
      </c>
      <c r="L286" s="497">
        <v>0</v>
      </c>
      <c r="M286" s="247" t="s">
        <v>125</v>
      </c>
      <c r="N286" s="41">
        <v>45122.417974537035</v>
      </c>
      <c r="O286" s="42" t="s">
        <v>49</v>
      </c>
      <c r="P286" s="43" t="s">
        <v>603</v>
      </c>
      <c r="Q286" s="44"/>
      <c r="R286" s="212">
        <v>1</v>
      </c>
      <c r="S286" s="212">
        <v>1</v>
      </c>
      <c r="T286" s="45">
        <v>0.78775707312992638</v>
      </c>
      <c r="U286" s="46">
        <v>0.8005712628364563</v>
      </c>
      <c r="V286" s="213">
        <v>0.31886386260845329</v>
      </c>
      <c r="W286" s="214">
        <v>0.35488014465764184</v>
      </c>
      <c r="X286" s="214">
        <v>0.32621625065803528</v>
      </c>
      <c r="Y286" s="47">
        <v>1</v>
      </c>
      <c r="Z286" s="48">
        <v>0</v>
      </c>
      <c r="AA286" s="49"/>
      <c r="AB286" s="50"/>
      <c r="AC286" s="75">
        <f t="shared" si="12"/>
        <v>45021.583333333336</v>
      </c>
      <c r="AD286" s="76">
        <f t="shared" si="13"/>
        <v>45021.541666666664</v>
      </c>
      <c r="AE286" s="77">
        <f t="shared" si="14"/>
        <v>45021.5</v>
      </c>
    </row>
    <row r="287" spans="1:31" ht="21" customHeight="1" thickBot="1" x14ac:dyDescent="0.3">
      <c r="A287" s="444">
        <v>7</v>
      </c>
      <c r="B287" s="219">
        <v>45021</v>
      </c>
      <c r="C287" s="230">
        <v>45021.625</v>
      </c>
      <c r="D287" s="256">
        <v>45021.833333333336</v>
      </c>
      <c r="E287" s="256">
        <v>45021.875</v>
      </c>
      <c r="F287" s="256">
        <v>45021.916666666664</v>
      </c>
      <c r="G287" s="257">
        <v>45021.916666666664</v>
      </c>
      <c r="H287" s="225" t="s">
        <v>350</v>
      </c>
      <c r="I287" s="222" t="s">
        <v>50</v>
      </c>
      <c r="J287" s="242" t="s">
        <v>15</v>
      </c>
      <c r="K287" s="497">
        <v>1</v>
      </c>
      <c r="L287" s="497">
        <v>5</v>
      </c>
      <c r="M287" s="247" t="s">
        <v>12</v>
      </c>
      <c r="N287" s="41">
        <v>45122.417974537035</v>
      </c>
      <c r="O287" s="42" t="s">
        <v>49</v>
      </c>
      <c r="P287" s="43" t="s">
        <v>603</v>
      </c>
      <c r="Q287" s="44"/>
      <c r="R287" s="212">
        <v>1</v>
      </c>
      <c r="S287" s="212">
        <v>1</v>
      </c>
      <c r="T287" s="45">
        <v>0.49547134126935682</v>
      </c>
      <c r="U287" s="46">
        <v>0.63899993896484375</v>
      </c>
      <c r="V287" s="213">
        <v>0.2377417219913418</v>
      </c>
      <c r="W287" s="214">
        <v>0.43175839152857959</v>
      </c>
      <c r="X287" s="214">
        <v>0.3304939866065979</v>
      </c>
      <c r="Y287" s="47">
        <v>1</v>
      </c>
      <c r="Z287" s="48">
        <v>5</v>
      </c>
      <c r="AA287" s="49"/>
      <c r="AB287" s="50"/>
      <c r="AC287" s="75">
        <f t="shared" si="12"/>
        <v>45021.583333333336</v>
      </c>
      <c r="AD287" s="76">
        <f t="shared" si="13"/>
        <v>45021.541666666664</v>
      </c>
      <c r="AE287" s="77">
        <f t="shared" si="14"/>
        <v>45021.5</v>
      </c>
    </row>
    <row r="288" spans="1:31" ht="21" customHeight="1" thickBot="1" x14ac:dyDescent="0.3">
      <c r="A288" s="444">
        <v>30</v>
      </c>
      <c r="B288" s="219">
        <v>45024</v>
      </c>
      <c r="C288" s="230">
        <v>45024.3125</v>
      </c>
      <c r="D288" s="256">
        <v>45024.520833333336</v>
      </c>
      <c r="E288" s="256">
        <v>45024.5625</v>
      </c>
      <c r="F288" s="256">
        <v>45024.604166666664</v>
      </c>
      <c r="G288" s="257">
        <v>45024.604166666664</v>
      </c>
      <c r="H288" s="225" t="s">
        <v>240</v>
      </c>
      <c r="I288" s="222" t="s">
        <v>56</v>
      </c>
      <c r="J288" s="242" t="s">
        <v>11</v>
      </c>
      <c r="K288" s="497">
        <v>2</v>
      </c>
      <c r="L288" s="497">
        <v>0</v>
      </c>
      <c r="M288" s="247" t="s">
        <v>7</v>
      </c>
      <c r="N288" s="41">
        <v>45122.417974537035</v>
      </c>
      <c r="O288" s="42" t="s">
        <v>49</v>
      </c>
      <c r="P288" s="43" t="s">
        <v>603</v>
      </c>
      <c r="Q288" s="44"/>
      <c r="R288" s="212">
        <v>1</v>
      </c>
      <c r="S288" s="212">
        <v>1</v>
      </c>
      <c r="T288" s="45">
        <v>0.92447131020682194</v>
      </c>
      <c r="U288" s="46">
        <v>0.73642843961715698</v>
      </c>
      <c r="V288" s="213">
        <v>0.38136639095846009</v>
      </c>
      <c r="W288" s="214">
        <v>0.34304990835737259</v>
      </c>
      <c r="X288" s="214">
        <v>0.27552008628845215</v>
      </c>
      <c r="Y288" s="47">
        <v>2</v>
      </c>
      <c r="Z288" s="48">
        <v>0</v>
      </c>
      <c r="AA288" s="49"/>
      <c r="AB288" s="50"/>
      <c r="AC288" s="75">
        <f t="shared" si="12"/>
        <v>45024.270833333336</v>
      </c>
      <c r="AD288" s="76">
        <f t="shared" si="13"/>
        <v>45024.229166666664</v>
      </c>
      <c r="AE288" s="77">
        <f t="shared" si="14"/>
        <v>45024.1875</v>
      </c>
    </row>
    <row r="289" spans="1:31" ht="21" customHeight="1" thickBot="1" x14ac:dyDescent="0.3">
      <c r="A289" s="445">
        <v>30</v>
      </c>
      <c r="B289" s="220">
        <v>45024</v>
      </c>
      <c r="C289" s="228">
        <v>45024.416666666664</v>
      </c>
      <c r="D289" s="493">
        <v>45024.625</v>
      </c>
      <c r="E289" s="493">
        <v>45024.666666666664</v>
      </c>
      <c r="F289" s="493">
        <v>45024.708333333336</v>
      </c>
      <c r="G289" s="258">
        <v>45024.708333333336</v>
      </c>
      <c r="H289" s="226" t="s">
        <v>513</v>
      </c>
      <c r="I289" s="223" t="s">
        <v>58</v>
      </c>
      <c r="J289" s="243" t="s">
        <v>2</v>
      </c>
      <c r="K289" s="497">
        <v>2</v>
      </c>
      <c r="L289" s="497">
        <v>0</v>
      </c>
      <c r="M289" s="248" t="s">
        <v>204</v>
      </c>
      <c r="N289" s="52">
        <v>45122.417974537035</v>
      </c>
      <c r="O289" s="53" t="s">
        <v>49</v>
      </c>
      <c r="P289" s="54" t="s">
        <v>603</v>
      </c>
      <c r="R289" s="210">
        <v>1</v>
      </c>
      <c r="S289" s="210">
        <v>0</v>
      </c>
      <c r="T289" s="56">
        <v>1.1131998470851352</v>
      </c>
      <c r="U289" s="57">
        <v>0.40628555417060852</v>
      </c>
      <c r="V289" s="215">
        <v>0.53572108745343183</v>
      </c>
      <c r="W289" s="494">
        <v>0.32956266076854068</v>
      </c>
      <c r="X289" s="494">
        <v>0.13455601036548615</v>
      </c>
      <c r="Y289" s="59">
        <v>2</v>
      </c>
      <c r="Z289" s="60">
        <v>0</v>
      </c>
      <c r="AA289" s="61"/>
      <c r="AB289" s="62"/>
      <c r="AC289" s="39">
        <f t="shared" si="12"/>
        <v>45024.375</v>
      </c>
      <c r="AD289" s="495">
        <f t="shared" si="13"/>
        <v>45024.333333333328</v>
      </c>
      <c r="AE289" s="40">
        <f t="shared" si="14"/>
        <v>45024.291666666664</v>
      </c>
    </row>
    <row r="290" spans="1:31" ht="21" customHeight="1" thickBot="1" x14ac:dyDescent="0.3">
      <c r="A290" s="445">
        <v>30</v>
      </c>
      <c r="B290" s="220">
        <v>45024</v>
      </c>
      <c r="C290" s="228">
        <v>45024.416666666664</v>
      </c>
      <c r="D290" s="493">
        <v>45024.625</v>
      </c>
      <c r="E290" s="493">
        <v>45024.666666666664</v>
      </c>
      <c r="F290" s="493">
        <v>45024.708333333336</v>
      </c>
      <c r="G290" s="258">
        <v>45024.708333333336</v>
      </c>
      <c r="H290" s="226" t="s">
        <v>352</v>
      </c>
      <c r="I290" s="223" t="s">
        <v>593</v>
      </c>
      <c r="J290" s="243" t="s">
        <v>125</v>
      </c>
      <c r="K290" s="497">
        <v>1</v>
      </c>
      <c r="L290" s="497">
        <v>2</v>
      </c>
      <c r="M290" s="248" t="s">
        <v>12</v>
      </c>
      <c r="N290" s="52">
        <v>45122.417974537035</v>
      </c>
      <c r="O290" s="53" t="s">
        <v>49</v>
      </c>
      <c r="P290" s="54" t="s">
        <v>603</v>
      </c>
      <c r="R290" s="210">
        <v>1</v>
      </c>
      <c r="S290" s="210">
        <v>1</v>
      </c>
      <c r="T290" s="56">
        <v>0.57089986119951519</v>
      </c>
      <c r="U290" s="57">
        <v>0.66899991035461426</v>
      </c>
      <c r="V290" s="215">
        <v>0.26373153884639172</v>
      </c>
      <c r="W290" s="494">
        <v>0.41096245461569264</v>
      </c>
      <c r="X290" s="494">
        <v>0.32529693841934204</v>
      </c>
      <c r="Y290" s="59">
        <v>1</v>
      </c>
      <c r="Z290" s="60">
        <v>2</v>
      </c>
      <c r="AA290" s="61"/>
      <c r="AB290" s="62"/>
      <c r="AC290" s="39">
        <f t="shared" si="12"/>
        <v>45024.375</v>
      </c>
      <c r="AD290" s="495">
        <f t="shared" si="13"/>
        <v>45024.333333333328</v>
      </c>
      <c r="AE290" s="40">
        <f t="shared" si="14"/>
        <v>45024.291666666664</v>
      </c>
    </row>
    <row r="291" spans="1:31" ht="21" customHeight="1" thickBot="1" x14ac:dyDescent="0.3">
      <c r="A291" s="445">
        <v>30</v>
      </c>
      <c r="B291" s="220">
        <v>45024</v>
      </c>
      <c r="C291" s="228">
        <v>45024.416666666664</v>
      </c>
      <c r="D291" s="493">
        <v>45024.625</v>
      </c>
      <c r="E291" s="493">
        <v>45024.666666666664</v>
      </c>
      <c r="F291" s="493">
        <v>45024.708333333336</v>
      </c>
      <c r="G291" s="258">
        <v>45024.708333333336</v>
      </c>
      <c r="H291" s="226" t="s">
        <v>514</v>
      </c>
      <c r="I291" s="223" t="s">
        <v>431</v>
      </c>
      <c r="J291" s="243" t="s">
        <v>126</v>
      </c>
      <c r="K291" s="497">
        <v>0</v>
      </c>
      <c r="L291" s="497">
        <v>1</v>
      </c>
      <c r="M291" s="248" t="s">
        <v>15</v>
      </c>
      <c r="N291" s="52">
        <v>45122.417974537035</v>
      </c>
      <c r="O291" s="53" t="s">
        <v>49</v>
      </c>
      <c r="P291" s="54" t="s">
        <v>603</v>
      </c>
      <c r="R291" s="210">
        <v>1</v>
      </c>
      <c r="S291" s="210">
        <v>0</v>
      </c>
      <c r="T291" s="56">
        <v>1.2770997285842896</v>
      </c>
      <c r="U291" s="57">
        <v>0.61328554153442383</v>
      </c>
      <c r="V291" s="215">
        <v>0.52633722474519806</v>
      </c>
      <c r="W291" s="494">
        <v>0.29456842382608212</v>
      </c>
      <c r="X291" s="494">
        <v>0.17872712016105652</v>
      </c>
      <c r="Y291" s="59">
        <v>0</v>
      </c>
      <c r="Z291" s="60">
        <v>1</v>
      </c>
      <c r="AA291" s="61"/>
      <c r="AB291" s="62"/>
      <c r="AC291" s="39">
        <f t="shared" si="12"/>
        <v>45024.375</v>
      </c>
      <c r="AD291" s="495">
        <f t="shared" si="13"/>
        <v>45024.333333333328</v>
      </c>
      <c r="AE291" s="40">
        <f t="shared" si="14"/>
        <v>45024.291666666664</v>
      </c>
    </row>
    <row r="292" spans="1:31" ht="21" customHeight="1" thickBot="1" x14ac:dyDescent="0.3">
      <c r="A292" s="445">
        <v>30</v>
      </c>
      <c r="B292" s="220">
        <v>45024</v>
      </c>
      <c r="C292" s="228">
        <v>45024.416666666664</v>
      </c>
      <c r="D292" s="493">
        <v>45024.625</v>
      </c>
      <c r="E292" s="493">
        <v>45024.666666666664</v>
      </c>
      <c r="F292" s="493">
        <v>45024.708333333336</v>
      </c>
      <c r="G292" s="258">
        <v>45024.708333333336</v>
      </c>
      <c r="H292" s="226" t="s">
        <v>515</v>
      </c>
      <c r="I292" s="223" t="s">
        <v>54</v>
      </c>
      <c r="J292" s="243" t="s">
        <v>8</v>
      </c>
      <c r="K292" s="497">
        <v>0</v>
      </c>
      <c r="L292" s="497">
        <v>1</v>
      </c>
      <c r="M292" s="248" t="s">
        <v>3</v>
      </c>
      <c r="N292" s="52">
        <v>45122.417974537035</v>
      </c>
      <c r="O292" s="53" t="s">
        <v>49</v>
      </c>
      <c r="P292" s="54" t="s">
        <v>603</v>
      </c>
      <c r="R292" s="210">
        <v>1</v>
      </c>
      <c r="S292" s="210">
        <v>0</v>
      </c>
      <c r="T292" s="56">
        <v>0.98748554502214703</v>
      </c>
      <c r="U292" s="57">
        <v>0.69199991226196289</v>
      </c>
      <c r="V292" s="215">
        <v>0.4138359017770013</v>
      </c>
      <c r="W292" s="494">
        <v>0.33738575168088369</v>
      </c>
      <c r="X292" s="494">
        <v>0.24869309365749359</v>
      </c>
      <c r="Y292" s="59">
        <v>0</v>
      </c>
      <c r="Z292" s="60">
        <v>1</v>
      </c>
      <c r="AA292" s="61"/>
      <c r="AB292" s="62"/>
      <c r="AC292" s="39">
        <f t="shared" si="12"/>
        <v>45024.375</v>
      </c>
      <c r="AD292" s="495">
        <f t="shared" si="13"/>
        <v>45024.333333333328</v>
      </c>
      <c r="AE292" s="40">
        <f t="shared" si="14"/>
        <v>45024.291666666664</v>
      </c>
    </row>
    <row r="293" spans="1:31" ht="21" customHeight="1" thickBot="1" x14ac:dyDescent="0.3">
      <c r="A293" s="445">
        <v>30</v>
      </c>
      <c r="B293" s="220">
        <v>45024</v>
      </c>
      <c r="C293" s="228">
        <v>45024.416666666664</v>
      </c>
      <c r="D293" s="493">
        <v>45024.625</v>
      </c>
      <c r="E293" s="493">
        <v>45024.666666666664</v>
      </c>
      <c r="F293" s="493">
        <v>45024.708333333336</v>
      </c>
      <c r="G293" s="258">
        <v>45024.708333333336</v>
      </c>
      <c r="H293" s="226" t="s">
        <v>391</v>
      </c>
      <c r="I293" s="223" t="s">
        <v>53</v>
      </c>
      <c r="J293" s="243" t="s">
        <v>14</v>
      </c>
      <c r="K293" s="497">
        <v>2</v>
      </c>
      <c r="L293" s="497">
        <v>1</v>
      </c>
      <c r="M293" s="248" t="s">
        <v>4</v>
      </c>
      <c r="N293" s="52">
        <v>45122.417974537035</v>
      </c>
      <c r="O293" s="53" t="s">
        <v>49</v>
      </c>
      <c r="P293" s="54" t="s">
        <v>603</v>
      </c>
      <c r="R293" s="210">
        <v>1</v>
      </c>
      <c r="S293" s="210">
        <v>1</v>
      </c>
      <c r="T293" s="56">
        <v>1.0693570545741491</v>
      </c>
      <c r="U293" s="57">
        <v>1.0405713319778442</v>
      </c>
      <c r="V293" s="215">
        <v>0.35791155088335691</v>
      </c>
      <c r="W293" s="494">
        <v>0.29867256574692697</v>
      </c>
      <c r="X293" s="494">
        <v>0.34318432211875916</v>
      </c>
      <c r="Y293" s="59">
        <v>2</v>
      </c>
      <c r="Z293" s="60">
        <v>1</v>
      </c>
      <c r="AA293" s="61"/>
      <c r="AB293" s="62"/>
      <c r="AC293" s="39">
        <f t="shared" si="12"/>
        <v>45024.375</v>
      </c>
      <c r="AD293" s="495">
        <f t="shared" si="13"/>
        <v>45024.333333333328</v>
      </c>
      <c r="AE293" s="40">
        <f t="shared" si="14"/>
        <v>45024.291666666664</v>
      </c>
    </row>
    <row r="294" spans="1:31" ht="21" customHeight="1" thickBot="1" x14ac:dyDescent="0.3">
      <c r="A294" s="445">
        <v>30</v>
      </c>
      <c r="B294" s="220">
        <v>45024</v>
      </c>
      <c r="C294" s="228">
        <v>45024.416666666664</v>
      </c>
      <c r="D294" s="493">
        <v>45024.625</v>
      </c>
      <c r="E294" s="493">
        <v>45024.666666666664</v>
      </c>
      <c r="F294" s="493">
        <v>45024.708333333336</v>
      </c>
      <c r="G294" s="258">
        <v>45024.708333333336</v>
      </c>
      <c r="H294" s="226" t="s">
        <v>305</v>
      </c>
      <c r="I294" s="223" t="s">
        <v>63</v>
      </c>
      <c r="J294" s="243" t="s">
        <v>16</v>
      </c>
      <c r="K294" s="497">
        <v>1</v>
      </c>
      <c r="L294" s="497">
        <v>0</v>
      </c>
      <c r="M294" s="248" t="s">
        <v>5</v>
      </c>
      <c r="N294" s="52">
        <v>45122.417974537035</v>
      </c>
      <c r="O294" s="53" t="s">
        <v>49</v>
      </c>
      <c r="P294" s="54" t="s">
        <v>603</v>
      </c>
      <c r="R294" s="210">
        <v>1</v>
      </c>
      <c r="S294" s="210">
        <v>1</v>
      </c>
      <c r="T294" s="56">
        <v>0.84809976816177368</v>
      </c>
      <c r="U294" s="57">
        <v>0.8005712628364563</v>
      </c>
      <c r="V294" s="215">
        <v>0.34002288129206337</v>
      </c>
      <c r="W294" s="494">
        <v>0.34678146044470404</v>
      </c>
      <c r="X294" s="494">
        <v>0.31314486265182495</v>
      </c>
      <c r="Y294" s="59">
        <v>1</v>
      </c>
      <c r="Z294" s="60">
        <v>0</v>
      </c>
      <c r="AA294" s="61"/>
      <c r="AB294" s="62"/>
      <c r="AC294" s="39">
        <f t="shared" si="12"/>
        <v>45024.375</v>
      </c>
      <c r="AD294" s="495">
        <f t="shared" si="13"/>
        <v>45024.333333333328</v>
      </c>
      <c r="AE294" s="40">
        <f t="shared" si="14"/>
        <v>45024.291666666664</v>
      </c>
    </row>
    <row r="295" spans="1:31" ht="21" customHeight="1" thickBot="1" x14ac:dyDescent="0.3">
      <c r="A295" s="445">
        <v>30</v>
      </c>
      <c r="B295" s="220">
        <v>45024</v>
      </c>
      <c r="C295" s="228">
        <v>45024.520833333336</v>
      </c>
      <c r="D295" s="493">
        <v>45024.729166666664</v>
      </c>
      <c r="E295" s="493">
        <v>45024.770833333336</v>
      </c>
      <c r="F295" s="493">
        <v>45024.8125</v>
      </c>
      <c r="G295" s="258">
        <v>45024.8125</v>
      </c>
      <c r="H295" s="226" t="s">
        <v>335</v>
      </c>
      <c r="I295" s="223" t="s">
        <v>60</v>
      </c>
      <c r="J295" s="243" t="s">
        <v>13</v>
      </c>
      <c r="K295" s="497">
        <v>1</v>
      </c>
      <c r="L295" s="497">
        <v>4</v>
      </c>
      <c r="M295" s="248" t="s">
        <v>10</v>
      </c>
      <c r="N295" s="52">
        <v>45122.417974537035</v>
      </c>
      <c r="O295" s="53" t="s">
        <v>49</v>
      </c>
      <c r="P295" s="54" t="s">
        <v>603</v>
      </c>
      <c r="R295" s="210">
        <v>0</v>
      </c>
      <c r="S295" s="210">
        <v>3</v>
      </c>
      <c r="T295" s="56">
        <v>0.47237123761858257</v>
      </c>
      <c r="U295" s="57">
        <v>2.4809997081756592</v>
      </c>
      <c r="V295" s="215">
        <v>5.2012855710233986E-2</v>
      </c>
      <c r="W295" s="494">
        <v>0.13371960159429025</v>
      </c>
      <c r="X295" s="494">
        <v>0.8006015419960022</v>
      </c>
      <c r="Y295" s="59">
        <v>1</v>
      </c>
      <c r="Z295" s="60">
        <v>4</v>
      </c>
      <c r="AA295" s="61"/>
      <c r="AB295" s="62"/>
      <c r="AC295" s="39">
        <f t="shared" si="12"/>
        <v>45024.479166666672</v>
      </c>
      <c r="AD295" s="495">
        <f t="shared" si="13"/>
        <v>45024.4375</v>
      </c>
      <c r="AE295" s="40">
        <f t="shared" si="14"/>
        <v>45024.395833333336</v>
      </c>
    </row>
    <row r="296" spans="1:31" ht="21" customHeight="1" thickBot="1" x14ac:dyDescent="0.3">
      <c r="A296" s="445">
        <v>30</v>
      </c>
      <c r="B296" s="220">
        <v>45025</v>
      </c>
      <c r="C296" s="228">
        <v>45025.375</v>
      </c>
      <c r="D296" s="493">
        <v>45025.583333333336</v>
      </c>
      <c r="E296" s="493">
        <v>45025.625</v>
      </c>
      <c r="F296" s="493">
        <v>45025.666666666664</v>
      </c>
      <c r="G296" s="258">
        <v>45025.666666666664</v>
      </c>
      <c r="H296" s="226" t="s">
        <v>279</v>
      </c>
      <c r="I296" s="223" t="s">
        <v>140</v>
      </c>
      <c r="J296" s="243" t="s">
        <v>139</v>
      </c>
      <c r="K296" s="497">
        <v>1</v>
      </c>
      <c r="L296" s="497">
        <v>5</v>
      </c>
      <c r="M296" s="248" t="s">
        <v>6</v>
      </c>
      <c r="N296" s="52">
        <v>45122.417974537035</v>
      </c>
      <c r="O296" s="53" t="s">
        <v>49</v>
      </c>
      <c r="P296" s="54" t="s">
        <v>603</v>
      </c>
      <c r="R296" s="210">
        <v>1</v>
      </c>
      <c r="S296" s="210">
        <v>2</v>
      </c>
      <c r="T296" s="56">
        <v>0.8493569919041225</v>
      </c>
      <c r="U296" s="57">
        <v>1.5109997987747192</v>
      </c>
      <c r="V296" s="215">
        <v>0.2112830420766609</v>
      </c>
      <c r="W296" s="494">
        <v>0.26039547525618822</v>
      </c>
      <c r="X296" s="494">
        <v>0.52732580900192261</v>
      </c>
      <c r="Y296" s="59">
        <v>1</v>
      </c>
      <c r="Z296" s="60">
        <v>5</v>
      </c>
      <c r="AA296" s="61"/>
      <c r="AB296" s="62"/>
      <c r="AC296" s="39">
        <f t="shared" si="12"/>
        <v>45025.333333333336</v>
      </c>
      <c r="AD296" s="495">
        <f t="shared" si="13"/>
        <v>45025.291666666664</v>
      </c>
      <c r="AE296" s="40">
        <f t="shared" si="14"/>
        <v>45025.25</v>
      </c>
    </row>
    <row r="297" spans="1:31" ht="21" customHeight="1" thickBot="1" x14ac:dyDescent="0.3">
      <c r="A297" s="445">
        <v>30</v>
      </c>
      <c r="B297" s="220">
        <v>45025</v>
      </c>
      <c r="C297" s="228">
        <v>45025.479166666664</v>
      </c>
      <c r="D297" s="493">
        <v>45025.6875</v>
      </c>
      <c r="E297" s="493">
        <v>45025.729166666664</v>
      </c>
      <c r="F297" s="493">
        <v>45025.770833333336</v>
      </c>
      <c r="G297" s="258">
        <v>45025.770833333336</v>
      </c>
      <c r="H297" s="226" t="s">
        <v>164</v>
      </c>
      <c r="I297" s="223" t="s">
        <v>48</v>
      </c>
      <c r="J297" s="243" t="s">
        <v>9</v>
      </c>
      <c r="K297" s="497">
        <v>2</v>
      </c>
      <c r="L297" s="497">
        <v>2</v>
      </c>
      <c r="M297" s="248" t="s">
        <v>1</v>
      </c>
      <c r="N297" s="52">
        <v>45122.417974537035</v>
      </c>
      <c r="O297" s="53" t="s">
        <v>49</v>
      </c>
      <c r="P297" s="54" t="s">
        <v>603</v>
      </c>
      <c r="R297" s="210">
        <v>1</v>
      </c>
      <c r="S297" s="210">
        <v>2</v>
      </c>
      <c r="T297" s="56">
        <v>1.4543570790972029</v>
      </c>
      <c r="U297" s="57">
        <v>1.7809997797012329</v>
      </c>
      <c r="V297" s="215">
        <v>0.31523372493933449</v>
      </c>
      <c r="W297" s="494">
        <v>0.2296659470746065</v>
      </c>
      <c r="X297" s="494">
        <v>0.45190232992172241</v>
      </c>
      <c r="Y297" s="59">
        <v>2</v>
      </c>
      <c r="Z297" s="60">
        <v>2</v>
      </c>
      <c r="AA297" s="61"/>
      <c r="AB297" s="62"/>
      <c r="AC297" s="39">
        <f t="shared" si="12"/>
        <v>45025.4375</v>
      </c>
      <c r="AD297" s="495">
        <f t="shared" si="13"/>
        <v>45025.395833333328</v>
      </c>
      <c r="AE297" s="40">
        <f t="shared" si="14"/>
        <v>45025.354166666664</v>
      </c>
    </row>
    <row r="298" spans="1:31" ht="21" customHeight="1" thickBot="1" x14ac:dyDescent="0.3">
      <c r="A298" s="444">
        <v>31</v>
      </c>
      <c r="B298" s="219">
        <v>45031</v>
      </c>
      <c r="C298" s="230">
        <v>45031.3125</v>
      </c>
      <c r="D298" s="256">
        <v>45031.520833333336</v>
      </c>
      <c r="E298" s="256">
        <v>45031.5625</v>
      </c>
      <c r="F298" s="256">
        <v>45031.604166666664</v>
      </c>
      <c r="G298" s="257">
        <v>45031.604166666664</v>
      </c>
      <c r="H298" s="225" t="s">
        <v>209</v>
      </c>
      <c r="I298" s="222" t="s">
        <v>58</v>
      </c>
      <c r="J298" s="242" t="s">
        <v>2</v>
      </c>
      <c r="K298" s="497">
        <v>3</v>
      </c>
      <c r="L298" s="497">
        <v>0</v>
      </c>
      <c r="M298" s="247" t="s">
        <v>12</v>
      </c>
      <c r="N298" s="41">
        <v>45122.417974537035</v>
      </c>
      <c r="O298" s="42" t="s">
        <v>49</v>
      </c>
      <c r="P298" s="43" t="s">
        <v>603</v>
      </c>
      <c r="Q298" s="44"/>
      <c r="R298" s="212">
        <v>1</v>
      </c>
      <c r="S298" s="212">
        <v>1</v>
      </c>
      <c r="T298" s="45">
        <v>1.2770997285842896</v>
      </c>
      <c r="U298" s="46">
        <v>1.3909999132156372</v>
      </c>
      <c r="V298" s="213">
        <v>0.34352934386234801</v>
      </c>
      <c r="W298" s="214">
        <v>0.25947429567798985</v>
      </c>
      <c r="X298" s="214">
        <v>0.39603367447853088</v>
      </c>
      <c r="Y298" s="47">
        <v>3</v>
      </c>
      <c r="Z298" s="48">
        <v>0</v>
      </c>
      <c r="AA298" s="49"/>
      <c r="AB298" s="50"/>
      <c r="AC298" s="75">
        <f t="shared" si="12"/>
        <v>45031.270833333336</v>
      </c>
      <c r="AD298" s="76">
        <f t="shared" si="13"/>
        <v>45031.229166666664</v>
      </c>
      <c r="AE298" s="77">
        <f t="shared" si="14"/>
        <v>45031.1875</v>
      </c>
    </row>
    <row r="299" spans="1:31" ht="21" customHeight="1" thickBot="1" x14ac:dyDescent="0.3">
      <c r="A299" s="445">
        <v>31</v>
      </c>
      <c r="B299" s="220">
        <v>45031</v>
      </c>
      <c r="C299" s="228">
        <v>45031.416666666664</v>
      </c>
      <c r="D299" s="493">
        <v>45031.625</v>
      </c>
      <c r="E299" s="493">
        <v>45031.666666666664</v>
      </c>
      <c r="F299" s="493">
        <v>45031.708333333336</v>
      </c>
      <c r="G299" s="258">
        <v>45031.708333333336</v>
      </c>
      <c r="H299" s="226" t="s">
        <v>314</v>
      </c>
      <c r="I299" s="223" t="s">
        <v>62</v>
      </c>
      <c r="J299" s="243" t="s">
        <v>5</v>
      </c>
      <c r="K299" s="497">
        <v>1</v>
      </c>
      <c r="L299" s="497">
        <v>2</v>
      </c>
      <c r="M299" s="248" t="s">
        <v>4</v>
      </c>
      <c r="N299" s="52">
        <v>45122.417974537035</v>
      </c>
      <c r="O299" s="53" t="s">
        <v>49</v>
      </c>
      <c r="P299" s="54" t="s">
        <v>603</v>
      </c>
      <c r="R299" s="210">
        <v>1</v>
      </c>
      <c r="S299" s="210">
        <v>2</v>
      </c>
      <c r="T299" s="56">
        <v>1.2880997657775879</v>
      </c>
      <c r="U299" s="57">
        <v>1.5309997797012329</v>
      </c>
      <c r="V299" s="215">
        <v>0.31996883969571444</v>
      </c>
      <c r="W299" s="494">
        <v>0.24972597524861773</v>
      </c>
      <c r="X299" s="494">
        <v>0.42888262867927551</v>
      </c>
      <c r="Y299" s="59">
        <v>1</v>
      </c>
      <c r="Z299" s="60">
        <v>2</v>
      </c>
      <c r="AA299" s="61"/>
      <c r="AB299" s="62"/>
      <c r="AC299" s="39">
        <f t="shared" si="12"/>
        <v>45031.375</v>
      </c>
      <c r="AD299" s="495">
        <f t="shared" si="13"/>
        <v>45031.333333333328</v>
      </c>
      <c r="AE299" s="40">
        <f t="shared" si="14"/>
        <v>45031.291666666664</v>
      </c>
    </row>
    <row r="300" spans="1:31" ht="21" customHeight="1" thickBot="1" x14ac:dyDescent="0.3">
      <c r="A300" s="445">
        <v>31</v>
      </c>
      <c r="B300" s="220">
        <v>45031</v>
      </c>
      <c r="C300" s="228">
        <v>45031.416666666664</v>
      </c>
      <c r="D300" s="493">
        <v>45031.625</v>
      </c>
      <c r="E300" s="493">
        <v>45031.666666666664</v>
      </c>
      <c r="F300" s="493">
        <v>45031.708333333336</v>
      </c>
      <c r="G300" s="258">
        <v>45031.708333333336</v>
      </c>
      <c r="H300" s="226" t="s">
        <v>516</v>
      </c>
      <c r="I300" s="223" t="s">
        <v>59</v>
      </c>
      <c r="J300" s="243" t="s">
        <v>7</v>
      </c>
      <c r="K300" s="497">
        <v>1</v>
      </c>
      <c r="L300" s="497">
        <v>3</v>
      </c>
      <c r="M300" s="248" t="s">
        <v>126</v>
      </c>
      <c r="N300" s="52">
        <v>45122.417974537035</v>
      </c>
      <c r="O300" s="53" t="s">
        <v>49</v>
      </c>
      <c r="P300" s="54" t="s">
        <v>603</v>
      </c>
      <c r="R300" s="210">
        <v>2</v>
      </c>
      <c r="S300" s="210">
        <v>2</v>
      </c>
      <c r="T300" s="56">
        <v>1.34309983253479</v>
      </c>
      <c r="U300" s="57">
        <v>1.5209997892379761</v>
      </c>
      <c r="V300" s="215">
        <v>0.33540628054732935</v>
      </c>
      <c r="W300" s="494">
        <v>0.24843245667919722</v>
      </c>
      <c r="X300" s="494">
        <v>0.41467055678367615</v>
      </c>
      <c r="Y300" s="59">
        <v>1</v>
      </c>
      <c r="Z300" s="60">
        <v>3</v>
      </c>
      <c r="AA300" s="61"/>
      <c r="AB300" s="62"/>
      <c r="AC300" s="39">
        <f t="shared" si="12"/>
        <v>45031.375</v>
      </c>
      <c r="AD300" s="495">
        <f t="shared" si="13"/>
        <v>45031.333333333328</v>
      </c>
      <c r="AE300" s="40">
        <f t="shared" si="14"/>
        <v>45031.291666666664</v>
      </c>
    </row>
    <row r="301" spans="1:31" ht="21" customHeight="1" thickBot="1" x14ac:dyDescent="0.3">
      <c r="A301" s="445">
        <v>31</v>
      </c>
      <c r="B301" s="220">
        <v>45031</v>
      </c>
      <c r="C301" s="228">
        <v>45031.416666666664</v>
      </c>
      <c r="D301" s="493">
        <v>45031.625</v>
      </c>
      <c r="E301" s="493">
        <v>45031.666666666664</v>
      </c>
      <c r="F301" s="493">
        <v>45031.708333333336</v>
      </c>
      <c r="G301" s="258">
        <v>45031.708333333336</v>
      </c>
      <c r="H301" s="226" t="s">
        <v>198</v>
      </c>
      <c r="I301" s="223" t="s">
        <v>60</v>
      </c>
      <c r="J301" s="243" t="s">
        <v>13</v>
      </c>
      <c r="K301" s="497">
        <v>0</v>
      </c>
      <c r="L301" s="497">
        <v>2</v>
      </c>
      <c r="M301" s="248" t="s">
        <v>6</v>
      </c>
      <c r="N301" s="52">
        <v>45122.417974537035</v>
      </c>
      <c r="O301" s="53" t="s">
        <v>49</v>
      </c>
      <c r="P301" s="54" t="s">
        <v>603</v>
      </c>
      <c r="R301" s="210">
        <v>1</v>
      </c>
      <c r="S301" s="210">
        <v>1</v>
      </c>
      <c r="T301" s="56">
        <v>0.87009978294372559</v>
      </c>
      <c r="U301" s="57">
        <v>1.1151427030563354</v>
      </c>
      <c r="V301" s="215">
        <v>0.28246308460744435</v>
      </c>
      <c r="W301" s="494">
        <v>0.30664480729034038</v>
      </c>
      <c r="X301" s="494">
        <v>0.41069525480270386</v>
      </c>
      <c r="Y301" s="59">
        <v>0</v>
      </c>
      <c r="Z301" s="60">
        <v>2</v>
      </c>
      <c r="AA301" s="61"/>
      <c r="AB301" s="62"/>
      <c r="AC301" s="39">
        <f t="shared" si="12"/>
        <v>45031.375</v>
      </c>
      <c r="AD301" s="495">
        <f t="shared" si="13"/>
        <v>45031.333333333328</v>
      </c>
      <c r="AE301" s="40">
        <f t="shared" si="14"/>
        <v>45031.291666666664</v>
      </c>
    </row>
    <row r="302" spans="1:31" ht="21" customHeight="1" thickBot="1" x14ac:dyDescent="0.3">
      <c r="A302" s="445">
        <v>31</v>
      </c>
      <c r="B302" s="220">
        <v>45031</v>
      </c>
      <c r="C302" s="228">
        <v>45031.416666666664</v>
      </c>
      <c r="D302" s="493">
        <v>45031.625</v>
      </c>
      <c r="E302" s="493">
        <v>45031.666666666664</v>
      </c>
      <c r="F302" s="493">
        <v>45031.708333333336</v>
      </c>
      <c r="G302" s="258">
        <v>45031.708333333336</v>
      </c>
      <c r="H302" s="226" t="s">
        <v>230</v>
      </c>
      <c r="I302" s="223" t="s">
        <v>63</v>
      </c>
      <c r="J302" s="243" t="s">
        <v>16</v>
      </c>
      <c r="K302" s="497">
        <v>2</v>
      </c>
      <c r="L302" s="497">
        <v>0</v>
      </c>
      <c r="M302" s="248" t="s">
        <v>125</v>
      </c>
      <c r="N302" s="52">
        <v>45122.417974537035</v>
      </c>
      <c r="O302" s="53" t="s">
        <v>49</v>
      </c>
      <c r="P302" s="54" t="s">
        <v>603</v>
      </c>
      <c r="R302" s="210">
        <v>1</v>
      </c>
      <c r="S302" s="210">
        <v>2</v>
      </c>
      <c r="T302" s="56">
        <v>1.1340998411178589</v>
      </c>
      <c r="U302" s="57">
        <v>1.4809995889663696</v>
      </c>
      <c r="V302" s="215">
        <v>0.28999137194080865</v>
      </c>
      <c r="W302" s="494">
        <v>0.25834975426530199</v>
      </c>
      <c r="X302" s="494">
        <v>0.45061919093132019</v>
      </c>
      <c r="Y302" s="59">
        <v>2</v>
      </c>
      <c r="Z302" s="60">
        <v>0</v>
      </c>
      <c r="AA302" s="61"/>
      <c r="AB302" s="62"/>
      <c r="AC302" s="39">
        <f t="shared" si="12"/>
        <v>45031.375</v>
      </c>
      <c r="AD302" s="495">
        <f t="shared" si="13"/>
        <v>45031.333333333328</v>
      </c>
      <c r="AE302" s="40">
        <f t="shared" si="14"/>
        <v>45031.291666666664</v>
      </c>
    </row>
    <row r="303" spans="1:31" ht="21" customHeight="1" thickBot="1" x14ac:dyDescent="0.3">
      <c r="A303" s="445">
        <v>31</v>
      </c>
      <c r="B303" s="220">
        <v>45031</v>
      </c>
      <c r="C303" s="228">
        <v>45031.427083333336</v>
      </c>
      <c r="D303" s="493">
        <v>45031.635416666664</v>
      </c>
      <c r="E303" s="493">
        <v>45031.677083333336</v>
      </c>
      <c r="F303" s="493">
        <v>45031.71875</v>
      </c>
      <c r="G303" s="258">
        <v>45031.71875</v>
      </c>
      <c r="H303" s="226" t="s">
        <v>518</v>
      </c>
      <c r="I303" s="223" t="s">
        <v>53</v>
      </c>
      <c r="J303" s="243" t="s">
        <v>14</v>
      </c>
      <c r="K303" s="497">
        <v>2</v>
      </c>
      <c r="L303" s="497">
        <v>3</v>
      </c>
      <c r="M303" s="248" t="s">
        <v>3</v>
      </c>
      <c r="N303" s="52">
        <v>45122.417974537035</v>
      </c>
      <c r="O303" s="53" t="s">
        <v>49</v>
      </c>
      <c r="P303" s="54" t="s">
        <v>603</v>
      </c>
      <c r="R303" s="210">
        <v>2</v>
      </c>
      <c r="S303" s="210">
        <v>1</v>
      </c>
      <c r="T303" s="56">
        <v>2.0470998287200928</v>
      </c>
      <c r="U303" s="57">
        <v>1.1309996843338013</v>
      </c>
      <c r="V303" s="215">
        <v>0.57981774634653682</v>
      </c>
      <c r="W303" s="494">
        <v>0.21061284185715695</v>
      </c>
      <c r="X303" s="494">
        <v>0.20426663756370544</v>
      </c>
      <c r="Y303" s="59">
        <v>2</v>
      </c>
      <c r="Z303" s="60">
        <v>3</v>
      </c>
      <c r="AA303" s="61"/>
      <c r="AB303" s="62"/>
      <c r="AC303" s="39">
        <f t="shared" si="12"/>
        <v>45031.385416666672</v>
      </c>
      <c r="AD303" s="495">
        <f t="shared" si="13"/>
        <v>45031.34375</v>
      </c>
      <c r="AE303" s="40">
        <f t="shared" si="14"/>
        <v>45031.302083333336</v>
      </c>
    </row>
    <row r="304" spans="1:31" ht="21" customHeight="1" thickBot="1" x14ac:dyDescent="0.3">
      <c r="A304" s="445">
        <v>31</v>
      </c>
      <c r="B304" s="220">
        <v>45031</v>
      </c>
      <c r="C304" s="228">
        <v>45031.520833333336</v>
      </c>
      <c r="D304" s="493">
        <v>45031.729166666664</v>
      </c>
      <c r="E304" s="493">
        <v>45031.770833333336</v>
      </c>
      <c r="F304" s="493">
        <v>45031.8125</v>
      </c>
      <c r="G304" s="258">
        <v>45031.8125</v>
      </c>
      <c r="H304" s="226" t="s">
        <v>308</v>
      </c>
      <c r="I304" s="223" t="s">
        <v>61</v>
      </c>
      <c r="J304" s="243" t="s">
        <v>10</v>
      </c>
      <c r="K304" s="497">
        <v>3</v>
      </c>
      <c r="L304" s="497">
        <v>1</v>
      </c>
      <c r="M304" s="248" t="s">
        <v>8</v>
      </c>
      <c r="N304" s="52">
        <v>45122.417974537035</v>
      </c>
      <c r="O304" s="53" t="s">
        <v>49</v>
      </c>
      <c r="P304" s="54" t="s">
        <v>603</v>
      </c>
      <c r="R304" s="210">
        <v>3</v>
      </c>
      <c r="S304" s="210">
        <v>1</v>
      </c>
      <c r="T304" s="56">
        <v>2.6960997581481934</v>
      </c>
      <c r="U304" s="57">
        <v>0.80099976062774658</v>
      </c>
      <c r="V304" s="215">
        <v>0.75292241974817409</v>
      </c>
      <c r="W304" s="494">
        <v>0.14071991059600561</v>
      </c>
      <c r="X304" s="494">
        <v>8.5908442735671997E-2</v>
      </c>
      <c r="Y304" s="59">
        <v>3</v>
      </c>
      <c r="Z304" s="60">
        <v>1</v>
      </c>
      <c r="AA304" s="61"/>
      <c r="AB304" s="62"/>
      <c r="AC304" s="39">
        <f t="shared" si="12"/>
        <v>45031.479166666672</v>
      </c>
      <c r="AD304" s="495">
        <f t="shared" si="13"/>
        <v>45031.4375</v>
      </c>
      <c r="AE304" s="40">
        <f t="shared" si="14"/>
        <v>45031.395833333336</v>
      </c>
    </row>
    <row r="305" spans="1:31" ht="21" customHeight="1" thickBot="1" x14ac:dyDescent="0.3">
      <c r="A305" s="445">
        <v>31</v>
      </c>
      <c r="B305" s="220">
        <v>45032</v>
      </c>
      <c r="C305" s="228">
        <v>45032.375</v>
      </c>
      <c r="D305" s="493">
        <v>45032.583333333336</v>
      </c>
      <c r="E305" s="493">
        <v>45032.625</v>
      </c>
      <c r="F305" s="493">
        <v>45032.666666666664</v>
      </c>
      <c r="G305" s="258">
        <v>45032.666666666664</v>
      </c>
      <c r="H305" s="226" t="s">
        <v>403</v>
      </c>
      <c r="I305" s="223" t="s">
        <v>50</v>
      </c>
      <c r="J305" s="243" t="s">
        <v>15</v>
      </c>
      <c r="K305" s="497">
        <v>2</v>
      </c>
      <c r="L305" s="497">
        <v>2</v>
      </c>
      <c r="M305" s="248" t="s">
        <v>1</v>
      </c>
      <c r="N305" s="52">
        <v>45122.417974537035</v>
      </c>
      <c r="O305" s="53" t="s">
        <v>49</v>
      </c>
      <c r="P305" s="54" t="s">
        <v>603</v>
      </c>
      <c r="R305" s="210">
        <v>1</v>
      </c>
      <c r="S305" s="210">
        <v>2</v>
      </c>
      <c r="T305" s="56">
        <v>1.2330996990203857</v>
      </c>
      <c r="U305" s="57">
        <v>1.8809996843338013</v>
      </c>
      <c r="V305" s="215">
        <v>0.24928647752684077</v>
      </c>
      <c r="W305" s="494">
        <v>0.2250360253907015</v>
      </c>
      <c r="X305" s="494">
        <v>0.52211880683898926</v>
      </c>
      <c r="Y305" s="59">
        <v>2</v>
      </c>
      <c r="Z305" s="60">
        <v>2</v>
      </c>
      <c r="AA305" s="61"/>
      <c r="AB305" s="62"/>
      <c r="AC305" s="39">
        <f t="shared" si="12"/>
        <v>45032.333333333336</v>
      </c>
      <c r="AD305" s="495">
        <f t="shared" si="13"/>
        <v>45032.291666666664</v>
      </c>
      <c r="AE305" s="40">
        <f t="shared" si="14"/>
        <v>45032.25</v>
      </c>
    </row>
    <row r="306" spans="1:31" ht="21" customHeight="1" thickBot="1" x14ac:dyDescent="0.3">
      <c r="A306" s="445">
        <v>31</v>
      </c>
      <c r="B306" s="220">
        <v>45032</v>
      </c>
      <c r="C306" s="228">
        <v>45032.479166666664</v>
      </c>
      <c r="D306" s="493">
        <v>45032.6875</v>
      </c>
      <c r="E306" s="493">
        <v>45032.729166666664</v>
      </c>
      <c r="F306" s="493">
        <v>45032.770833333336</v>
      </c>
      <c r="G306" s="258">
        <v>45032.770833333336</v>
      </c>
      <c r="H306" s="226" t="s">
        <v>517</v>
      </c>
      <c r="I306" s="223" t="s">
        <v>436</v>
      </c>
      <c r="J306" s="243" t="s">
        <v>204</v>
      </c>
      <c r="K306" s="497">
        <v>0</v>
      </c>
      <c r="L306" s="497">
        <v>2</v>
      </c>
      <c r="M306" s="248" t="s">
        <v>11</v>
      </c>
      <c r="N306" s="52">
        <v>45122.417974537035</v>
      </c>
      <c r="O306" s="53" t="s">
        <v>49</v>
      </c>
      <c r="P306" s="54" t="s">
        <v>603</v>
      </c>
      <c r="R306" s="210">
        <v>1</v>
      </c>
      <c r="S306" s="210">
        <v>2</v>
      </c>
      <c r="T306" s="56">
        <v>0.91409975290298462</v>
      </c>
      <c r="U306" s="57">
        <v>2.0409996509552002</v>
      </c>
      <c r="V306" s="215">
        <v>0.15996468624432689</v>
      </c>
      <c r="W306" s="494">
        <v>0.20511423056736941</v>
      </c>
      <c r="X306" s="494">
        <v>0.62982594966888428</v>
      </c>
      <c r="Y306" s="59">
        <v>0</v>
      </c>
      <c r="Z306" s="60">
        <v>2</v>
      </c>
      <c r="AA306" s="61"/>
      <c r="AB306" s="62"/>
      <c r="AC306" s="39">
        <f t="shared" si="12"/>
        <v>45032.4375</v>
      </c>
      <c r="AD306" s="495">
        <f t="shared" si="13"/>
        <v>45032.395833333328</v>
      </c>
      <c r="AE306" s="40">
        <f t="shared" si="14"/>
        <v>45032.354166666664</v>
      </c>
    </row>
    <row r="307" spans="1:31" ht="21" customHeight="1" thickBot="1" x14ac:dyDescent="0.3">
      <c r="A307" s="445">
        <v>31</v>
      </c>
      <c r="B307" s="220">
        <v>45033</v>
      </c>
      <c r="C307" s="228">
        <v>45033.625</v>
      </c>
      <c r="D307" s="493">
        <v>45033.833333333336</v>
      </c>
      <c r="E307" s="493">
        <v>45033.875</v>
      </c>
      <c r="F307" s="493">
        <v>45033.916666666664</v>
      </c>
      <c r="G307" s="258">
        <v>45033.916666666664</v>
      </c>
      <c r="H307" s="226" t="s">
        <v>221</v>
      </c>
      <c r="I307" s="223" t="s">
        <v>140</v>
      </c>
      <c r="J307" s="243" t="s">
        <v>139</v>
      </c>
      <c r="K307" s="497">
        <v>1</v>
      </c>
      <c r="L307" s="497">
        <v>6</v>
      </c>
      <c r="M307" s="248" t="s">
        <v>9</v>
      </c>
      <c r="N307" s="52">
        <v>45122.417974537035</v>
      </c>
      <c r="O307" s="53" t="s">
        <v>49</v>
      </c>
      <c r="P307" s="54" t="s">
        <v>603</v>
      </c>
      <c r="R307" s="210">
        <v>1</v>
      </c>
      <c r="S307" s="210">
        <v>2</v>
      </c>
      <c r="T307" s="56">
        <v>1.2000997066497803</v>
      </c>
      <c r="U307" s="57">
        <v>2.370999813079834</v>
      </c>
      <c r="V307" s="215">
        <v>0.17941667586609697</v>
      </c>
      <c r="W307" s="494">
        <v>0.18667334871222097</v>
      </c>
      <c r="X307" s="494">
        <v>0.62275058031082153</v>
      </c>
      <c r="Y307" s="59">
        <v>1</v>
      </c>
      <c r="Z307" s="60">
        <v>6</v>
      </c>
      <c r="AA307" s="61"/>
      <c r="AB307" s="62"/>
      <c r="AC307" s="39">
        <f t="shared" si="12"/>
        <v>45033.583333333336</v>
      </c>
      <c r="AD307" s="495">
        <f t="shared" si="13"/>
        <v>45033.541666666664</v>
      </c>
      <c r="AE307" s="40">
        <f t="shared" si="14"/>
        <v>45033.5</v>
      </c>
    </row>
    <row r="308" spans="1:31" ht="21" customHeight="1" thickBot="1" x14ac:dyDescent="0.3">
      <c r="A308" s="444">
        <v>32</v>
      </c>
      <c r="B308" s="219">
        <v>45037</v>
      </c>
      <c r="C308" s="230">
        <v>45037.625</v>
      </c>
      <c r="D308" s="256">
        <v>45037.833333333336</v>
      </c>
      <c r="E308" s="256">
        <v>45037.875</v>
      </c>
      <c r="F308" s="256">
        <v>45037.916666666664</v>
      </c>
      <c r="G308" s="257">
        <v>45037.916666666664</v>
      </c>
      <c r="H308" s="225" t="s">
        <v>170</v>
      </c>
      <c r="I308" s="222" t="s">
        <v>57</v>
      </c>
      <c r="J308" s="242" t="s">
        <v>1</v>
      </c>
      <c r="K308" s="497">
        <v>3</v>
      </c>
      <c r="L308" s="497">
        <v>3</v>
      </c>
      <c r="M308" s="247" t="s">
        <v>13</v>
      </c>
      <c r="N308" s="41">
        <v>45122.417974537035</v>
      </c>
      <c r="O308" s="42" t="s">
        <v>49</v>
      </c>
      <c r="P308" s="43" t="s">
        <v>603</v>
      </c>
      <c r="Q308" s="44"/>
      <c r="R308" s="212">
        <v>2</v>
      </c>
      <c r="S308" s="212">
        <v>0</v>
      </c>
      <c r="T308" s="45">
        <v>1.6429282937731062</v>
      </c>
      <c r="U308" s="46">
        <v>0.68657124042510986</v>
      </c>
      <c r="V308" s="213">
        <v>0.60276842832551136</v>
      </c>
      <c r="W308" s="214">
        <v>0.2422790702031708</v>
      </c>
      <c r="X308" s="214">
        <v>0.15339465439319611</v>
      </c>
      <c r="Y308" s="47">
        <v>3</v>
      </c>
      <c r="Z308" s="48">
        <v>3</v>
      </c>
      <c r="AA308" s="49"/>
      <c r="AB308" s="50"/>
      <c r="AC308" s="75">
        <f t="shared" si="12"/>
        <v>45037.583333333336</v>
      </c>
      <c r="AD308" s="76">
        <f t="shared" si="13"/>
        <v>45037.541666666664</v>
      </c>
      <c r="AE308" s="77">
        <f t="shared" si="14"/>
        <v>45037.5</v>
      </c>
    </row>
    <row r="309" spans="1:31" ht="21" customHeight="1" thickBot="1" x14ac:dyDescent="0.3">
      <c r="A309" s="445">
        <v>32</v>
      </c>
      <c r="B309" s="220">
        <v>45038</v>
      </c>
      <c r="C309" s="228">
        <v>45038.3125</v>
      </c>
      <c r="D309" s="493">
        <v>45038.520833333336</v>
      </c>
      <c r="E309" s="493">
        <v>45038.5625</v>
      </c>
      <c r="F309" s="493">
        <v>45038.604166666664</v>
      </c>
      <c r="G309" s="258">
        <v>45038.604166666664</v>
      </c>
      <c r="H309" s="226" t="s">
        <v>520</v>
      </c>
      <c r="I309" s="223" t="s">
        <v>431</v>
      </c>
      <c r="J309" s="243" t="s">
        <v>126</v>
      </c>
      <c r="K309" s="497">
        <v>2</v>
      </c>
      <c r="L309" s="497">
        <v>1</v>
      </c>
      <c r="M309" s="248" t="s">
        <v>139</v>
      </c>
      <c r="N309" s="52">
        <v>45122.417974537035</v>
      </c>
      <c r="O309" s="53" t="s">
        <v>49</v>
      </c>
      <c r="P309" s="54" t="s">
        <v>603</v>
      </c>
      <c r="R309" s="210">
        <v>2</v>
      </c>
      <c r="S309" s="210">
        <v>1</v>
      </c>
      <c r="T309" s="56">
        <v>1.7390997409820557</v>
      </c>
      <c r="U309" s="57">
        <v>1.0007140636444092</v>
      </c>
      <c r="V309" s="215">
        <v>0.54496663009701296</v>
      </c>
      <c r="W309" s="494">
        <v>0.23643913113386486</v>
      </c>
      <c r="X309" s="494">
        <v>0.21638414263725281</v>
      </c>
      <c r="Y309" s="59">
        <v>2</v>
      </c>
      <c r="Z309" s="60">
        <v>1</v>
      </c>
      <c r="AA309" s="61"/>
      <c r="AB309" s="62"/>
      <c r="AC309" s="39">
        <f t="shared" si="12"/>
        <v>45038.270833333336</v>
      </c>
      <c r="AD309" s="495">
        <f t="shared" si="13"/>
        <v>45038.229166666664</v>
      </c>
      <c r="AE309" s="40">
        <f t="shared" si="14"/>
        <v>45038.1875</v>
      </c>
    </row>
    <row r="310" spans="1:31" ht="21" customHeight="1" thickBot="1" x14ac:dyDescent="0.3">
      <c r="A310" s="445">
        <v>32</v>
      </c>
      <c r="B310" s="220">
        <v>45038</v>
      </c>
      <c r="C310" s="228">
        <v>45038.416666666664</v>
      </c>
      <c r="D310" s="493">
        <v>45038.625</v>
      </c>
      <c r="E310" s="493">
        <v>45038.666666666664</v>
      </c>
      <c r="F310" s="493">
        <v>45038.708333333336</v>
      </c>
      <c r="G310" s="258">
        <v>45038.708333333336</v>
      </c>
      <c r="H310" s="226" t="s">
        <v>177</v>
      </c>
      <c r="I310" s="223" t="s">
        <v>593</v>
      </c>
      <c r="J310" s="243" t="s">
        <v>125</v>
      </c>
      <c r="K310" s="497">
        <v>1</v>
      </c>
      <c r="L310" s="497">
        <v>1</v>
      </c>
      <c r="M310" s="248" t="s">
        <v>2</v>
      </c>
      <c r="N310" s="52">
        <v>45122.417974537035</v>
      </c>
      <c r="O310" s="53" t="s">
        <v>49</v>
      </c>
      <c r="P310" s="54" t="s">
        <v>603</v>
      </c>
      <c r="R310" s="210">
        <v>1</v>
      </c>
      <c r="S310" s="210">
        <v>1</v>
      </c>
      <c r="T310" s="56">
        <v>1.4090996980667114</v>
      </c>
      <c r="U310" s="57">
        <v>1.4009996652603149</v>
      </c>
      <c r="V310" s="215">
        <v>0.37504864212001604</v>
      </c>
      <c r="W310" s="494">
        <v>0.2522787011109407</v>
      </c>
      <c r="X310" s="494">
        <v>0.37140205502510071</v>
      </c>
      <c r="Y310" s="59">
        <v>1</v>
      </c>
      <c r="Z310" s="60">
        <v>1</v>
      </c>
      <c r="AA310" s="61"/>
      <c r="AB310" s="62"/>
      <c r="AC310" s="39">
        <f t="shared" si="12"/>
        <v>45038.375</v>
      </c>
      <c r="AD310" s="495">
        <f t="shared" si="13"/>
        <v>45038.333333333328</v>
      </c>
      <c r="AE310" s="40">
        <f t="shared" si="14"/>
        <v>45038.291666666664</v>
      </c>
    </row>
    <row r="311" spans="1:31" ht="21" customHeight="1" thickBot="1" x14ac:dyDescent="0.3">
      <c r="A311" s="445">
        <v>32</v>
      </c>
      <c r="B311" s="220">
        <v>45038</v>
      </c>
      <c r="C311" s="228">
        <v>45038.416666666664</v>
      </c>
      <c r="D311" s="493">
        <v>45038.625</v>
      </c>
      <c r="E311" s="493">
        <v>45038.666666666664</v>
      </c>
      <c r="F311" s="493">
        <v>45038.708333333336</v>
      </c>
      <c r="G311" s="258">
        <v>45038.708333333336</v>
      </c>
      <c r="H311" s="226" t="s">
        <v>171</v>
      </c>
      <c r="I311" s="223" t="s">
        <v>52</v>
      </c>
      <c r="J311" s="243" t="s">
        <v>6</v>
      </c>
      <c r="K311" s="497">
        <v>0</v>
      </c>
      <c r="L311" s="497">
        <v>0</v>
      </c>
      <c r="M311" s="248" t="s">
        <v>7</v>
      </c>
      <c r="N311" s="52">
        <v>45122.417974537035</v>
      </c>
      <c r="O311" s="53" t="s">
        <v>49</v>
      </c>
      <c r="P311" s="54" t="s">
        <v>603</v>
      </c>
      <c r="R311" s="210">
        <v>2</v>
      </c>
      <c r="S311" s="210">
        <v>1</v>
      </c>
      <c r="T311" s="56">
        <v>1.596099853515625</v>
      </c>
      <c r="U311" s="57">
        <v>0.90099978446960449</v>
      </c>
      <c r="V311" s="215">
        <v>0.53561384364852693</v>
      </c>
      <c r="W311" s="494">
        <v>0.25072349806453176</v>
      </c>
      <c r="X311" s="494">
        <v>0.21230150759220123</v>
      </c>
      <c r="Y311" s="59">
        <v>0</v>
      </c>
      <c r="Z311" s="60">
        <v>0</v>
      </c>
      <c r="AA311" s="61"/>
      <c r="AB311" s="62"/>
      <c r="AC311" s="39">
        <f t="shared" si="12"/>
        <v>45038.375</v>
      </c>
      <c r="AD311" s="495">
        <f t="shared" si="13"/>
        <v>45038.333333333328</v>
      </c>
      <c r="AE311" s="40">
        <f t="shared" si="14"/>
        <v>45038.291666666664</v>
      </c>
    </row>
    <row r="312" spans="1:31" ht="21" customHeight="1" thickBot="1" x14ac:dyDescent="0.3">
      <c r="A312" s="445">
        <v>32</v>
      </c>
      <c r="B312" s="220">
        <v>45038</v>
      </c>
      <c r="C312" s="228">
        <v>45038.416666666664</v>
      </c>
      <c r="D312" s="493">
        <v>45038.625</v>
      </c>
      <c r="E312" s="493">
        <v>45038.666666666664</v>
      </c>
      <c r="F312" s="493">
        <v>45038.708333333336</v>
      </c>
      <c r="G312" s="258">
        <v>45038.708333333336</v>
      </c>
      <c r="H312" s="226" t="s">
        <v>206</v>
      </c>
      <c r="I312" s="223" t="s">
        <v>54</v>
      </c>
      <c r="J312" s="243" t="s">
        <v>8</v>
      </c>
      <c r="K312" s="497">
        <v>2</v>
      </c>
      <c r="L312" s="497">
        <v>1</v>
      </c>
      <c r="M312" s="248" t="s">
        <v>16</v>
      </c>
      <c r="N312" s="52">
        <v>45122.417974537035</v>
      </c>
      <c r="O312" s="53" t="s">
        <v>49</v>
      </c>
      <c r="P312" s="54" t="s">
        <v>603</v>
      </c>
      <c r="R312" s="210">
        <v>1</v>
      </c>
      <c r="S312" s="210">
        <v>1</v>
      </c>
      <c r="T312" s="56">
        <v>1.4310997724533081</v>
      </c>
      <c r="U312" s="57">
        <v>1.1409996747970581</v>
      </c>
      <c r="V312" s="215">
        <v>0.43621388574540132</v>
      </c>
      <c r="W312" s="494">
        <v>0.26224020930320152</v>
      </c>
      <c r="X312" s="494">
        <v>0.30065375566482544</v>
      </c>
      <c r="Y312" s="59">
        <v>2</v>
      </c>
      <c r="Z312" s="60">
        <v>1</v>
      </c>
      <c r="AA312" s="61"/>
      <c r="AB312" s="62"/>
      <c r="AC312" s="39">
        <f t="shared" si="12"/>
        <v>45038.375</v>
      </c>
      <c r="AD312" s="495">
        <f t="shared" si="13"/>
        <v>45038.333333333328</v>
      </c>
      <c r="AE312" s="40">
        <f t="shared" si="14"/>
        <v>45038.291666666664</v>
      </c>
    </row>
    <row r="313" spans="1:31" ht="21" customHeight="1" thickBot="1" x14ac:dyDescent="0.3">
      <c r="A313" s="445">
        <v>32</v>
      </c>
      <c r="B313" s="220">
        <v>45038</v>
      </c>
      <c r="C313" s="228">
        <v>45038.416666666664</v>
      </c>
      <c r="D313" s="493">
        <v>45038.625</v>
      </c>
      <c r="E313" s="493">
        <v>45038.666666666664</v>
      </c>
      <c r="F313" s="493">
        <v>45038.708333333336</v>
      </c>
      <c r="G313" s="258">
        <v>45038.708333333336</v>
      </c>
      <c r="H313" s="226" t="s">
        <v>521</v>
      </c>
      <c r="I313" s="223" t="s">
        <v>48</v>
      </c>
      <c r="J313" s="243" t="s">
        <v>9</v>
      </c>
      <c r="K313" s="497">
        <v>3</v>
      </c>
      <c r="L313" s="497">
        <v>2</v>
      </c>
      <c r="M313" s="248" t="s">
        <v>204</v>
      </c>
      <c r="N313" s="52">
        <v>45122.417974537035</v>
      </c>
      <c r="O313" s="53" t="s">
        <v>49</v>
      </c>
      <c r="P313" s="54" t="s">
        <v>603</v>
      </c>
      <c r="R313" s="210">
        <v>2</v>
      </c>
      <c r="S313" s="210">
        <v>0</v>
      </c>
      <c r="T313" s="56">
        <v>1.8786426952907018</v>
      </c>
      <c r="U313" s="57">
        <v>0.60942834615707397</v>
      </c>
      <c r="V313" s="215">
        <v>0.67490299984293411</v>
      </c>
      <c r="W313" s="494">
        <v>0.2091211002585856</v>
      </c>
      <c r="X313" s="494">
        <v>0.11273010075092316</v>
      </c>
      <c r="Y313" s="59">
        <v>3</v>
      </c>
      <c r="Z313" s="60">
        <v>2</v>
      </c>
      <c r="AA313" s="61"/>
      <c r="AB313" s="62"/>
      <c r="AC313" s="39">
        <f t="shared" si="12"/>
        <v>45038.375</v>
      </c>
      <c r="AD313" s="495">
        <f t="shared" si="13"/>
        <v>45038.333333333328</v>
      </c>
      <c r="AE313" s="40">
        <f t="shared" si="14"/>
        <v>45038.291666666664</v>
      </c>
    </row>
    <row r="314" spans="1:31" ht="21" customHeight="1" thickBot="1" x14ac:dyDescent="0.3">
      <c r="A314" s="445">
        <v>32</v>
      </c>
      <c r="B314" s="220">
        <v>45039</v>
      </c>
      <c r="C314" s="228">
        <v>45039.375</v>
      </c>
      <c r="D314" s="493">
        <v>45039.583333333336</v>
      </c>
      <c r="E314" s="493">
        <v>45039.625</v>
      </c>
      <c r="F314" s="493">
        <v>45039.666666666664</v>
      </c>
      <c r="G314" s="258">
        <v>45039.666666666664</v>
      </c>
      <c r="H314" s="226" t="s">
        <v>519</v>
      </c>
      <c r="I314" s="223" t="s">
        <v>51</v>
      </c>
      <c r="J314" s="243" t="s">
        <v>3</v>
      </c>
      <c r="K314" s="497">
        <v>0</v>
      </c>
      <c r="L314" s="497">
        <v>4</v>
      </c>
      <c r="M314" s="248" t="s">
        <v>15</v>
      </c>
      <c r="N314" s="52">
        <v>45122.417974537035</v>
      </c>
      <c r="O314" s="53" t="s">
        <v>49</v>
      </c>
      <c r="P314" s="54" t="s">
        <v>603</v>
      </c>
      <c r="R314" s="210">
        <v>1</v>
      </c>
      <c r="S314" s="210">
        <v>2</v>
      </c>
      <c r="T314" s="56">
        <v>1.1340998411178589</v>
      </c>
      <c r="U314" s="57">
        <v>1.5909997224807739</v>
      </c>
      <c r="V314" s="215">
        <v>0.27129587063567495</v>
      </c>
      <c r="W314" s="494">
        <v>0.24913264507290342</v>
      </c>
      <c r="X314" s="494">
        <v>0.47809880971908569</v>
      </c>
      <c r="Y314" s="59">
        <v>0</v>
      </c>
      <c r="Z314" s="60">
        <v>4</v>
      </c>
      <c r="AA314" s="61"/>
      <c r="AB314" s="62"/>
      <c r="AC314" s="39">
        <f t="shared" si="12"/>
        <v>45039.333333333336</v>
      </c>
      <c r="AD314" s="495">
        <f t="shared" si="13"/>
        <v>45039.291666666664</v>
      </c>
      <c r="AE314" s="40">
        <f t="shared" si="14"/>
        <v>45039.25</v>
      </c>
    </row>
    <row r="315" spans="1:31" ht="21" customHeight="1" thickBot="1" x14ac:dyDescent="0.3">
      <c r="A315" s="445">
        <v>32</v>
      </c>
      <c r="B315" s="220">
        <v>45039</v>
      </c>
      <c r="C315" s="228">
        <v>45039.375</v>
      </c>
      <c r="D315" s="493">
        <v>45039.583333333336</v>
      </c>
      <c r="E315" s="493">
        <v>45039.625</v>
      </c>
      <c r="F315" s="493">
        <v>45039.666666666664</v>
      </c>
      <c r="G315" s="258">
        <v>45039.666666666664</v>
      </c>
      <c r="H315" s="226" t="s">
        <v>247</v>
      </c>
      <c r="I315" s="223" t="s">
        <v>55</v>
      </c>
      <c r="J315" s="243" t="s">
        <v>12</v>
      </c>
      <c r="K315" s="497">
        <v>6</v>
      </c>
      <c r="L315" s="497">
        <v>1</v>
      </c>
      <c r="M315" s="248" t="s">
        <v>14</v>
      </c>
      <c r="N315" s="52">
        <v>45122.417974537035</v>
      </c>
      <c r="O315" s="53" t="s">
        <v>49</v>
      </c>
      <c r="P315" s="54" t="s">
        <v>603</v>
      </c>
      <c r="R315" s="210">
        <v>2</v>
      </c>
      <c r="S315" s="210">
        <v>1</v>
      </c>
      <c r="T315" s="56">
        <v>1.7500998973846436</v>
      </c>
      <c r="U315" s="57">
        <v>1.3209997415542603</v>
      </c>
      <c r="V315" s="215">
        <v>0.47353361099748981</v>
      </c>
      <c r="W315" s="494">
        <v>0.23397414282291654</v>
      </c>
      <c r="X315" s="494">
        <v>0.28984788060188293</v>
      </c>
      <c r="Y315" s="59">
        <v>6</v>
      </c>
      <c r="Z315" s="60">
        <v>1</v>
      </c>
      <c r="AA315" s="61"/>
      <c r="AB315" s="62"/>
      <c r="AC315" s="39">
        <f t="shared" si="12"/>
        <v>45039.333333333336</v>
      </c>
      <c r="AD315" s="495">
        <f t="shared" si="13"/>
        <v>45039.291666666664</v>
      </c>
      <c r="AE315" s="40">
        <f t="shared" si="14"/>
        <v>45039.25</v>
      </c>
    </row>
    <row r="316" spans="1:31" ht="21" customHeight="1" thickBot="1" x14ac:dyDescent="0.3">
      <c r="A316" s="444">
        <v>33</v>
      </c>
      <c r="B316" s="219">
        <v>45041</v>
      </c>
      <c r="C316" s="230">
        <v>45041.604166666664</v>
      </c>
      <c r="D316" s="256">
        <v>45041.8125</v>
      </c>
      <c r="E316" s="256">
        <v>45041.854166666664</v>
      </c>
      <c r="F316" s="256">
        <v>45041.895833333336</v>
      </c>
      <c r="G316" s="257">
        <v>45041.895833333336</v>
      </c>
      <c r="H316" s="225" t="s">
        <v>363</v>
      </c>
      <c r="I316" s="222" t="s">
        <v>63</v>
      </c>
      <c r="J316" s="242" t="s">
        <v>16</v>
      </c>
      <c r="K316" s="497">
        <v>2</v>
      </c>
      <c r="L316" s="497">
        <v>0</v>
      </c>
      <c r="M316" s="247" t="s">
        <v>6</v>
      </c>
      <c r="N316" s="41">
        <v>45122.417974537035</v>
      </c>
      <c r="O316" s="42" t="s">
        <v>49</v>
      </c>
      <c r="P316" s="43" t="s">
        <v>603</v>
      </c>
      <c r="Q316" s="44"/>
      <c r="R316" s="212">
        <v>1</v>
      </c>
      <c r="S316" s="212">
        <v>1</v>
      </c>
      <c r="T316" s="45">
        <v>0.40118558917726788</v>
      </c>
      <c r="U316" s="46">
        <v>0.51042842864990234</v>
      </c>
      <c r="V316" s="213">
        <v>0.2179540553863889</v>
      </c>
      <c r="W316" s="214">
        <v>0.48847974322256038</v>
      </c>
      <c r="X316" s="214">
        <v>0.29356479644775391</v>
      </c>
      <c r="Y316" s="47">
        <v>2</v>
      </c>
      <c r="Z316" s="48">
        <v>0</v>
      </c>
      <c r="AA316" s="49"/>
      <c r="AB316" s="50"/>
      <c r="AC316" s="75">
        <f t="shared" si="12"/>
        <v>45041.5625</v>
      </c>
      <c r="AD316" s="76">
        <f t="shared" si="13"/>
        <v>45041.520833333328</v>
      </c>
      <c r="AE316" s="77">
        <f t="shared" si="14"/>
        <v>45041.479166666664</v>
      </c>
    </row>
    <row r="317" spans="1:31" ht="21" customHeight="1" thickBot="1" x14ac:dyDescent="0.3">
      <c r="A317" s="445">
        <v>33</v>
      </c>
      <c r="B317" s="220">
        <v>45041</v>
      </c>
      <c r="C317" s="228">
        <v>45041.614583333336</v>
      </c>
      <c r="D317" s="493">
        <v>45041.822916666664</v>
      </c>
      <c r="E317" s="493">
        <v>45041.864583333336</v>
      </c>
      <c r="F317" s="493">
        <v>45041.90625</v>
      </c>
      <c r="G317" s="258">
        <v>45041.90625</v>
      </c>
      <c r="H317" s="226" t="s">
        <v>523</v>
      </c>
      <c r="I317" s="223" t="s">
        <v>58</v>
      </c>
      <c r="J317" s="243" t="s">
        <v>2</v>
      </c>
      <c r="K317" s="497">
        <v>1</v>
      </c>
      <c r="L317" s="497">
        <v>0</v>
      </c>
      <c r="M317" s="248" t="s">
        <v>126</v>
      </c>
      <c r="N317" s="52">
        <v>45122.417974537035</v>
      </c>
      <c r="O317" s="53" t="s">
        <v>49</v>
      </c>
      <c r="P317" s="54" t="s">
        <v>603</v>
      </c>
      <c r="R317" s="210">
        <v>1</v>
      </c>
      <c r="S317" s="210">
        <v>0</v>
      </c>
      <c r="T317" s="56">
        <v>0.72647135598318913</v>
      </c>
      <c r="U317" s="57">
        <v>0.45471417903900146</v>
      </c>
      <c r="V317" s="215">
        <v>0.37785726787371471</v>
      </c>
      <c r="W317" s="494">
        <v>0.41698644481893327</v>
      </c>
      <c r="X317" s="494">
        <v>0.2051444947719574</v>
      </c>
      <c r="Y317" s="59">
        <v>1</v>
      </c>
      <c r="Z317" s="60">
        <v>0</v>
      </c>
      <c r="AA317" s="61"/>
      <c r="AB317" s="62"/>
      <c r="AC317" s="39">
        <f t="shared" si="12"/>
        <v>45041.572916666672</v>
      </c>
      <c r="AD317" s="495">
        <f t="shared" si="13"/>
        <v>45041.53125</v>
      </c>
      <c r="AE317" s="40">
        <f t="shared" si="14"/>
        <v>45041.489583333336</v>
      </c>
    </row>
    <row r="318" spans="1:31" ht="21" customHeight="1" thickBot="1" x14ac:dyDescent="0.3">
      <c r="A318" s="445">
        <v>33</v>
      </c>
      <c r="B318" s="220">
        <v>45041</v>
      </c>
      <c r="C318" s="228">
        <v>45041.625</v>
      </c>
      <c r="D318" s="493">
        <v>45041.833333333336</v>
      </c>
      <c r="E318" s="493">
        <v>45041.875</v>
      </c>
      <c r="F318" s="493">
        <v>45041.916666666664</v>
      </c>
      <c r="G318" s="258">
        <v>45041.916666666664</v>
      </c>
      <c r="H318" s="226" t="s">
        <v>265</v>
      </c>
      <c r="I318" s="223" t="s">
        <v>140</v>
      </c>
      <c r="J318" s="243" t="s">
        <v>139</v>
      </c>
      <c r="K318" s="497">
        <v>1</v>
      </c>
      <c r="L318" s="497">
        <v>1</v>
      </c>
      <c r="M318" s="248" t="s">
        <v>8</v>
      </c>
      <c r="N318" s="52">
        <v>45122.417974537035</v>
      </c>
      <c r="O318" s="53" t="s">
        <v>49</v>
      </c>
      <c r="P318" s="54" t="s">
        <v>603</v>
      </c>
      <c r="R318" s="210">
        <v>1</v>
      </c>
      <c r="S318" s="210">
        <v>1</v>
      </c>
      <c r="T318" s="56">
        <v>0.64632848330906456</v>
      </c>
      <c r="U318" s="57">
        <v>0.69471412897109985</v>
      </c>
      <c r="V318" s="215">
        <v>0.28877426015800556</v>
      </c>
      <c r="W318" s="494">
        <v>0.39288322215157206</v>
      </c>
      <c r="X318" s="494">
        <v>0.31832876801490784</v>
      </c>
      <c r="Y318" s="59">
        <v>1</v>
      </c>
      <c r="Z318" s="60">
        <v>1</v>
      </c>
      <c r="AA318" s="61"/>
      <c r="AB318" s="62"/>
      <c r="AC318" s="39">
        <f t="shared" si="12"/>
        <v>45041.583333333336</v>
      </c>
      <c r="AD318" s="495">
        <f t="shared" si="13"/>
        <v>45041.541666666664</v>
      </c>
      <c r="AE318" s="40">
        <f t="shared" si="14"/>
        <v>45041.5</v>
      </c>
    </row>
    <row r="319" spans="1:31" ht="21" customHeight="1" thickBot="1" x14ac:dyDescent="0.3">
      <c r="A319" s="445">
        <v>33</v>
      </c>
      <c r="B319" s="220">
        <v>45042</v>
      </c>
      <c r="C319" s="228">
        <v>45042.604166666664</v>
      </c>
      <c r="D319" s="493">
        <v>45042.8125</v>
      </c>
      <c r="E319" s="493">
        <v>45042.854166666664</v>
      </c>
      <c r="F319" s="493">
        <v>45042.895833333336</v>
      </c>
      <c r="G319" s="258">
        <v>45042.895833333336</v>
      </c>
      <c r="H319" s="226" t="s">
        <v>522</v>
      </c>
      <c r="I319" s="223" t="s">
        <v>436</v>
      </c>
      <c r="J319" s="243" t="s">
        <v>204</v>
      </c>
      <c r="K319" s="497">
        <v>3</v>
      </c>
      <c r="L319" s="497">
        <v>1</v>
      </c>
      <c r="M319" s="248" t="s">
        <v>4</v>
      </c>
      <c r="N319" s="52">
        <v>45122.417974537035</v>
      </c>
      <c r="O319" s="53" t="s">
        <v>49</v>
      </c>
      <c r="P319" s="54" t="s">
        <v>603</v>
      </c>
      <c r="R319" s="210">
        <v>0</v>
      </c>
      <c r="S319" s="210">
        <v>2</v>
      </c>
      <c r="T319" s="56">
        <v>0.4280569893973214</v>
      </c>
      <c r="U319" s="57">
        <v>2.1609997749328613</v>
      </c>
      <c r="V319" s="215">
        <v>6.0116504497710645E-2</v>
      </c>
      <c r="W319" s="494">
        <v>0.16236576681018641</v>
      </c>
      <c r="X319" s="494">
        <v>0.7707139253616333</v>
      </c>
      <c r="Y319" s="59">
        <v>3</v>
      </c>
      <c r="Z319" s="60">
        <v>1</v>
      </c>
      <c r="AA319" s="61"/>
      <c r="AB319" s="62"/>
      <c r="AC319" s="39">
        <f t="shared" si="12"/>
        <v>45042.5625</v>
      </c>
      <c r="AD319" s="495">
        <f t="shared" si="13"/>
        <v>45042.520833333328</v>
      </c>
      <c r="AE319" s="40">
        <f t="shared" si="14"/>
        <v>45042.479166666664</v>
      </c>
    </row>
    <row r="320" spans="1:31" ht="21" customHeight="1" thickBot="1" x14ac:dyDescent="0.3">
      <c r="A320" s="445">
        <v>33</v>
      </c>
      <c r="B320" s="220">
        <v>45042</v>
      </c>
      <c r="C320" s="228">
        <v>45042.614583333336</v>
      </c>
      <c r="D320" s="493">
        <v>45042.822916666664</v>
      </c>
      <c r="E320" s="493">
        <v>45042.864583333336</v>
      </c>
      <c r="F320" s="493">
        <v>45042.90625</v>
      </c>
      <c r="G320" s="258">
        <v>45042.90625</v>
      </c>
      <c r="H320" s="226" t="s">
        <v>190</v>
      </c>
      <c r="I320" s="223" t="s">
        <v>62</v>
      </c>
      <c r="J320" s="243" t="s">
        <v>5</v>
      </c>
      <c r="K320" s="497">
        <v>0</v>
      </c>
      <c r="L320" s="497">
        <v>2</v>
      </c>
      <c r="M320" s="248" t="s">
        <v>125</v>
      </c>
      <c r="N320" s="52">
        <v>45122.417974537035</v>
      </c>
      <c r="O320" s="53" t="s">
        <v>49</v>
      </c>
      <c r="P320" s="54" t="s">
        <v>603</v>
      </c>
      <c r="R320" s="210">
        <v>2</v>
      </c>
      <c r="S320" s="210">
        <v>0</v>
      </c>
      <c r="T320" s="56">
        <v>1.5080997943878174</v>
      </c>
      <c r="U320" s="57">
        <v>0.68057119846343994</v>
      </c>
      <c r="V320" s="215">
        <v>0.57112526144086451</v>
      </c>
      <c r="W320" s="494">
        <v>0.26019044618235698</v>
      </c>
      <c r="X320" s="494">
        <v>0.16772192716598511</v>
      </c>
      <c r="Y320" s="59">
        <v>0</v>
      </c>
      <c r="Z320" s="60">
        <v>2</v>
      </c>
      <c r="AA320" s="61"/>
      <c r="AB320" s="62"/>
      <c r="AC320" s="39">
        <f t="shared" si="12"/>
        <v>45042.572916666672</v>
      </c>
      <c r="AD320" s="495">
        <f t="shared" si="13"/>
        <v>45042.53125</v>
      </c>
      <c r="AE320" s="40">
        <f t="shared" si="14"/>
        <v>45042.489583333336</v>
      </c>
    </row>
    <row r="321" spans="1:31" ht="21" customHeight="1" thickBot="1" x14ac:dyDescent="0.3">
      <c r="A321" s="445">
        <v>33</v>
      </c>
      <c r="B321" s="220">
        <v>45042</v>
      </c>
      <c r="C321" s="228">
        <v>45042.614583333336</v>
      </c>
      <c r="D321" s="493">
        <v>45042.822916666664</v>
      </c>
      <c r="E321" s="493">
        <v>45042.864583333336</v>
      </c>
      <c r="F321" s="493">
        <v>45042.90625</v>
      </c>
      <c r="G321" s="258">
        <v>45042.90625</v>
      </c>
      <c r="H321" s="226" t="s">
        <v>267</v>
      </c>
      <c r="I321" s="223" t="s">
        <v>50</v>
      </c>
      <c r="J321" s="243" t="s">
        <v>15</v>
      </c>
      <c r="K321" s="497">
        <v>1</v>
      </c>
      <c r="L321" s="497">
        <v>2</v>
      </c>
      <c r="M321" s="248" t="s">
        <v>9</v>
      </c>
      <c r="N321" s="52">
        <v>45122.417974537035</v>
      </c>
      <c r="O321" s="53" t="s">
        <v>49</v>
      </c>
      <c r="P321" s="54" t="s">
        <v>603</v>
      </c>
      <c r="R321" s="210">
        <v>0</v>
      </c>
      <c r="S321" s="210">
        <v>1</v>
      </c>
      <c r="T321" s="56">
        <v>0.52847129958016525</v>
      </c>
      <c r="U321" s="57">
        <v>1.1148570775985718</v>
      </c>
      <c r="V321" s="215">
        <v>0.17436514045436402</v>
      </c>
      <c r="W321" s="494">
        <v>0.32516038428056943</v>
      </c>
      <c r="X321" s="494">
        <v>0.50031167268753052</v>
      </c>
      <c r="Y321" s="59">
        <v>1</v>
      </c>
      <c r="Z321" s="60">
        <v>2</v>
      </c>
      <c r="AA321" s="61"/>
      <c r="AB321" s="62"/>
      <c r="AC321" s="39">
        <f t="shared" si="12"/>
        <v>45042.572916666672</v>
      </c>
      <c r="AD321" s="495">
        <f t="shared" si="13"/>
        <v>45042.53125</v>
      </c>
      <c r="AE321" s="40">
        <f t="shared" si="14"/>
        <v>45042.489583333336</v>
      </c>
    </row>
    <row r="322" spans="1:31" ht="21" customHeight="1" thickBot="1" x14ac:dyDescent="0.3">
      <c r="A322" s="445">
        <v>33</v>
      </c>
      <c r="B322" s="220">
        <v>45042</v>
      </c>
      <c r="C322" s="228">
        <v>45042.625</v>
      </c>
      <c r="D322" s="493">
        <v>45042.833333333336</v>
      </c>
      <c r="E322" s="493">
        <v>45042.875</v>
      </c>
      <c r="F322" s="493">
        <v>45042.916666666664</v>
      </c>
      <c r="G322" s="258">
        <v>45042.916666666664</v>
      </c>
      <c r="H322" s="226" t="s">
        <v>214</v>
      </c>
      <c r="I322" s="223" t="s">
        <v>61</v>
      </c>
      <c r="J322" s="243" t="s">
        <v>10</v>
      </c>
      <c r="K322" s="497">
        <v>4</v>
      </c>
      <c r="L322" s="497">
        <v>1</v>
      </c>
      <c r="M322" s="248" t="s">
        <v>1</v>
      </c>
      <c r="N322" s="52">
        <v>45122.417974537035</v>
      </c>
      <c r="O322" s="53" t="s">
        <v>49</v>
      </c>
      <c r="P322" s="54" t="s">
        <v>603</v>
      </c>
      <c r="R322" s="210">
        <v>2</v>
      </c>
      <c r="S322" s="210">
        <v>1</v>
      </c>
      <c r="T322" s="56">
        <v>2.3880999088287354</v>
      </c>
      <c r="U322" s="57">
        <v>1.0578569173812866</v>
      </c>
      <c r="V322" s="215">
        <v>0.65688867879506152</v>
      </c>
      <c r="W322" s="494">
        <v>0.18002538125656234</v>
      </c>
      <c r="X322" s="494">
        <v>0.15165978670120239</v>
      </c>
      <c r="Y322" s="59">
        <v>4</v>
      </c>
      <c r="Z322" s="60">
        <v>1</v>
      </c>
      <c r="AA322" s="61"/>
      <c r="AB322" s="62"/>
      <c r="AC322" s="39">
        <f t="shared" ref="AC322:AC380" si="15">IF(C322&lt;&gt;"TBC",C322-1/24,"TBC")</f>
        <v>45042.583333333336</v>
      </c>
      <c r="AD322" s="495">
        <f t="shared" ref="AD322:AD380" si="16">IF(C322&lt;&gt;"TBC",C322-1/12,"TBC")</f>
        <v>45042.541666666664</v>
      </c>
      <c r="AE322" s="40">
        <f t="shared" ref="AE322:AE380" si="17">IF(C322&lt;&gt;"TBC",C322-1/8,"TBC")</f>
        <v>45042.5</v>
      </c>
    </row>
    <row r="323" spans="1:31" ht="21" customHeight="1" thickBot="1" x14ac:dyDescent="0.3">
      <c r="A323" s="445">
        <v>33</v>
      </c>
      <c r="B323" s="220">
        <v>45043</v>
      </c>
      <c r="C323" s="228">
        <v>45043.614583333336</v>
      </c>
      <c r="D323" s="493">
        <v>45043.822916666664</v>
      </c>
      <c r="E323" s="493">
        <v>45043.864583333336</v>
      </c>
      <c r="F323" s="493">
        <v>45043.90625</v>
      </c>
      <c r="G323" s="258">
        <v>45043.90625</v>
      </c>
      <c r="H323" s="226" t="s">
        <v>315</v>
      </c>
      <c r="I323" s="223" t="s">
        <v>59</v>
      </c>
      <c r="J323" s="243" t="s">
        <v>7</v>
      </c>
      <c r="K323" s="497">
        <v>1</v>
      </c>
      <c r="L323" s="497">
        <v>4</v>
      </c>
      <c r="M323" s="248" t="s">
        <v>12</v>
      </c>
      <c r="N323" s="52">
        <v>45122.417974537035</v>
      </c>
      <c r="O323" s="53" t="s">
        <v>49</v>
      </c>
      <c r="P323" s="54" t="s">
        <v>603</v>
      </c>
      <c r="R323" s="210">
        <v>0</v>
      </c>
      <c r="S323" s="210">
        <v>1</v>
      </c>
      <c r="T323" s="56">
        <v>0.66078556435448788</v>
      </c>
      <c r="U323" s="57">
        <v>1.0577142238616943</v>
      </c>
      <c r="V323" s="215">
        <v>0.22624376681382341</v>
      </c>
      <c r="W323" s="494">
        <v>0.32835434561872129</v>
      </c>
      <c r="X323" s="494">
        <v>0.44527840614318848</v>
      </c>
      <c r="Y323" s="59">
        <v>1</v>
      </c>
      <c r="Z323" s="60">
        <v>4</v>
      </c>
      <c r="AA323" s="61"/>
      <c r="AB323" s="62"/>
      <c r="AC323" s="39">
        <f t="shared" si="15"/>
        <v>45043.572916666672</v>
      </c>
      <c r="AD323" s="495">
        <f t="shared" si="16"/>
        <v>45043.53125</v>
      </c>
      <c r="AE323" s="40">
        <f t="shared" si="17"/>
        <v>45043.489583333336</v>
      </c>
    </row>
    <row r="324" spans="1:31" ht="21" customHeight="1" thickBot="1" x14ac:dyDescent="0.3">
      <c r="A324" s="445">
        <v>33</v>
      </c>
      <c r="B324" s="220">
        <v>45043</v>
      </c>
      <c r="C324" s="228">
        <v>45043.614583333336</v>
      </c>
      <c r="D324" s="493">
        <v>45043.822916666664</v>
      </c>
      <c r="E324" s="493">
        <v>45043.864583333336</v>
      </c>
      <c r="F324" s="493">
        <v>45043.90625</v>
      </c>
      <c r="G324" s="258">
        <v>45043.90625</v>
      </c>
      <c r="H324" s="226" t="s">
        <v>524</v>
      </c>
      <c r="I324" s="223" t="s">
        <v>60</v>
      </c>
      <c r="J324" s="243" t="s">
        <v>13</v>
      </c>
      <c r="K324" s="497">
        <v>0</v>
      </c>
      <c r="L324" s="497">
        <v>1</v>
      </c>
      <c r="M324" s="248" t="s">
        <v>3</v>
      </c>
      <c r="N324" s="52">
        <v>45122.417974537035</v>
      </c>
      <c r="O324" s="53" t="s">
        <v>49</v>
      </c>
      <c r="P324" s="54" t="s">
        <v>603</v>
      </c>
      <c r="R324" s="210">
        <v>1</v>
      </c>
      <c r="S324" s="210">
        <v>0</v>
      </c>
      <c r="T324" s="56">
        <v>1.1983712400708879</v>
      </c>
      <c r="U324" s="57">
        <v>0.70914274454116821</v>
      </c>
      <c r="V324" s="215">
        <v>0.47677828264932093</v>
      </c>
      <c r="W324" s="494">
        <v>0.30407518195353433</v>
      </c>
      <c r="X324" s="494">
        <v>0.21888779103755951</v>
      </c>
      <c r="Y324" s="59">
        <v>0</v>
      </c>
      <c r="Z324" s="60">
        <v>1</v>
      </c>
      <c r="AA324" s="61"/>
      <c r="AB324" s="62"/>
      <c r="AC324" s="39">
        <f t="shared" si="15"/>
        <v>45043.572916666672</v>
      </c>
      <c r="AD324" s="495">
        <f t="shared" si="16"/>
        <v>45043.53125</v>
      </c>
      <c r="AE324" s="40">
        <f t="shared" si="17"/>
        <v>45043.489583333336</v>
      </c>
    </row>
    <row r="325" spans="1:31" ht="21" customHeight="1" thickBot="1" x14ac:dyDescent="0.3">
      <c r="A325" s="445">
        <v>33</v>
      </c>
      <c r="B325" s="220">
        <v>45043</v>
      </c>
      <c r="C325" s="228">
        <v>45043.635416666664</v>
      </c>
      <c r="D325" s="493">
        <v>45043.84375</v>
      </c>
      <c r="E325" s="493">
        <v>45043.885416666664</v>
      </c>
      <c r="F325" s="493">
        <v>45043.927083333336</v>
      </c>
      <c r="G325" s="258">
        <v>45043.927083333336</v>
      </c>
      <c r="H325" s="226" t="s">
        <v>260</v>
      </c>
      <c r="I325" s="223" t="s">
        <v>53</v>
      </c>
      <c r="J325" s="243" t="s">
        <v>14</v>
      </c>
      <c r="K325" s="497">
        <v>2</v>
      </c>
      <c r="L325" s="497">
        <v>2</v>
      </c>
      <c r="M325" s="248" t="s">
        <v>11</v>
      </c>
      <c r="N325" s="52">
        <v>45122.417974537035</v>
      </c>
      <c r="O325" s="53" t="s">
        <v>49</v>
      </c>
      <c r="P325" s="54" t="s">
        <v>603</v>
      </c>
      <c r="R325" s="210">
        <v>1</v>
      </c>
      <c r="S325" s="210">
        <v>2</v>
      </c>
      <c r="T325" s="56">
        <v>0.94977133614676335</v>
      </c>
      <c r="U325" s="57">
        <v>1.7009996175765991</v>
      </c>
      <c r="V325" s="215">
        <v>0.20956617554104567</v>
      </c>
      <c r="W325" s="494">
        <v>0.23987545440788779</v>
      </c>
      <c r="X325" s="494">
        <v>0.54861670732498169</v>
      </c>
      <c r="Y325" s="59">
        <v>2</v>
      </c>
      <c r="Z325" s="60">
        <v>2</v>
      </c>
      <c r="AA325" s="61"/>
      <c r="AB325" s="62"/>
      <c r="AC325" s="39">
        <f t="shared" si="15"/>
        <v>45043.59375</v>
      </c>
      <c r="AD325" s="495">
        <f t="shared" si="16"/>
        <v>45043.552083333328</v>
      </c>
      <c r="AE325" s="40">
        <f t="shared" si="17"/>
        <v>45043.510416666664</v>
      </c>
    </row>
    <row r="326" spans="1:31" ht="21" customHeight="1" thickBot="1" x14ac:dyDescent="0.3">
      <c r="A326" s="444">
        <v>34</v>
      </c>
      <c r="B326" s="219">
        <v>45045</v>
      </c>
      <c r="C326" s="230">
        <v>45045.3125</v>
      </c>
      <c r="D326" s="256">
        <v>45045.520833333336</v>
      </c>
      <c r="E326" s="256">
        <v>45045.5625</v>
      </c>
      <c r="F326" s="256">
        <v>45045.604166666664</v>
      </c>
      <c r="G326" s="257">
        <v>45045.604166666664</v>
      </c>
      <c r="H326" s="225" t="s">
        <v>320</v>
      </c>
      <c r="I326" s="222" t="s">
        <v>52</v>
      </c>
      <c r="J326" s="242" t="s">
        <v>6</v>
      </c>
      <c r="K326" s="497">
        <v>4</v>
      </c>
      <c r="L326" s="497">
        <v>3</v>
      </c>
      <c r="M326" s="247" t="s">
        <v>15</v>
      </c>
      <c r="N326" s="41">
        <v>45122.417974537035</v>
      </c>
      <c r="O326" s="42" t="s">
        <v>49</v>
      </c>
      <c r="P326" s="43" t="s">
        <v>603</v>
      </c>
      <c r="Q326" s="44"/>
      <c r="R326" s="212">
        <v>1</v>
      </c>
      <c r="S326" s="212">
        <v>0</v>
      </c>
      <c r="T326" s="45">
        <v>0.68577126094273155</v>
      </c>
      <c r="U326" s="46">
        <v>0.47614273428916931</v>
      </c>
      <c r="V326" s="213">
        <v>0.35524867210296318</v>
      </c>
      <c r="W326" s="214">
        <v>0.42370080552711281</v>
      </c>
      <c r="X326" s="214">
        <v>0.22104200720787048</v>
      </c>
      <c r="Y326" s="47">
        <v>4</v>
      </c>
      <c r="Z326" s="48">
        <v>3</v>
      </c>
      <c r="AA326" s="49"/>
      <c r="AB326" s="50"/>
      <c r="AC326" s="75">
        <f t="shared" si="15"/>
        <v>45045.270833333336</v>
      </c>
      <c r="AD326" s="76">
        <f t="shared" si="16"/>
        <v>45045.229166666664</v>
      </c>
      <c r="AE326" s="77">
        <f t="shared" si="17"/>
        <v>45045.1875</v>
      </c>
    </row>
    <row r="327" spans="1:31" ht="21" customHeight="1" thickBot="1" x14ac:dyDescent="0.3">
      <c r="A327" s="445">
        <v>34</v>
      </c>
      <c r="B327" s="220">
        <v>45045</v>
      </c>
      <c r="C327" s="228">
        <v>45045.416666666664</v>
      </c>
      <c r="D327" s="493">
        <v>45045.625</v>
      </c>
      <c r="E327" s="493">
        <v>45045.666666666664</v>
      </c>
      <c r="F327" s="493">
        <v>45045.708333333336</v>
      </c>
      <c r="G327" s="258">
        <v>45045.708333333336</v>
      </c>
      <c r="H327" s="226" t="s">
        <v>526</v>
      </c>
      <c r="I327" s="223" t="s">
        <v>593</v>
      </c>
      <c r="J327" s="243" t="s">
        <v>125</v>
      </c>
      <c r="K327" s="497">
        <v>2</v>
      </c>
      <c r="L327" s="497">
        <v>1</v>
      </c>
      <c r="M327" s="248" t="s">
        <v>204</v>
      </c>
      <c r="N327" s="52">
        <v>45122.417974537035</v>
      </c>
      <c r="O327" s="53" t="s">
        <v>49</v>
      </c>
      <c r="P327" s="54" t="s">
        <v>603</v>
      </c>
      <c r="R327" s="210">
        <v>1</v>
      </c>
      <c r="S327" s="210">
        <v>0</v>
      </c>
      <c r="T327" s="56">
        <v>0.85847129140581402</v>
      </c>
      <c r="U327" s="57">
        <v>0.37757131457328796</v>
      </c>
      <c r="V327" s="215">
        <v>0.45274470884635865</v>
      </c>
      <c r="W327" s="494">
        <v>0.39261443294212311</v>
      </c>
      <c r="X327" s="494">
        <v>0.154608353972435</v>
      </c>
      <c r="Y327" s="59">
        <v>2</v>
      </c>
      <c r="Z327" s="60">
        <v>1</v>
      </c>
      <c r="AA327" s="61"/>
      <c r="AB327" s="62"/>
      <c r="AC327" s="39">
        <f t="shared" si="15"/>
        <v>45045.375</v>
      </c>
      <c r="AD327" s="495">
        <f t="shared" si="16"/>
        <v>45045.333333333328</v>
      </c>
      <c r="AE327" s="40">
        <f t="shared" si="17"/>
        <v>45045.291666666664</v>
      </c>
    </row>
    <row r="328" spans="1:31" ht="21" customHeight="1" thickBot="1" x14ac:dyDescent="0.3">
      <c r="A328" s="445">
        <v>34</v>
      </c>
      <c r="B328" s="220">
        <v>45045</v>
      </c>
      <c r="C328" s="228">
        <v>45045.416666666664</v>
      </c>
      <c r="D328" s="493">
        <v>45045.625</v>
      </c>
      <c r="E328" s="493">
        <v>45045.666666666664</v>
      </c>
      <c r="F328" s="493">
        <v>45045.708333333336</v>
      </c>
      <c r="G328" s="258">
        <v>45045.708333333336</v>
      </c>
      <c r="H328" s="226" t="s">
        <v>296</v>
      </c>
      <c r="I328" s="223" t="s">
        <v>151</v>
      </c>
      <c r="J328" s="243" t="s">
        <v>4</v>
      </c>
      <c r="K328" s="497">
        <v>6</v>
      </c>
      <c r="L328" s="497">
        <v>0</v>
      </c>
      <c r="M328" s="248" t="s">
        <v>16</v>
      </c>
      <c r="N328" s="52">
        <v>45122.417974537035</v>
      </c>
      <c r="O328" s="53" t="s">
        <v>49</v>
      </c>
      <c r="P328" s="54" t="s">
        <v>603</v>
      </c>
      <c r="R328" s="210">
        <v>1</v>
      </c>
      <c r="S328" s="210">
        <v>0</v>
      </c>
      <c r="T328" s="56">
        <v>0.85847139358520508</v>
      </c>
      <c r="U328" s="57">
        <v>0.47485700249671936</v>
      </c>
      <c r="V328" s="215">
        <v>0.42513500512031815</v>
      </c>
      <c r="W328" s="494">
        <v>0.38251468353696727</v>
      </c>
      <c r="X328" s="494">
        <v>0.19231729209423065</v>
      </c>
      <c r="Y328" s="59">
        <v>6</v>
      </c>
      <c r="Z328" s="60">
        <v>0</v>
      </c>
      <c r="AA328" s="61"/>
      <c r="AB328" s="62"/>
      <c r="AC328" s="39">
        <f t="shared" si="15"/>
        <v>45045.375</v>
      </c>
      <c r="AD328" s="495">
        <f t="shared" si="16"/>
        <v>45045.333333333328</v>
      </c>
      <c r="AE328" s="40">
        <f t="shared" si="17"/>
        <v>45045.291666666664</v>
      </c>
    </row>
    <row r="329" spans="1:31" ht="21" customHeight="1" thickBot="1" x14ac:dyDescent="0.3">
      <c r="A329" s="445">
        <v>34</v>
      </c>
      <c r="B329" s="220">
        <v>45046</v>
      </c>
      <c r="C329" s="228">
        <v>45046.375</v>
      </c>
      <c r="D329" s="493">
        <v>45046.583333333336</v>
      </c>
      <c r="E329" s="493">
        <v>45046.625</v>
      </c>
      <c r="F329" s="493">
        <v>45046.666666666664</v>
      </c>
      <c r="G329" s="258">
        <v>45046.666666666664</v>
      </c>
      <c r="H329" s="226" t="s">
        <v>525</v>
      </c>
      <c r="I329" s="223" t="s">
        <v>51</v>
      </c>
      <c r="J329" s="243" t="s">
        <v>3</v>
      </c>
      <c r="K329" s="497">
        <v>4</v>
      </c>
      <c r="L329" s="497">
        <v>1</v>
      </c>
      <c r="M329" s="248" t="s">
        <v>139</v>
      </c>
      <c r="N329" s="52">
        <v>45122.417974537035</v>
      </c>
      <c r="O329" s="53" t="s">
        <v>49</v>
      </c>
      <c r="P329" s="54" t="s">
        <v>603</v>
      </c>
      <c r="R329" s="210">
        <v>0</v>
      </c>
      <c r="S329" s="210">
        <v>1</v>
      </c>
      <c r="T329" s="56">
        <v>0.6840427943638393</v>
      </c>
      <c r="U329" s="57">
        <v>1.1149997711181641</v>
      </c>
      <c r="V329" s="215">
        <v>0.22438300483034318</v>
      </c>
      <c r="W329" s="494">
        <v>0.31785468926481319</v>
      </c>
      <c r="X329" s="494">
        <v>0.45759308338165283</v>
      </c>
      <c r="Y329" s="59">
        <v>4</v>
      </c>
      <c r="Z329" s="60">
        <v>1</v>
      </c>
      <c r="AA329" s="61"/>
      <c r="AB329" s="62"/>
      <c r="AC329" s="39">
        <f t="shared" si="15"/>
        <v>45046.333333333336</v>
      </c>
      <c r="AD329" s="495">
        <f t="shared" si="16"/>
        <v>45046.291666666664</v>
      </c>
      <c r="AE329" s="40">
        <f t="shared" si="17"/>
        <v>45046.25</v>
      </c>
    </row>
    <row r="330" spans="1:31" ht="21" customHeight="1" thickBot="1" x14ac:dyDescent="0.3">
      <c r="A330" s="445">
        <v>34</v>
      </c>
      <c r="B330" s="220">
        <v>45046</v>
      </c>
      <c r="C330" s="228">
        <v>45046.375</v>
      </c>
      <c r="D330" s="493">
        <v>45046.583333333336</v>
      </c>
      <c r="E330" s="493">
        <v>45046.625</v>
      </c>
      <c r="F330" s="493">
        <v>45046.666666666664</v>
      </c>
      <c r="G330" s="258">
        <v>45046.666666666664</v>
      </c>
      <c r="H330" s="226" t="s">
        <v>527</v>
      </c>
      <c r="I330" s="223" t="s">
        <v>431</v>
      </c>
      <c r="J330" s="243" t="s">
        <v>126</v>
      </c>
      <c r="K330" s="497">
        <v>1</v>
      </c>
      <c r="L330" s="497">
        <v>2</v>
      </c>
      <c r="M330" s="248" t="s">
        <v>10</v>
      </c>
      <c r="N330" s="52">
        <v>45122.417974537035</v>
      </c>
      <c r="O330" s="53" t="s">
        <v>49</v>
      </c>
      <c r="P330" s="54" t="s">
        <v>603</v>
      </c>
      <c r="R330" s="210">
        <v>0</v>
      </c>
      <c r="S330" s="210">
        <v>1</v>
      </c>
      <c r="T330" s="56">
        <v>0.59792842183794292</v>
      </c>
      <c r="U330" s="57">
        <v>1.4177141189575195</v>
      </c>
      <c r="V330" s="215">
        <v>0.15664008747805921</v>
      </c>
      <c r="W330" s="494">
        <v>0.27248972044405323</v>
      </c>
      <c r="X330" s="494">
        <v>0.57019764184951782</v>
      </c>
      <c r="Y330" s="59">
        <v>1</v>
      </c>
      <c r="Z330" s="60">
        <v>2</v>
      </c>
      <c r="AA330" s="61"/>
      <c r="AB330" s="62"/>
      <c r="AC330" s="39">
        <f t="shared" si="15"/>
        <v>45046.333333333336</v>
      </c>
      <c r="AD330" s="495">
        <f t="shared" si="16"/>
        <v>45046.291666666664</v>
      </c>
      <c r="AE330" s="40">
        <f t="shared" si="17"/>
        <v>45046.25</v>
      </c>
    </row>
    <row r="331" spans="1:31" ht="21" customHeight="1" thickBot="1" x14ac:dyDescent="0.3">
      <c r="A331" s="445">
        <v>34</v>
      </c>
      <c r="B331" s="220">
        <v>45046</v>
      </c>
      <c r="C331" s="228">
        <v>45046.375</v>
      </c>
      <c r="D331" s="493">
        <v>45046.583333333336</v>
      </c>
      <c r="E331" s="493">
        <v>45046.625</v>
      </c>
      <c r="F331" s="493">
        <v>45046.666666666664</v>
      </c>
      <c r="G331" s="258">
        <v>45046.666666666664</v>
      </c>
      <c r="H331" s="226" t="s">
        <v>235</v>
      </c>
      <c r="I331" s="223" t="s">
        <v>56</v>
      </c>
      <c r="J331" s="243" t="s">
        <v>11</v>
      </c>
      <c r="K331" s="497">
        <v>1</v>
      </c>
      <c r="L331" s="497">
        <v>0</v>
      </c>
      <c r="M331" s="248" t="s">
        <v>2</v>
      </c>
      <c r="N331" s="52">
        <v>45122.417974537035</v>
      </c>
      <c r="O331" s="53" t="s">
        <v>49</v>
      </c>
      <c r="P331" s="54" t="s">
        <v>603</v>
      </c>
      <c r="R331" s="210">
        <v>0</v>
      </c>
      <c r="S331" s="210">
        <v>1</v>
      </c>
      <c r="T331" s="56">
        <v>0.70761414936610623</v>
      </c>
      <c r="U331" s="57">
        <v>0.96499979496002197</v>
      </c>
      <c r="V331" s="215">
        <v>0.25804854379848835</v>
      </c>
      <c r="W331" s="494">
        <v>0.33958425152704103</v>
      </c>
      <c r="X331" s="494">
        <v>0.40229079127311707</v>
      </c>
      <c r="Y331" s="59">
        <v>1</v>
      </c>
      <c r="Z331" s="60">
        <v>0</v>
      </c>
      <c r="AA331" s="61"/>
      <c r="AB331" s="62"/>
      <c r="AC331" s="39">
        <f t="shared" si="15"/>
        <v>45046.333333333336</v>
      </c>
      <c r="AD331" s="495">
        <f t="shared" si="16"/>
        <v>45046.291666666664</v>
      </c>
      <c r="AE331" s="40">
        <f t="shared" si="17"/>
        <v>45046.25</v>
      </c>
    </row>
    <row r="332" spans="1:31" ht="21" customHeight="1" thickBot="1" x14ac:dyDescent="0.3">
      <c r="A332" s="445">
        <v>34</v>
      </c>
      <c r="B332" s="220">
        <v>45046</v>
      </c>
      <c r="C332" s="228">
        <v>45046.375</v>
      </c>
      <c r="D332" s="493">
        <v>45046.583333333336</v>
      </c>
      <c r="E332" s="493">
        <v>45046.625</v>
      </c>
      <c r="F332" s="493">
        <v>45046.666666666664</v>
      </c>
      <c r="G332" s="258">
        <v>45046.666666666664</v>
      </c>
      <c r="H332" s="226" t="s">
        <v>216</v>
      </c>
      <c r="I332" s="223" t="s">
        <v>55</v>
      </c>
      <c r="J332" s="243" t="s">
        <v>12</v>
      </c>
      <c r="K332" s="497">
        <v>3</v>
      </c>
      <c r="L332" s="497">
        <v>1</v>
      </c>
      <c r="M332" s="248" t="s">
        <v>13</v>
      </c>
      <c r="N332" s="52">
        <v>45122.417974537035</v>
      </c>
      <c r="O332" s="53" t="s">
        <v>49</v>
      </c>
      <c r="P332" s="54" t="s">
        <v>603</v>
      </c>
      <c r="R332" s="210">
        <v>1</v>
      </c>
      <c r="S332" s="210">
        <v>0</v>
      </c>
      <c r="T332" s="56">
        <v>0.80189992700304302</v>
      </c>
      <c r="U332" s="57">
        <v>0.31328564882278442</v>
      </c>
      <c r="V332" s="215">
        <v>0.44885915524162484</v>
      </c>
      <c r="W332" s="494">
        <v>0.41553893474149323</v>
      </c>
      <c r="X332" s="494">
        <v>0.13558079302310944</v>
      </c>
      <c r="Y332" s="59">
        <v>3</v>
      </c>
      <c r="Z332" s="60">
        <v>1</v>
      </c>
      <c r="AA332" s="61"/>
      <c r="AB332" s="62"/>
      <c r="AC332" s="39">
        <f t="shared" si="15"/>
        <v>45046.333333333336</v>
      </c>
      <c r="AD332" s="495">
        <f t="shared" si="16"/>
        <v>45046.291666666664</v>
      </c>
      <c r="AE332" s="40">
        <f t="shared" si="17"/>
        <v>45046.25</v>
      </c>
    </row>
    <row r="333" spans="1:31" ht="21" customHeight="1" thickBot="1" x14ac:dyDescent="0.3">
      <c r="A333" s="445">
        <v>34</v>
      </c>
      <c r="B333" s="220">
        <v>45046</v>
      </c>
      <c r="C333" s="228">
        <v>45046.479166666664</v>
      </c>
      <c r="D333" s="493">
        <v>45046.6875</v>
      </c>
      <c r="E333" s="493">
        <v>45046.729166666664</v>
      </c>
      <c r="F333" s="493">
        <v>45046.770833333336</v>
      </c>
      <c r="G333" s="258">
        <v>45046.770833333336</v>
      </c>
      <c r="H333" s="226" t="s">
        <v>409</v>
      </c>
      <c r="I333" s="223" t="s">
        <v>48</v>
      </c>
      <c r="J333" s="243" t="s">
        <v>9</v>
      </c>
      <c r="K333" s="497">
        <v>4</v>
      </c>
      <c r="L333" s="497">
        <v>3</v>
      </c>
      <c r="M333" s="248" t="s">
        <v>14</v>
      </c>
      <c r="N333" s="52">
        <v>45122.417974537035</v>
      </c>
      <c r="O333" s="53" t="s">
        <v>49</v>
      </c>
      <c r="P333" s="54" t="s">
        <v>603</v>
      </c>
      <c r="R333" s="210">
        <v>1</v>
      </c>
      <c r="S333" s="210">
        <v>0</v>
      </c>
      <c r="T333" s="56">
        <v>1.2891999653407504</v>
      </c>
      <c r="U333" s="57">
        <v>0.59614282846450806</v>
      </c>
      <c r="V333" s="215">
        <v>0.53467092187923138</v>
      </c>
      <c r="W333" s="494">
        <v>0.29284588898107511</v>
      </c>
      <c r="X333" s="494">
        <v>0.17209585011005402</v>
      </c>
      <c r="Y333" s="59">
        <v>4</v>
      </c>
      <c r="Z333" s="60">
        <v>3</v>
      </c>
      <c r="AA333" s="61"/>
      <c r="AB333" s="62"/>
      <c r="AC333" s="39">
        <f t="shared" si="15"/>
        <v>45046.4375</v>
      </c>
      <c r="AD333" s="495">
        <f t="shared" si="16"/>
        <v>45046.395833333328</v>
      </c>
      <c r="AE333" s="40">
        <f t="shared" si="17"/>
        <v>45046.354166666664</v>
      </c>
    </row>
    <row r="334" spans="1:31" ht="21" customHeight="1" thickBot="1" x14ac:dyDescent="0.3">
      <c r="A334" s="445">
        <v>34</v>
      </c>
      <c r="B334" s="220">
        <v>45047</v>
      </c>
      <c r="C334" s="228">
        <v>45047.625</v>
      </c>
      <c r="D334" s="493">
        <v>45047.833333333336</v>
      </c>
      <c r="E334" s="493">
        <v>45047.875</v>
      </c>
      <c r="F334" s="493">
        <v>45047.916666666664</v>
      </c>
      <c r="G334" s="258">
        <v>45047.916666666664</v>
      </c>
      <c r="H334" s="226" t="s">
        <v>408</v>
      </c>
      <c r="I334" s="223" t="s">
        <v>54</v>
      </c>
      <c r="J334" s="243" t="s">
        <v>8</v>
      </c>
      <c r="K334" s="497">
        <v>2</v>
      </c>
      <c r="L334" s="497">
        <v>2</v>
      </c>
      <c r="M334" s="248" t="s">
        <v>7</v>
      </c>
      <c r="N334" s="52">
        <v>45122.417974537035</v>
      </c>
      <c r="O334" s="53" t="s">
        <v>49</v>
      </c>
      <c r="P334" s="54" t="s">
        <v>603</v>
      </c>
      <c r="R334" s="210">
        <v>2</v>
      </c>
      <c r="S334" s="210">
        <v>0</v>
      </c>
      <c r="T334" s="56">
        <v>1.47179981640407</v>
      </c>
      <c r="U334" s="57">
        <v>0.68057137727737427</v>
      </c>
      <c r="V334" s="215">
        <v>0.56171367945068129</v>
      </c>
      <c r="W334" s="494">
        <v>0.26521452535291301</v>
      </c>
      <c r="X334" s="494">
        <v>0.17223379015922546</v>
      </c>
      <c r="Y334" s="59">
        <v>2</v>
      </c>
      <c r="Z334" s="60">
        <v>2</v>
      </c>
      <c r="AA334" s="61"/>
      <c r="AB334" s="62"/>
      <c r="AC334" s="39">
        <f t="shared" si="15"/>
        <v>45047.583333333336</v>
      </c>
      <c r="AD334" s="495">
        <f t="shared" si="16"/>
        <v>45047.541666666664</v>
      </c>
      <c r="AE334" s="40">
        <f t="shared" si="17"/>
        <v>45047.5</v>
      </c>
    </row>
    <row r="335" spans="1:31" ht="21" customHeight="1" thickBot="1" x14ac:dyDescent="0.3">
      <c r="A335" s="445">
        <v>34</v>
      </c>
      <c r="B335" s="220">
        <v>45048</v>
      </c>
      <c r="C335" s="228">
        <v>45048.625</v>
      </c>
      <c r="D335" s="493">
        <v>45048.833333333336</v>
      </c>
      <c r="E335" s="493">
        <v>45048.875</v>
      </c>
      <c r="F335" s="493">
        <v>45048.916666666664</v>
      </c>
      <c r="G335" s="258">
        <v>45048.916666666664</v>
      </c>
      <c r="H335" s="226" t="s">
        <v>152</v>
      </c>
      <c r="I335" s="223" t="s">
        <v>57</v>
      </c>
      <c r="J335" s="243" t="s">
        <v>1</v>
      </c>
      <c r="K335" s="497">
        <v>3</v>
      </c>
      <c r="L335" s="497">
        <v>1</v>
      </c>
      <c r="M335" s="248" t="s">
        <v>5</v>
      </c>
      <c r="N335" s="52">
        <v>45122.417974537035</v>
      </c>
      <c r="O335" s="53" t="s">
        <v>49</v>
      </c>
      <c r="P335" s="54" t="s">
        <v>603</v>
      </c>
      <c r="R335" s="210">
        <v>2</v>
      </c>
      <c r="S335" s="210">
        <v>1</v>
      </c>
      <c r="T335" s="56">
        <v>1.5943712506975445</v>
      </c>
      <c r="U335" s="57">
        <v>1.0294283628463745</v>
      </c>
      <c r="V335" s="215">
        <v>0.50360907340134364</v>
      </c>
      <c r="W335" s="494">
        <v>0.25029198128607366</v>
      </c>
      <c r="X335" s="494">
        <v>0.24469016492366791</v>
      </c>
      <c r="Y335" s="59">
        <v>3</v>
      </c>
      <c r="Z335" s="60">
        <v>1</v>
      </c>
      <c r="AA335" s="61"/>
      <c r="AB335" s="62"/>
      <c r="AC335" s="39">
        <f t="shared" si="15"/>
        <v>45048.583333333336</v>
      </c>
      <c r="AD335" s="495">
        <f t="shared" si="16"/>
        <v>45048.541666666664</v>
      </c>
      <c r="AE335" s="40">
        <f t="shared" si="17"/>
        <v>45048.5</v>
      </c>
    </row>
    <row r="336" spans="1:31" ht="21" customHeight="1" thickBot="1" x14ac:dyDescent="0.3">
      <c r="A336" s="444">
        <v>28</v>
      </c>
      <c r="B336" s="219">
        <v>45049</v>
      </c>
      <c r="C336" s="230">
        <v>45049.625</v>
      </c>
      <c r="D336" s="256">
        <v>45049.833333333336</v>
      </c>
      <c r="E336" s="256">
        <v>45049.875</v>
      </c>
      <c r="F336" s="256">
        <v>45049.916666666664</v>
      </c>
      <c r="G336" s="257">
        <v>45049.916666666664</v>
      </c>
      <c r="H336" s="225" t="s">
        <v>509</v>
      </c>
      <c r="I336" s="222" t="s">
        <v>48</v>
      </c>
      <c r="J336" s="242" t="s">
        <v>9</v>
      </c>
      <c r="K336" s="497">
        <v>1</v>
      </c>
      <c r="L336" s="497">
        <v>0</v>
      </c>
      <c r="M336" s="247" t="s">
        <v>126</v>
      </c>
      <c r="N336" s="41">
        <v>45122.417974537035</v>
      </c>
      <c r="O336" s="42" t="s">
        <v>49</v>
      </c>
      <c r="P336" s="43" t="s">
        <v>603</v>
      </c>
      <c r="Q336" s="44"/>
      <c r="R336" s="212">
        <v>1</v>
      </c>
      <c r="S336" s="212">
        <v>0</v>
      </c>
      <c r="T336" s="45">
        <v>1.018757036754063</v>
      </c>
      <c r="U336" s="46">
        <v>0.45471417903900146</v>
      </c>
      <c r="V336" s="213">
        <v>0.48935384731859988</v>
      </c>
      <c r="W336" s="214">
        <v>0.34821490257246518</v>
      </c>
      <c r="X336" s="214">
        <v>0.16233745217323303</v>
      </c>
      <c r="Y336" s="47">
        <v>1</v>
      </c>
      <c r="Z336" s="48">
        <v>0</v>
      </c>
      <c r="AA336" s="49"/>
      <c r="AB336" s="50"/>
      <c r="AC336" s="75">
        <f t="shared" si="15"/>
        <v>45049.583333333336</v>
      </c>
      <c r="AD336" s="76">
        <f t="shared" si="16"/>
        <v>45049.541666666664</v>
      </c>
      <c r="AE336" s="77">
        <f t="shared" si="17"/>
        <v>45049.5</v>
      </c>
    </row>
    <row r="337" spans="1:31" ht="21" customHeight="1" thickBot="1" x14ac:dyDescent="0.3">
      <c r="A337" s="445">
        <v>28</v>
      </c>
      <c r="B337" s="220">
        <v>45049</v>
      </c>
      <c r="C337" s="228">
        <v>45049.625</v>
      </c>
      <c r="D337" s="493">
        <v>45049.833333333336</v>
      </c>
      <c r="E337" s="493">
        <v>45049.875</v>
      </c>
      <c r="F337" s="493">
        <v>45049.916666666664</v>
      </c>
      <c r="G337" s="258">
        <v>45049.916666666664</v>
      </c>
      <c r="H337" s="226" t="s">
        <v>277</v>
      </c>
      <c r="I337" s="223" t="s">
        <v>61</v>
      </c>
      <c r="J337" s="243" t="s">
        <v>10</v>
      </c>
      <c r="K337" s="497">
        <v>3</v>
      </c>
      <c r="L337" s="497">
        <v>0</v>
      </c>
      <c r="M337" s="248" t="s">
        <v>15</v>
      </c>
      <c r="N337" s="52">
        <v>45122.417974537035</v>
      </c>
      <c r="O337" s="53" t="s">
        <v>49</v>
      </c>
      <c r="P337" s="54" t="s">
        <v>603</v>
      </c>
      <c r="R337" s="210">
        <v>1</v>
      </c>
      <c r="S337" s="210">
        <v>0</v>
      </c>
      <c r="T337" s="56">
        <v>1.0706143038613456</v>
      </c>
      <c r="U337" s="57">
        <v>0.46914270520210266</v>
      </c>
      <c r="V337" s="215">
        <v>0.50285562145775464</v>
      </c>
      <c r="W337" s="494">
        <v>0.33643977156539001</v>
      </c>
      <c r="X337" s="494">
        <v>0.16057765483856201</v>
      </c>
      <c r="Y337" s="59">
        <v>3</v>
      </c>
      <c r="Z337" s="60">
        <v>0</v>
      </c>
      <c r="AA337" s="61"/>
      <c r="AB337" s="62"/>
      <c r="AC337" s="39">
        <f t="shared" si="15"/>
        <v>45049.583333333336</v>
      </c>
      <c r="AD337" s="495">
        <f t="shared" si="16"/>
        <v>45049.541666666664</v>
      </c>
      <c r="AE337" s="40">
        <f t="shared" si="17"/>
        <v>45049.5</v>
      </c>
    </row>
    <row r="338" spans="1:31" ht="21" customHeight="1" thickBot="1" x14ac:dyDescent="0.3">
      <c r="A338" s="445">
        <v>28</v>
      </c>
      <c r="B338" s="220">
        <v>45050</v>
      </c>
      <c r="C338" s="228">
        <v>45050.625</v>
      </c>
      <c r="D338" s="493">
        <v>45050.833333333336</v>
      </c>
      <c r="E338" s="493">
        <v>45050.875</v>
      </c>
      <c r="F338" s="493">
        <v>45050.916666666664</v>
      </c>
      <c r="G338" s="258">
        <v>45050.916666666664</v>
      </c>
      <c r="H338" s="226" t="s">
        <v>406</v>
      </c>
      <c r="I338" s="223" t="s">
        <v>151</v>
      </c>
      <c r="J338" s="243" t="s">
        <v>4</v>
      </c>
      <c r="K338" s="497">
        <v>1</v>
      </c>
      <c r="L338" s="497">
        <v>0</v>
      </c>
      <c r="M338" s="248" t="s">
        <v>11</v>
      </c>
      <c r="N338" s="52">
        <v>45122.417974537035</v>
      </c>
      <c r="O338" s="53" t="s">
        <v>49</v>
      </c>
      <c r="P338" s="54" t="s">
        <v>603</v>
      </c>
      <c r="R338" s="210">
        <v>1</v>
      </c>
      <c r="S338" s="210">
        <v>1</v>
      </c>
      <c r="T338" s="56">
        <v>1.3679284708840507</v>
      </c>
      <c r="U338" s="57">
        <v>0.84057134389877319</v>
      </c>
      <c r="V338" s="215">
        <v>0.49152425036847935</v>
      </c>
      <c r="W338" s="494">
        <v>0.27749604064818334</v>
      </c>
      <c r="X338" s="494">
        <v>0.23040753602981567</v>
      </c>
      <c r="Y338" s="59">
        <v>1</v>
      </c>
      <c r="Z338" s="60">
        <v>0</v>
      </c>
      <c r="AA338" s="61"/>
      <c r="AB338" s="62"/>
      <c r="AC338" s="39">
        <f t="shared" si="15"/>
        <v>45050.583333333336</v>
      </c>
      <c r="AD338" s="495">
        <f t="shared" si="16"/>
        <v>45050.541666666664</v>
      </c>
      <c r="AE338" s="40">
        <f t="shared" si="17"/>
        <v>45050.5</v>
      </c>
    </row>
    <row r="339" spans="1:31" ht="21" customHeight="1" thickBot="1" x14ac:dyDescent="0.3">
      <c r="A339" s="444">
        <v>35</v>
      </c>
      <c r="B339" s="219">
        <v>45052</v>
      </c>
      <c r="C339" s="230">
        <v>45052.416666666664</v>
      </c>
      <c r="D339" s="256">
        <v>45052.625</v>
      </c>
      <c r="E339" s="256">
        <v>45052.666666666664</v>
      </c>
      <c r="F339" s="256">
        <v>45052.708333333336</v>
      </c>
      <c r="G339" s="257">
        <v>45052.708333333336</v>
      </c>
      <c r="H339" s="225" t="s">
        <v>528</v>
      </c>
      <c r="I339" s="222" t="s">
        <v>51</v>
      </c>
      <c r="J339" s="242" t="s">
        <v>3</v>
      </c>
      <c r="K339" s="497">
        <v>1</v>
      </c>
      <c r="L339" s="497">
        <v>3</v>
      </c>
      <c r="M339" s="247" t="s">
        <v>5</v>
      </c>
      <c r="N339" s="41">
        <v>45122.417974537035</v>
      </c>
      <c r="O339" s="42" t="s">
        <v>49</v>
      </c>
      <c r="P339" s="43" t="s">
        <v>603</v>
      </c>
      <c r="Q339" s="44"/>
      <c r="R339" s="212">
        <v>1</v>
      </c>
      <c r="S339" s="212">
        <v>1</v>
      </c>
      <c r="T339" s="45">
        <v>0.79294267722538536</v>
      </c>
      <c r="U339" s="46">
        <v>0.9548569917678833</v>
      </c>
      <c r="V339" s="213">
        <v>0.28868089915368372</v>
      </c>
      <c r="W339" s="214">
        <v>0.33318094730493469</v>
      </c>
      <c r="X339" s="214">
        <v>0.37805593013763428</v>
      </c>
      <c r="Y339" s="47">
        <v>1</v>
      </c>
      <c r="Z339" s="48">
        <v>3</v>
      </c>
      <c r="AA339" s="49"/>
      <c r="AB339" s="50"/>
      <c r="AC339" s="75">
        <f t="shared" si="15"/>
        <v>45052.375</v>
      </c>
      <c r="AD339" s="76">
        <f t="shared" si="16"/>
        <v>45052.333333333328</v>
      </c>
      <c r="AE339" s="77">
        <f t="shared" si="17"/>
        <v>45052.291666666664</v>
      </c>
    </row>
    <row r="340" spans="1:31" ht="21" customHeight="1" thickBot="1" x14ac:dyDescent="0.3">
      <c r="A340" s="445">
        <v>35</v>
      </c>
      <c r="B340" s="220">
        <v>45052</v>
      </c>
      <c r="C340" s="228">
        <v>45052.416666666664</v>
      </c>
      <c r="D340" s="493">
        <v>45052.625</v>
      </c>
      <c r="E340" s="493">
        <v>45052.666666666664</v>
      </c>
      <c r="F340" s="493">
        <v>45052.708333333336</v>
      </c>
      <c r="G340" s="258">
        <v>45052.708333333336</v>
      </c>
      <c r="H340" s="226" t="s">
        <v>299</v>
      </c>
      <c r="I340" s="223" t="s">
        <v>61</v>
      </c>
      <c r="J340" s="243" t="s">
        <v>10</v>
      </c>
      <c r="K340" s="497">
        <v>2</v>
      </c>
      <c r="L340" s="497">
        <v>1</v>
      </c>
      <c r="M340" s="248" t="s">
        <v>139</v>
      </c>
      <c r="N340" s="52">
        <v>45122.417974537035</v>
      </c>
      <c r="O340" s="53" t="s">
        <v>49</v>
      </c>
      <c r="P340" s="54" t="s">
        <v>603</v>
      </c>
      <c r="R340" s="210">
        <v>1</v>
      </c>
      <c r="S340" s="210">
        <v>0</v>
      </c>
      <c r="T340" s="56">
        <v>1.2686141559055872</v>
      </c>
      <c r="U340" s="57">
        <v>0.67799979448318481</v>
      </c>
      <c r="V340" s="215">
        <v>0.50605771609441397</v>
      </c>
      <c r="W340" s="494">
        <v>0.29461130737700308</v>
      </c>
      <c r="X340" s="494">
        <v>0.19897432625293732</v>
      </c>
      <c r="Y340" s="59">
        <v>2</v>
      </c>
      <c r="Z340" s="60">
        <v>1</v>
      </c>
      <c r="AA340" s="61"/>
      <c r="AB340" s="62"/>
      <c r="AC340" s="39">
        <f t="shared" si="15"/>
        <v>45052.375</v>
      </c>
      <c r="AD340" s="495">
        <f t="shared" si="16"/>
        <v>45052.333333333328</v>
      </c>
      <c r="AE340" s="40">
        <f t="shared" si="17"/>
        <v>45052.291666666664</v>
      </c>
    </row>
    <row r="341" spans="1:31" ht="21" customHeight="1" thickBot="1" x14ac:dyDescent="0.3">
      <c r="A341" s="445">
        <v>35</v>
      </c>
      <c r="B341" s="220">
        <v>45052</v>
      </c>
      <c r="C341" s="228">
        <v>45052.416666666664</v>
      </c>
      <c r="D341" s="493">
        <v>45052.625</v>
      </c>
      <c r="E341" s="493">
        <v>45052.666666666664</v>
      </c>
      <c r="F341" s="493">
        <v>45052.708333333336</v>
      </c>
      <c r="G341" s="258">
        <v>45052.708333333336</v>
      </c>
      <c r="H341" s="226" t="s">
        <v>310</v>
      </c>
      <c r="I341" s="223" t="s">
        <v>53</v>
      </c>
      <c r="J341" s="243" t="s">
        <v>14</v>
      </c>
      <c r="K341" s="497">
        <v>1</v>
      </c>
      <c r="L341" s="497">
        <v>0</v>
      </c>
      <c r="M341" s="248" t="s">
        <v>6</v>
      </c>
      <c r="N341" s="52">
        <v>45122.417974537035</v>
      </c>
      <c r="O341" s="53" t="s">
        <v>49</v>
      </c>
      <c r="P341" s="54" t="s">
        <v>603</v>
      </c>
      <c r="R341" s="210">
        <v>1</v>
      </c>
      <c r="S341" s="210">
        <v>1</v>
      </c>
      <c r="T341" s="56">
        <v>1.3020855699266705</v>
      </c>
      <c r="U341" s="57">
        <v>1.1909996271133423</v>
      </c>
      <c r="V341" s="215">
        <v>0.39109619048276995</v>
      </c>
      <c r="W341" s="494">
        <v>0.26997498086119764</v>
      </c>
      <c r="X341" s="494">
        <v>0.33828145265579224</v>
      </c>
      <c r="Y341" s="59">
        <v>1</v>
      </c>
      <c r="Z341" s="60">
        <v>0</v>
      </c>
      <c r="AA341" s="61"/>
      <c r="AB341" s="62"/>
      <c r="AC341" s="39">
        <f t="shared" si="15"/>
        <v>45052.375</v>
      </c>
      <c r="AD341" s="495">
        <f t="shared" si="16"/>
        <v>45052.333333333328</v>
      </c>
      <c r="AE341" s="40">
        <f t="shared" si="17"/>
        <v>45052.291666666664</v>
      </c>
    </row>
    <row r="342" spans="1:31" ht="21" customHeight="1" thickBot="1" x14ac:dyDescent="0.3">
      <c r="A342" s="445">
        <v>35</v>
      </c>
      <c r="B342" s="220">
        <v>45052</v>
      </c>
      <c r="C342" s="228">
        <v>45052.416666666664</v>
      </c>
      <c r="D342" s="493">
        <v>45052.625</v>
      </c>
      <c r="E342" s="493">
        <v>45052.666666666664</v>
      </c>
      <c r="F342" s="493">
        <v>45052.708333333336</v>
      </c>
      <c r="G342" s="258">
        <v>45052.708333333336</v>
      </c>
      <c r="H342" s="226" t="s">
        <v>381</v>
      </c>
      <c r="I342" s="223" t="s">
        <v>63</v>
      </c>
      <c r="J342" s="243" t="s">
        <v>16</v>
      </c>
      <c r="K342" s="497">
        <v>1</v>
      </c>
      <c r="L342" s="497">
        <v>0</v>
      </c>
      <c r="M342" s="248" t="s">
        <v>2</v>
      </c>
      <c r="N342" s="52">
        <v>45122.417974537035</v>
      </c>
      <c r="O342" s="53" t="s">
        <v>49</v>
      </c>
      <c r="P342" s="54" t="s">
        <v>603</v>
      </c>
      <c r="R342" s="210">
        <v>1</v>
      </c>
      <c r="S342" s="210">
        <v>1</v>
      </c>
      <c r="T342" s="56">
        <v>0.94709968566894531</v>
      </c>
      <c r="U342" s="57">
        <v>1.2265710830688477</v>
      </c>
      <c r="V342" s="215">
        <v>0.28468754126842966</v>
      </c>
      <c r="W342" s="494">
        <v>0.28962244858502145</v>
      </c>
      <c r="X342" s="494">
        <v>0.425344318151474</v>
      </c>
      <c r="Y342" s="59">
        <v>1</v>
      </c>
      <c r="Z342" s="60">
        <v>0</v>
      </c>
      <c r="AA342" s="61"/>
      <c r="AB342" s="62"/>
      <c r="AC342" s="39">
        <f t="shared" si="15"/>
        <v>45052.375</v>
      </c>
      <c r="AD342" s="495">
        <f t="shared" si="16"/>
        <v>45052.333333333328</v>
      </c>
      <c r="AE342" s="40">
        <f t="shared" si="17"/>
        <v>45052.291666666664</v>
      </c>
    </row>
    <row r="343" spans="1:31" ht="21" customHeight="1" thickBot="1" x14ac:dyDescent="0.3">
      <c r="A343" s="445">
        <v>35</v>
      </c>
      <c r="B343" s="220">
        <v>45052</v>
      </c>
      <c r="C343" s="228">
        <v>45052.520833333336</v>
      </c>
      <c r="D343" s="493">
        <v>45052.729166666664</v>
      </c>
      <c r="E343" s="493">
        <v>45052.770833333336</v>
      </c>
      <c r="F343" s="493">
        <v>45052.8125</v>
      </c>
      <c r="G343" s="258">
        <v>45052.8125</v>
      </c>
      <c r="H343" s="226" t="s">
        <v>179</v>
      </c>
      <c r="I343" s="223" t="s">
        <v>48</v>
      </c>
      <c r="J343" s="243" t="s">
        <v>9</v>
      </c>
      <c r="K343" s="497">
        <v>1</v>
      </c>
      <c r="L343" s="497">
        <v>0</v>
      </c>
      <c r="M343" s="248" t="s">
        <v>125</v>
      </c>
      <c r="N343" s="52">
        <v>45122.417974537035</v>
      </c>
      <c r="O343" s="53" t="s">
        <v>49</v>
      </c>
      <c r="P343" s="54" t="s">
        <v>603</v>
      </c>
      <c r="R343" s="210">
        <v>1</v>
      </c>
      <c r="S343" s="210">
        <v>1</v>
      </c>
      <c r="T343" s="56">
        <v>0.95275712013244629</v>
      </c>
      <c r="U343" s="57">
        <v>1.2809996604919434</v>
      </c>
      <c r="V343" s="215">
        <v>0.27645402878898001</v>
      </c>
      <c r="W343" s="494">
        <v>0.28360567272381865</v>
      </c>
      <c r="X343" s="494">
        <v>0.43950849771499634</v>
      </c>
      <c r="Y343" s="59">
        <v>1</v>
      </c>
      <c r="Z343" s="60">
        <v>0</v>
      </c>
      <c r="AA343" s="61"/>
      <c r="AB343" s="62"/>
      <c r="AC343" s="39">
        <f t="shared" si="15"/>
        <v>45052.479166666672</v>
      </c>
      <c r="AD343" s="495">
        <f t="shared" si="16"/>
        <v>45052.4375</v>
      </c>
      <c r="AE343" s="40">
        <f t="shared" si="17"/>
        <v>45052.395833333336</v>
      </c>
    </row>
    <row r="344" spans="1:31" ht="21" customHeight="1" thickBot="1" x14ac:dyDescent="0.3">
      <c r="A344" s="445">
        <v>35</v>
      </c>
      <c r="B344" s="220">
        <v>45053</v>
      </c>
      <c r="C344" s="228">
        <v>45053.479166666664</v>
      </c>
      <c r="D344" s="493">
        <v>45053.6875</v>
      </c>
      <c r="E344" s="493">
        <v>45053.729166666664</v>
      </c>
      <c r="F344" s="493">
        <v>45053.770833333336</v>
      </c>
      <c r="G344" s="258">
        <v>45053.770833333336</v>
      </c>
      <c r="H344" s="226" t="s">
        <v>413</v>
      </c>
      <c r="I344" s="223" t="s">
        <v>55</v>
      </c>
      <c r="J344" s="243" t="s">
        <v>12</v>
      </c>
      <c r="K344" s="497">
        <v>0</v>
      </c>
      <c r="L344" s="497">
        <v>2</v>
      </c>
      <c r="M344" s="248" t="s">
        <v>1</v>
      </c>
      <c r="N344" s="52">
        <v>45122.417974537035</v>
      </c>
      <c r="O344" s="53" t="s">
        <v>49</v>
      </c>
      <c r="P344" s="54" t="s">
        <v>603</v>
      </c>
      <c r="R344" s="210">
        <v>2</v>
      </c>
      <c r="S344" s="210">
        <v>1</v>
      </c>
      <c r="T344" s="56">
        <v>1.5300999879837036</v>
      </c>
      <c r="U344" s="57">
        <v>1.2221425771713257</v>
      </c>
      <c r="V344" s="215">
        <v>0.44312260965013678</v>
      </c>
      <c r="W344" s="494">
        <v>0.25187098032392602</v>
      </c>
      <c r="X344" s="494">
        <v>0.30368950963020325</v>
      </c>
      <c r="Y344" s="59">
        <v>0</v>
      </c>
      <c r="Z344" s="60">
        <v>2</v>
      </c>
      <c r="AA344" s="61"/>
      <c r="AB344" s="62"/>
      <c r="AC344" s="39">
        <f t="shared" si="15"/>
        <v>45053.4375</v>
      </c>
      <c r="AD344" s="495">
        <f t="shared" si="16"/>
        <v>45053.395833333328</v>
      </c>
      <c r="AE344" s="40">
        <f t="shared" si="17"/>
        <v>45053.354166666664</v>
      </c>
    </row>
    <row r="345" spans="1:31" ht="21" customHeight="1" thickBot="1" x14ac:dyDescent="0.3">
      <c r="A345" s="445">
        <v>35</v>
      </c>
      <c r="B345" s="220">
        <v>45053</v>
      </c>
      <c r="C345" s="228">
        <v>45053.583333333336</v>
      </c>
      <c r="D345" s="493">
        <v>45053.791666666664</v>
      </c>
      <c r="E345" s="493">
        <v>45053.833333333336</v>
      </c>
      <c r="F345" s="493">
        <v>45053.875</v>
      </c>
      <c r="G345" s="258">
        <v>45053.875</v>
      </c>
      <c r="H345" s="226" t="s">
        <v>229</v>
      </c>
      <c r="I345" s="223" t="s">
        <v>50</v>
      </c>
      <c r="J345" s="243" t="s">
        <v>15</v>
      </c>
      <c r="K345" s="497">
        <v>1</v>
      </c>
      <c r="L345" s="497">
        <v>0</v>
      </c>
      <c r="M345" s="248" t="s">
        <v>11</v>
      </c>
      <c r="N345" s="52">
        <v>45122.417974537035</v>
      </c>
      <c r="O345" s="53" t="s">
        <v>49</v>
      </c>
      <c r="P345" s="54" t="s">
        <v>603</v>
      </c>
      <c r="R345" s="210">
        <v>1</v>
      </c>
      <c r="S345" s="210">
        <v>1</v>
      </c>
      <c r="T345" s="56">
        <v>0.78005695343017578</v>
      </c>
      <c r="U345" s="57">
        <v>0.68614274263381958</v>
      </c>
      <c r="V345" s="215">
        <v>0.34180261802348005</v>
      </c>
      <c r="W345" s="494">
        <v>0.37187869983021532</v>
      </c>
      <c r="X345" s="494">
        <v>0.2862931489944458</v>
      </c>
      <c r="Y345" s="59">
        <v>1</v>
      </c>
      <c r="Z345" s="60">
        <v>0</v>
      </c>
      <c r="AA345" s="61"/>
      <c r="AB345" s="62"/>
      <c r="AC345" s="39">
        <f t="shared" si="15"/>
        <v>45053.541666666672</v>
      </c>
      <c r="AD345" s="495">
        <f t="shared" si="16"/>
        <v>45053.5</v>
      </c>
      <c r="AE345" s="40">
        <f t="shared" si="17"/>
        <v>45053.458333333336</v>
      </c>
    </row>
    <row r="346" spans="1:31" ht="21" customHeight="1" thickBot="1" x14ac:dyDescent="0.3">
      <c r="A346" s="445">
        <v>35</v>
      </c>
      <c r="B346" s="220">
        <v>45054</v>
      </c>
      <c r="C346" s="228">
        <v>45054.416666666664</v>
      </c>
      <c r="D346" s="493">
        <v>45054.625</v>
      </c>
      <c r="E346" s="493">
        <v>45054.666666666664</v>
      </c>
      <c r="F346" s="493">
        <v>45054.708333333336</v>
      </c>
      <c r="G346" s="258">
        <v>45054.708333333336</v>
      </c>
      <c r="H346" s="226" t="s">
        <v>529</v>
      </c>
      <c r="I346" s="223" t="s">
        <v>431</v>
      </c>
      <c r="J346" s="243" t="s">
        <v>126</v>
      </c>
      <c r="K346" s="497">
        <v>5</v>
      </c>
      <c r="L346" s="497">
        <v>3</v>
      </c>
      <c r="M346" s="248" t="s">
        <v>8</v>
      </c>
      <c r="N346" s="52">
        <v>45122.417974537035</v>
      </c>
      <c r="O346" s="53" t="s">
        <v>49</v>
      </c>
      <c r="P346" s="54" t="s">
        <v>603</v>
      </c>
      <c r="R346" s="210">
        <v>1</v>
      </c>
      <c r="S346" s="210">
        <v>1</v>
      </c>
      <c r="T346" s="56">
        <v>1.05364271572658</v>
      </c>
      <c r="U346" s="57">
        <v>1.4109996557235718</v>
      </c>
      <c r="V346" s="215">
        <v>0.28118208489763108</v>
      </c>
      <c r="W346" s="494">
        <v>0.26698359007827926</v>
      </c>
      <c r="X346" s="494">
        <v>0.45106860995292664</v>
      </c>
      <c r="Y346" s="59">
        <v>5</v>
      </c>
      <c r="Z346" s="60">
        <v>3</v>
      </c>
      <c r="AA346" s="61"/>
      <c r="AB346" s="62"/>
      <c r="AC346" s="39">
        <f t="shared" si="15"/>
        <v>45054.375</v>
      </c>
      <c r="AD346" s="495">
        <f t="shared" si="16"/>
        <v>45054.333333333328</v>
      </c>
      <c r="AE346" s="40">
        <f t="shared" si="17"/>
        <v>45054.291666666664</v>
      </c>
    </row>
    <row r="347" spans="1:31" ht="21" customHeight="1" thickBot="1" x14ac:dyDescent="0.3">
      <c r="A347" s="445">
        <v>35</v>
      </c>
      <c r="B347" s="220">
        <v>45054</v>
      </c>
      <c r="C347" s="228">
        <v>45054.520833333336</v>
      </c>
      <c r="D347" s="493">
        <v>45054.729166666664</v>
      </c>
      <c r="E347" s="493">
        <v>45054.770833333336</v>
      </c>
      <c r="F347" s="493">
        <v>45054.8125</v>
      </c>
      <c r="G347" s="258">
        <v>45054.8125</v>
      </c>
      <c r="H347" s="226" t="s">
        <v>215</v>
      </c>
      <c r="I347" s="223" t="s">
        <v>151</v>
      </c>
      <c r="J347" s="243" t="s">
        <v>4</v>
      </c>
      <c r="K347" s="497">
        <v>1</v>
      </c>
      <c r="L347" s="497">
        <v>5</v>
      </c>
      <c r="M347" s="248" t="s">
        <v>7</v>
      </c>
      <c r="N347" s="52">
        <v>45122.417974537035</v>
      </c>
      <c r="O347" s="53" t="s">
        <v>49</v>
      </c>
      <c r="P347" s="54" t="s">
        <v>603</v>
      </c>
      <c r="R347" s="210">
        <v>1</v>
      </c>
      <c r="S347" s="210">
        <v>1</v>
      </c>
      <c r="T347" s="56">
        <v>1.3080571038382394</v>
      </c>
      <c r="U347" s="57">
        <v>0.88099980354309082</v>
      </c>
      <c r="V347" s="215">
        <v>0.46466785826357915</v>
      </c>
      <c r="W347" s="494">
        <v>0.28343023270350032</v>
      </c>
      <c r="X347" s="494">
        <v>0.25144538283348083</v>
      </c>
      <c r="Y347" s="59">
        <v>1</v>
      </c>
      <c r="Z347" s="60">
        <v>5</v>
      </c>
      <c r="AA347" s="61"/>
      <c r="AB347" s="62"/>
      <c r="AC347" s="39">
        <f t="shared" si="15"/>
        <v>45054.479166666672</v>
      </c>
      <c r="AD347" s="495">
        <f t="shared" si="16"/>
        <v>45054.4375</v>
      </c>
      <c r="AE347" s="40">
        <f t="shared" si="17"/>
        <v>45054.395833333336</v>
      </c>
    </row>
    <row r="348" spans="1:31" ht="21" customHeight="1" thickBot="1" x14ac:dyDescent="0.3">
      <c r="A348" s="445">
        <v>35</v>
      </c>
      <c r="B348" s="220">
        <v>45054</v>
      </c>
      <c r="C348" s="228">
        <v>45054.625</v>
      </c>
      <c r="D348" s="493">
        <v>45054.833333333336</v>
      </c>
      <c r="E348" s="493">
        <v>45054.875</v>
      </c>
      <c r="F348" s="493">
        <v>45054.916666666664</v>
      </c>
      <c r="G348" s="258">
        <v>45054.916666666664</v>
      </c>
      <c r="H348" s="226" t="s">
        <v>530</v>
      </c>
      <c r="I348" s="223" t="s">
        <v>436</v>
      </c>
      <c r="J348" s="243" t="s">
        <v>204</v>
      </c>
      <c r="K348" s="497">
        <v>4</v>
      </c>
      <c r="L348" s="497">
        <v>3</v>
      </c>
      <c r="M348" s="248" t="s">
        <v>13</v>
      </c>
      <c r="N348" s="52">
        <v>45122.417974537035</v>
      </c>
      <c r="O348" s="53" t="s">
        <v>49</v>
      </c>
      <c r="P348" s="54" t="s">
        <v>603</v>
      </c>
      <c r="R348" s="210">
        <v>1</v>
      </c>
      <c r="S348" s="210">
        <v>1</v>
      </c>
      <c r="T348" s="56">
        <v>1.1230998039245605</v>
      </c>
      <c r="U348" s="57">
        <v>1.3409997224807739</v>
      </c>
      <c r="V348" s="215">
        <v>0.31250432105801734</v>
      </c>
      <c r="W348" s="494">
        <v>0.2703614986810457</v>
      </c>
      <c r="X348" s="494">
        <v>0.41648128628730774</v>
      </c>
      <c r="Y348" s="59">
        <v>4</v>
      </c>
      <c r="Z348" s="60">
        <v>3</v>
      </c>
      <c r="AA348" s="61"/>
      <c r="AB348" s="62"/>
      <c r="AC348" s="39">
        <f t="shared" si="15"/>
        <v>45054.583333333336</v>
      </c>
      <c r="AD348" s="495">
        <f t="shared" si="16"/>
        <v>45054.541666666664</v>
      </c>
      <c r="AE348" s="40">
        <f t="shared" si="17"/>
        <v>45054.5</v>
      </c>
    </row>
    <row r="349" spans="1:31" ht="21" customHeight="1" thickBot="1" x14ac:dyDescent="0.3">
      <c r="A349" s="444">
        <v>36</v>
      </c>
      <c r="B349" s="219">
        <v>45059</v>
      </c>
      <c r="C349" s="230">
        <v>45059.3125</v>
      </c>
      <c r="D349" s="256">
        <v>45059.520833333336</v>
      </c>
      <c r="E349" s="256">
        <v>45059.5625</v>
      </c>
      <c r="F349" s="256">
        <v>45059.604166666664</v>
      </c>
      <c r="G349" s="257">
        <v>45059.604166666664</v>
      </c>
      <c r="H349" s="225" t="s">
        <v>332</v>
      </c>
      <c r="I349" s="222" t="s">
        <v>140</v>
      </c>
      <c r="J349" s="242" t="s">
        <v>139</v>
      </c>
      <c r="K349" s="497">
        <v>2</v>
      </c>
      <c r="L349" s="497">
        <v>2</v>
      </c>
      <c r="M349" s="247" t="s">
        <v>12</v>
      </c>
      <c r="N349" s="41">
        <v>45122.417974537035</v>
      </c>
      <c r="O349" s="42" t="s">
        <v>49</v>
      </c>
      <c r="P349" s="43" t="s">
        <v>603</v>
      </c>
      <c r="Q349" s="44"/>
      <c r="R349" s="212">
        <v>1</v>
      </c>
      <c r="S349" s="212">
        <v>2</v>
      </c>
      <c r="T349" s="45">
        <v>1.1230998039245605</v>
      </c>
      <c r="U349" s="46">
        <v>1.6379998922348022</v>
      </c>
      <c r="V349" s="213">
        <v>0.26095905044970608</v>
      </c>
      <c r="W349" s="214">
        <v>0.24530628459021614</v>
      </c>
      <c r="X349" s="214">
        <v>0.49204212427139282</v>
      </c>
      <c r="Y349" s="47">
        <v>2</v>
      </c>
      <c r="Z349" s="48">
        <v>2</v>
      </c>
      <c r="AA349" s="49"/>
      <c r="AB349" s="50"/>
      <c r="AC349" s="75">
        <f t="shared" si="15"/>
        <v>45059.270833333336</v>
      </c>
      <c r="AD349" s="76">
        <f t="shared" si="16"/>
        <v>45059.229166666664</v>
      </c>
      <c r="AE349" s="77">
        <f t="shared" si="17"/>
        <v>45059.1875</v>
      </c>
    </row>
    <row r="350" spans="1:31" ht="21" customHeight="1" thickBot="1" x14ac:dyDescent="0.3">
      <c r="A350" s="445">
        <v>36</v>
      </c>
      <c r="B350" s="220">
        <v>45059</v>
      </c>
      <c r="C350" s="228">
        <v>45059.416666666664</v>
      </c>
      <c r="D350" s="493">
        <v>45059.625</v>
      </c>
      <c r="E350" s="493">
        <v>45059.666666666664</v>
      </c>
      <c r="F350" s="493">
        <v>45059.708333333336</v>
      </c>
      <c r="G350" s="258">
        <v>45059.708333333336</v>
      </c>
      <c r="H350" s="226" t="s">
        <v>383</v>
      </c>
      <c r="I350" s="223" t="s">
        <v>58</v>
      </c>
      <c r="J350" s="243" t="s">
        <v>2</v>
      </c>
      <c r="K350" s="497">
        <v>2</v>
      </c>
      <c r="L350" s="497">
        <v>1</v>
      </c>
      <c r="M350" s="248" t="s">
        <v>14</v>
      </c>
      <c r="N350" s="52">
        <v>45122.417974537035</v>
      </c>
      <c r="O350" s="53" t="s">
        <v>49</v>
      </c>
      <c r="P350" s="54" t="s">
        <v>603</v>
      </c>
      <c r="R350" s="210">
        <v>2</v>
      </c>
      <c r="S350" s="210">
        <v>2</v>
      </c>
      <c r="T350" s="56">
        <v>1.5740997791290283</v>
      </c>
      <c r="U350" s="57">
        <v>1.3909999132156372</v>
      </c>
      <c r="V350" s="215">
        <v>0.41744979165598778</v>
      </c>
      <c r="W350" s="494">
        <v>0.24351299194675985</v>
      </c>
      <c r="X350" s="494">
        <v>0.33722031116485596</v>
      </c>
      <c r="Y350" s="59">
        <v>2</v>
      </c>
      <c r="Z350" s="60">
        <v>1</v>
      </c>
      <c r="AA350" s="61"/>
      <c r="AB350" s="62"/>
      <c r="AC350" s="39">
        <f t="shared" si="15"/>
        <v>45059.375</v>
      </c>
      <c r="AD350" s="495">
        <f t="shared" si="16"/>
        <v>45059.333333333328</v>
      </c>
      <c r="AE350" s="40">
        <f t="shared" si="17"/>
        <v>45059.291666666664</v>
      </c>
    </row>
    <row r="351" spans="1:31" ht="21" customHeight="1" thickBot="1" x14ac:dyDescent="0.3">
      <c r="A351" s="445">
        <v>36</v>
      </c>
      <c r="B351" s="220">
        <v>45059</v>
      </c>
      <c r="C351" s="228">
        <v>45059.416666666664</v>
      </c>
      <c r="D351" s="493">
        <v>45059.625</v>
      </c>
      <c r="E351" s="493">
        <v>45059.666666666664</v>
      </c>
      <c r="F351" s="493">
        <v>45059.708333333336</v>
      </c>
      <c r="G351" s="258">
        <v>45059.708333333336</v>
      </c>
      <c r="H351" s="226" t="s">
        <v>531</v>
      </c>
      <c r="I351" s="223" t="s">
        <v>62</v>
      </c>
      <c r="J351" s="243" t="s">
        <v>5</v>
      </c>
      <c r="K351" s="497">
        <v>2</v>
      </c>
      <c r="L351" s="497">
        <v>2</v>
      </c>
      <c r="M351" s="248" t="s">
        <v>204</v>
      </c>
      <c r="N351" s="52">
        <v>45122.417974537035</v>
      </c>
      <c r="O351" s="53" t="s">
        <v>49</v>
      </c>
      <c r="P351" s="54" t="s">
        <v>603</v>
      </c>
      <c r="R351" s="210">
        <v>2</v>
      </c>
      <c r="S351" s="210">
        <v>0</v>
      </c>
      <c r="T351" s="56">
        <v>1.9150997400283813</v>
      </c>
      <c r="U351" s="57">
        <v>0.44357123970985413</v>
      </c>
      <c r="V351" s="215">
        <v>0.72620785563123003</v>
      </c>
      <c r="W351" s="494">
        <v>0.19361579224882483</v>
      </c>
      <c r="X351" s="494">
        <v>7.6579771935939789E-2</v>
      </c>
      <c r="Y351" s="59">
        <v>2</v>
      </c>
      <c r="Z351" s="60">
        <v>2</v>
      </c>
      <c r="AA351" s="61"/>
      <c r="AB351" s="62"/>
      <c r="AC351" s="39">
        <f t="shared" si="15"/>
        <v>45059.375</v>
      </c>
      <c r="AD351" s="495">
        <f t="shared" si="16"/>
        <v>45059.333333333328</v>
      </c>
      <c r="AE351" s="40">
        <f t="shared" si="17"/>
        <v>45059.291666666664</v>
      </c>
    </row>
    <row r="352" spans="1:31" ht="21" customHeight="1" thickBot="1" x14ac:dyDescent="0.3">
      <c r="A352" s="445">
        <v>36</v>
      </c>
      <c r="B352" s="220">
        <v>45059</v>
      </c>
      <c r="C352" s="228">
        <v>45059.416666666664</v>
      </c>
      <c r="D352" s="493">
        <v>45059.625</v>
      </c>
      <c r="E352" s="493">
        <v>45059.666666666664</v>
      </c>
      <c r="F352" s="493">
        <v>45059.708333333336</v>
      </c>
      <c r="G352" s="258">
        <v>45059.708333333336</v>
      </c>
      <c r="H352" s="226" t="s">
        <v>532</v>
      </c>
      <c r="I352" s="223" t="s">
        <v>52</v>
      </c>
      <c r="J352" s="243" t="s">
        <v>6</v>
      </c>
      <c r="K352" s="497">
        <v>2</v>
      </c>
      <c r="L352" s="497">
        <v>0</v>
      </c>
      <c r="M352" s="248" t="s">
        <v>3</v>
      </c>
      <c r="N352" s="52">
        <v>45122.417974537035</v>
      </c>
      <c r="O352" s="53" t="s">
        <v>49</v>
      </c>
      <c r="P352" s="54" t="s">
        <v>603</v>
      </c>
      <c r="R352" s="210">
        <v>2</v>
      </c>
      <c r="S352" s="210">
        <v>1</v>
      </c>
      <c r="T352" s="56">
        <v>1.6070997714996338</v>
      </c>
      <c r="U352" s="57">
        <v>0.92099976539611816</v>
      </c>
      <c r="V352" s="215">
        <v>0.53330181568925794</v>
      </c>
      <c r="W352" s="494">
        <v>0.24954863946763634</v>
      </c>
      <c r="X352" s="494">
        <v>0.21573004126548767</v>
      </c>
      <c r="Y352" s="59">
        <v>2</v>
      </c>
      <c r="Z352" s="60">
        <v>0</v>
      </c>
      <c r="AA352" s="61"/>
      <c r="AB352" s="62"/>
      <c r="AC352" s="39">
        <f t="shared" si="15"/>
        <v>45059.375</v>
      </c>
      <c r="AD352" s="495">
        <f t="shared" si="16"/>
        <v>45059.333333333328</v>
      </c>
      <c r="AE352" s="40">
        <f t="shared" si="17"/>
        <v>45059.291666666664</v>
      </c>
    </row>
    <row r="353" spans="1:31" ht="21" customHeight="1" thickBot="1" x14ac:dyDescent="0.3">
      <c r="A353" s="445">
        <v>36</v>
      </c>
      <c r="B353" s="220">
        <v>45059</v>
      </c>
      <c r="C353" s="228">
        <v>45059.416666666664</v>
      </c>
      <c r="D353" s="493">
        <v>45059.625</v>
      </c>
      <c r="E353" s="493">
        <v>45059.666666666664</v>
      </c>
      <c r="F353" s="493">
        <v>45059.708333333336</v>
      </c>
      <c r="G353" s="258">
        <v>45059.708333333336</v>
      </c>
      <c r="H353" s="226" t="s">
        <v>322</v>
      </c>
      <c r="I353" s="223" t="s">
        <v>56</v>
      </c>
      <c r="J353" s="243" t="s">
        <v>11</v>
      </c>
      <c r="K353" s="497">
        <v>2</v>
      </c>
      <c r="L353" s="497">
        <v>0</v>
      </c>
      <c r="M353" s="248" t="s">
        <v>16</v>
      </c>
      <c r="N353" s="52">
        <v>45122.417974537035</v>
      </c>
      <c r="O353" s="53" t="s">
        <v>49</v>
      </c>
      <c r="P353" s="54" t="s">
        <v>603</v>
      </c>
      <c r="R353" s="210">
        <v>2</v>
      </c>
      <c r="S353" s="210">
        <v>1</v>
      </c>
      <c r="T353" s="56">
        <v>1.6037997518266949</v>
      </c>
      <c r="U353" s="57">
        <v>0.98099970817565918</v>
      </c>
      <c r="V353" s="215">
        <v>0.51766469510646895</v>
      </c>
      <c r="W353" s="494">
        <v>0.24973814961699006</v>
      </c>
      <c r="X353" s="494">
        <v>0.23116956651210785</v>
      </c>
      <c r="Y353" s="59">
        <v>2</v>
      </c>
      <c r="Z353" s="60">
        <v>0</v>
      </c>
      <c r="AA353" s="61"/>
      <c r="AB353" s="62"/>
      <c r="AC353" s="39">
        <f t="shared" si="15"/>
        <v>45059.375</v>
      </c>
      <c r="AD353" s="495">
        <f t="shared" si="16"/>
        <v>45059.333333333328</v>
      </c>
      <c r="AE353" s="40">
        <f t="shared" si="17"/>
        <v>45059.291666666664</v>
      </c>
    </row>
    <row r="354" spans="1:31" ht="21" customHeight="1" thickBot="1" x14ac:dyDescent="0.3">
      <c r="A354" s="445">
        <v>36</v>
      </c>
      <c r="B354" s="220">
        <v>45059</v>
      </c>
      <c r="C354" s="228">
        <v>45059.416666666664</v>
      </c>
      <c r="D354" s="493">
        <v>45059.625</v>
      </c>
      <c r="E354" s="493">
        <v>45059.666666666664</v>
      </c>
      <c r="F354" s="493">
        <v>45059.708333333336</v>
      </c>
      <c r="G354" s="258">
        <v>45059.708333333336</v>
      </c>
      <c r="H354" s="226" t="s">
        <v>533</v>
      </c>
      <c r="I354" s="223" t="s">
        <v>60</v>
      </c>
      <c r="J354" s="243" t="s">
        <v>13</v>
      </c>
      <c r="K354" s="497">
        <v>0</v>
      </c>
      <c r="L354" s="497">
        <v>2</v>
      </c>
      <c r="M354" s="248" t="s">
        <v>126</v>
      </c>
      <c r="N354" s="52">
        <v>45122.417974537035</v>
      </c>
      <c r="O354" s="53" t="s">
        <v>49</v>
      </c>
      <c r="P354" s="54" t="s">
        <v>603</v>
      </c>
      <c r="R354" s="210">
        <v>1</v>
      </c>
      <c r="S354" s="210">
        <v>1</v>
      </c>
      <c r="T354" s="56">
        <v>0.87292841502598351</v>
      </c>
      <c r="U354" s="57">
        <v>0.97928547859191895</v>
      </c>
      <c r="V354" s="215">
        <v>0.30997358630307342</v>
      </c>
      <c r="W354" s="494">
        <v>0.32254094969465141</v>
      </c>
      <c r="X354" s="494">
        <v>0.3673764169216156</v>
      </c>
      <c r="Y354" s="59">
        <v>0</v>
      </c>
      <c r="Z354" s="60">
        <v>2</v>
      </c>
      <c r="AA354" s="61"/>
      <c r="AB354" s="62"/>
      <c r="AC354" s="39">
        <f t="shared" si="15"/>
        <v>45059.375</v>
      </c>
      <c r="AD354" s="495">
        <f t="shared" si="16"/>
        <v>45059.333333333328</v>
      </c>
      <c r="AE354" s="40">
        <f t="shared" si="17"/>
        <v>45059.291666666664</v>
      </c>
    </row>
    <row r="355" spans="1:31" ht="21" customHeight="1" thickBot="1" x14ac:dyDescent="0.3">
      <c r="A355" s="445">
        <v>36</v>
      </c>
      <c r="B355" s="220">
        <v>45060</v>
      </c>
      <c r="C355" s="228">
        <v>45060.375</v>
      </c>
      <c r="D355" s="493">
        <v>45060.583333333336</v>
      </c>
      <c r="E355" s="493">
        <v>45060.625</v>
      </c>
      <c r="F355" s="493">
        <v>45060.666666666664</v>
      </c>
      <c r="G355" s="258">
        <v>45060.666666666664</v>
      </c>
      <c r="H355" s="226" t="s">
        <v>384</v>
      </c>
      <c r="I355" s="223" t="s">
        <v>593</v>
      </c>
      <c r="J355" s="243" t="s">
        <v>125</v>
      </c>
      <c r="K355" s="497">
        <v>2</v>
      </c>
      <c r="L355" s="497">
        <v>0</v>
      </c>
      <c r="M355" s="248" t="s">
        <v>15</v>
      </c>
      <c r="N355" s="52">
        <v>45122.417974537035</v>
      </c>
      <c r="O355" s="53" t="s">
        <v>49</v>
      </c>
      <c r="P355" s="54" t="s">
        <v>603</v>
      </c>
      <c r="R355" s="210">
        <v>2</v>
      </c>
      <c r="S355" s="210">
        <v>1</v>
      </c>
      <c r="T355" s="56">
        <v>1.5190997123718262</v>
      </c>
      <c r="U355" s="57">
        <v>1.2909997701644897</v>
      </c>
      <c r="V355" s="215">
        <v>0.42532539009300313</v>
      </c>
      <c r="W355" s="494">
        <v>0.25042922462333228</v>
      </c>
      <c r="X355" s="494">
        <v>0.32286304235458374</v>
      </c>
      <c r="Y355" s="59">
        <v>2</v>
      </c>
      <c r="Z355" s="60">
        <v>0</v>
      </c>
      <c r="AA355" s="61"/>
      <c r="AB355" s="62"/>
      <c r="AC355" s="39">
        <f t="shared" si="15"/>
        <v>45060.333333333336</v>
      </c>
      <c r="AD355" s="495">
        <f t="shared" si="16"/>
        <v>45060.291666666664</v>
      </c>
      <c r="AE355" s="40">
        <f t="shared" si="17"/>
        <v>45060.25</v>
      </c>
    </row>
    <row r="356" spans="1:31" ht="21" customHeight="1" thickBot="1" x14ac:dyDescent="0.3">
      <c r="A356" s="445">
        <v>36</v>
      </c>
      <c r="B356" s="220">
        <v>45060</v>
      </c>
      <c r="C356" s="228">
        <v>45060.375</v>
      </c>
      <c r="D356" s="493">
        <v>45060.583333333336</v>
      </c>
      <c r="E356" s="493">
        <v>45060.625</v>
      </c>
      <c r="F356" s="493">
        <v>45060.666666666664</v>
      </c>
      <c r="G356" s="258">
        <v>45060.666666666664</v>
      </c>
      <c r="H356" s="226" t="s">
        <v>355</v>
      </c>
      <c r="I356" s="223" t="s">
        <v>59</v>
      </c>
      <c r="J356" s="243" t="s">
        <v>7</v>
      </c>
      <c r="K356" s="497">
        <v>0</v>
      </c>
      <c r="L356" s="497">
        <v>3</v>
      </c>
      <c r="M356" s="248" t="s">
        <v>10</v>
      </c>
      <c r="N356" s="52">
        <v>45122.417974537035</v>
      </c>
      <c r="O356" s="53" t="s">
        <v>49</v>
      </c>
      <c r="P356" s="54" t="s">
        <v>603</v>
      </c>
      <c r="R356" s="210">
        <v>0</v>
      </c>
      <c r="S356" s="210">
        <v>3</v>
      </c>
      <c r="T356" s="56">
        <v>0.57608556747436523</v>
      </c>
      <c r="U356" s="57">
        <v>2.6309998035430908</v>
      </c>
      <c r="V356" s="215">
        <v>5.9017641417408638E-2</v>
      </c>
      <c r="W356" s="494">
        <v>0.12937505538273736</v>
      </c>
      <c r="X356" s="494">
        <v>0.7934267520904541</v>
      </c>
      <c r="Y356" s="59">
        <v>0</v>
      </c>
      <c r="Z356" s="60">
        <v>3</v>
      </c>
      <c r="AA356" s="61"/>
      <c r="AB356" s="62"/>
      <c r="AC356" s="39">
        <f t="shared" si="15"/>
        <v>45060.333333333336</v>
      </c>
      <c r="AD356" s="495">
        <f t="shared" si="16"/>
        <v>45060.291666666664</v>
      </c>
      <c r="AE356" s="40">
        <f t="shared" si="17"/>
        <v>45060.25</v>
      </c>
    </row>
    <row r="357" spans="1:31" ht="21" customHeight="1" thickBot="1" x14ac:dyDescent="0.3">
      <c r="A357" s="445">
        <v>36</v>
      </c>
      <c r="B357" s="220">
        <v>45060</v>
      </c>
      <c r="C357" s="228">
        <v>45060.479166666664</v>
      </c>
      <c r="D357" s="493">
        <v>45060.6875</v>
      </c>
      <c r="E357" s="493">
        <v>45060.729166666664</v>
      </c>
      <c r="F357" s="493">
        <v>45060.770833333336</v>
      </c>
      <c r="G357" s="258">
        <v>45060.770833333336</v>
      </c>
      <c r="H357" s="226" t="s">
        <v>382</v>
      </c>
      <c r="I357" s="223" t="s">
        <v>57</v>
      </c>
      <c r="J357" s="243" t="s">
        <v>1</v>
      </c>
      <c r="K357" s="497">
        <v>0</v>
      </c>
      <c r="L357" s="497">
        <v>3</v>
      </c>
      <c r="M357" s="248" t="s">
        <v>4</v>
      </c>
      <c r="N357" s="52">
        <v>45122.417974537035</v>
      </c>
      <c r="O357" s="53" t="s">
        <v>49</v>
      </c>
      <c r="P357" s="54" t="s">
        <v>603</v>
      </c>
      <c r="R357" s="210">
        <v>2</v>
      </c>
      <c r="S357" s="210">
        <v>1</v>
      </c>
      <c r="T357" s="56">
        <v>1.9260996580123901</v>
      </c>
      <c r="U357" s="57">
        <v>1.3894284963607788</v>
      </c>
      <c r="V357" s="215">
        <v>0.49720368854676472</v>
      </c>
      <c r="W357" s="494">
        <v>0.22146099741322983</v>
      </c>
      <c r="X357" s="494">
        <v>0.27703353762626648</v>
      </c>
      <c r="Y357" s="59">
        <v>0</v>
      </c>
      <c r="Z357" s="60">
        <v>3</v>
      </c>
      <c r="AA357" s="61"/>
      <c r="AB357" s="62"/>
      <c r="AC357" s="39">
        <f t="shared" si="15"/>
        <v>45060.4375</v>
      </c>
      <c r="AD357" s="495">
        <f t="shared" si="16"/>
        <v>45060.395833333328</v>
      </c>
      <c r="AE357" s="40">
        <f t="shared" si="17"/>
        <v>45060.354166666664</v>
      </c>
    </row>
    <row r="358" spans="1:31" ht="21" customHeight="1" thickBot="1" x14ac:dyDescent="0.3">
      <c r="A358" s="445">
        <v>36</v>
      </c>
      <c r="B358" s="220">
        <v>45061</v>
      </c>
      <c r="C358" s="228">
        <v>45061.625</v>
      </c>
      <c r="D358" s="493">
        <v>45061.833333333336</v>
      </c>
      <c r="E358" s="493">
        <v>45061.875</v>
      </c>
      <c r="F358" s="493">
        <v>45061.916666666664</v>
      </c>
      <c r="G358" s="258">
        <v>45061.916666666664</v>
      </c>
      <c r="H358" s="226" t="s">
        <v>317</v>
      </c>
      <c r="I358" s="223" t="s">
        <v>54</v>
      </c>
      <c r="J358" s="243" t="s">
        <v>8</v>
      </c>
      <c r="K358" s="497">
        <v>0</v>
      </c>
      <c r="L358" s="497">
        <v>3</v>
      </c>
      <c r="M358" s="248" t="s">
        <v>9</v>
      </c>
      <c r="N358" s="52">
        <v>45122.417974537035</v>
      </c>
      <c r="O358" s="53" t="s">
        <v>49</v>
      </c>
      <c r="P358" s="54" t="s">
        <v>603</v>
      </c>
      <c r="R358" s="210">
        <v>1</v>
      </c>
      <c r="S358" s="210">
        <v>2</v>
      </c>
      <c r="T358" s="56">
        <v>1.2110997438430786</v>
      </c>
      <c r="U358" s="57">
        <v>2.1309998035430908</v>
      </c>
      <c r="V358" s="215">
        <v>0.21013890772802407</v>
      </c>
      <c r="W358" s="494">
        <v>0.2054256530532528</v>
      </c>
      <c r="X358" s="494">
        <v>0.57784432172775269</v>
      </c>
      <c r="Y358" s="59">
        <v>0</v>
      </c>
      <c r="Z358" s="60">
        <v>3</v>
      </c>
      <c r="AA358" s="61"/>
      <c r="AB358" s="62"/>
      <c r="AC358" s="39">
        <f t="shared" si="15"/>
        <v>45061.583333333336</v>
      </c>
      <c r="AD358" s="495">
        <f t="shared" si="16"/>
        <v>45061.541666666664</v>
      </c>
      <c r="AE358" s="40">
        <f t="shared" si="17"/>
        <v>45061.5</v>
      </c>
    </row>
    <row r="359" spans="1:31" ht="21" customHeight="1" thickBot="1" x14ac:dyDescent="0.3">
      <c r="A359" s="444">
        <v>25</v>
      </c>
      <c r="B359" s="219">
        <v>45064</v>
      </c>
      <c r="C359" s="230">
        <v>45064.604166666664</v>
      </c>
      <c r="D359" s="256">
        <v>45064.8125</v>
      </c>
      <c r="E359" s="256">
        <v>45064.854166666664</v>
      </c>
      <c r="F359" s="256">
        <v>45064.895833333336</v>
      </c>
      <c r="G359" s="257">
        <v>45064.895833333336</v>
      </c>
      <c r="H359" s="225" t="s">
        <v>361</v>
      </c>
      <c r="I359" s="222" t="s">
        <v>55</v>
      </c>
      <c r="J359" s="242" t="s">
        <v>12</v>
      </c>
      <c r="K359" s="497">
        <v>4</v>
      </c>
      <c r="L359" s="497">
        <v>1</v>
      </c>
      <c r="M359" s="247" t="s">
        <v>4</v>
      </c>
      <c r="N359" s="41">
        <v>45122.417974537035</v>
      </c>
      <c r="O359" s="42" t="s">
        <v>49</v>
      </c>
      <c r="P359" s="43" t="s">
        <v>603</v>
      </c>
      <c r="Q359" s="44"/>
      <c r="R359" s="212">
        <v>1</v>
      </c>
      <c r="S359" s="212">
        <v>1</v>
      </c>
      <c r="T359" s="45">
        <v>1.0693570545741491</v>
      </c>
      <c r="U359" s="46">
        <v>0.88628560304641724</v>
      </c>
      <c r="V359" s="213">
        <v>0.39274287091774646</v>
      </c>
      <c r="W359" s="214">
        <v>0.310876598557001</v>
      </c>
      <c r="X359" s="214">
        <v>0.29621568322181702</v>
      </c>
      <c r="Y359" s="47">
        <v>4</v>
      </c>
      <c r="Z359" s="48">
        <v>1</v>
      </c>
      <c r="AA359" s="49"/>
      <c r="AB359" s="50"/>
      <c r="AC359" s="75">
        <f t="shared" si="15"/>
        <v>45064.5625</v>
      </c>
      <c r="AD359" s="76">
        <f t="shared" si="16"/>
        <v>45064.520833333328</v>
      </c>
      <c r="AE359" s="77">
        <f t="shared" si="17"/>
        <v>45064.479166666664</v>
      </c>
    </row>
    <row r="360" spans="1:31" ht="21" customHeight="1" thickBot="1" x14ac:dyDescent="0.3">
      <c r="A360" s="444">
        <v>37</v>
      </c>
      <c r="B360" s="219">
        <v>45066</v>
      </c>
      <c r="C360" s="230">
        <v>45066.3125</v>
      </c>
      <c r="D360" s="256">
        <v>45066.520833333336</v>
      </c>
      <c r="E360" s="256">
        <v>45066.5625</v>
      </c>
      <c r="F360" s="256">
        <v>45066.604166666664</v>
      </c>
      <c r="G360" s="257">
        <v>45066.604166666664</v>
      </c>
      <c r="H360" s="225" t="s">
        <v>283</v>
      </c>
      <c r="I360" s="222" t="s">
        <v>53</v>
      </c>
      <c r="J360" s="242" t="s">
        <v>14</v>
      </c>
      <c r="K360" s="497">
        <v>1</v>
      </c>
      <c r="L360" s="497">
        <v>3</v>
      </c>
      <c r="M360" s="247" t="s">
        <v>125</v>
      </c>
      <c r="N360" s="41">
        <v>45122.417974537035</v>
      </c>
      <c r="O360" s="42" t="s">
        <v>49</v>
      </c>
      <c r="P360" s="43" t="s">
        <v>603</v>
      </c>
      <c r="Q360" s="44"/>
      <c r="R360" s="212">
        <v>2</v>
      </c>
      <c r="S360" s="212">
        <v>1</v>
      </c>
      <c r="T360" s="45">
        <v>1.7170999050140381</v>
      </c>
      <c r="U360" s="46">
        <v>1.2694282531738281</v>
      </c>
      <c r="V360" s="213">
        <v>0.47735978445371835</v>
      </c>
      <c r="W360" s="214">
        <v>0.23707411216401039</v>
      </c>
      <c r="X360" s="214">
        <v>0.28323405981063843</v>
      </c>
      <c r="Y360" s="47">
        <v>1</v>
      </c>
      <c r="Z360" s="48">
        <v>3</v>
      </c>
      <c r="AA360" s="49"/>
      <c r="AB360" s="50"/>
      <c r="AC360" s="75">
        <f t="shared" si="15"/>
        <v>45066.270833333336</v>
      </c>
      <c r="AD360" s="76">
        <f t="shared" si="16"/>
        <v>45066.229166666664</v>
      </c>
      <c r="AE360" s="77">
        <f t="shared" si="17"/>
        <v>45066.1875</v>
      </c>
    </row>
    <row r="361" spans="1:31" ht="21" customHeight="1" thickBot="1" x14ac:dyDescent="0.3">
      <c r="A361" s="445">
        <v>37</v>
      </c>
      <c r="B361" s="220">
        <v>45066</v>
      </c>
      <c r="C361" s="228">
        <v>45066.416666666664</v>
      </c>
      <c r="D361" s="493">
        <v>45066.625</v>
      </c>
      <c r="E361" s="493">
        <v>45066.666666666664</v>
      </c>
      <c r="F361" s="493">
        <v>45066.708333333336</v>
      </c>
      <c r="G361" s="258">
        <v>45066.708333333336</v>
      </c>
      <c r="H361" s="226" t="s">
        <v>534</v>
      </c>
      <c r="I361" s="223" t="s">
        <v>51</v>
      </c>
      <c r="J361" s="243" t="s">
        <v>3</v>
      </c>
      <c r="K361" s="497">
        <v>0</v>
      </c>
      <c r="L361" s="497">
        <v>1</v>
      </c>
      <c r="M361" s="248" t="s">
        <v>11</v>
      </c>
      <c r="N361" s="52">
        <v>45122.417974537035</v>
      </c>
      <c r="O361" s="53" t="s">
        <v>49</v>
      </c>
      <c r="P361" s="54" t="s">
        <v>603</v>
      </c>
      <c r="R361" s="210">
        <v>1</v>
      </c>
      <c r="S361" s="210">
        <v>2</v>
      </c>
      <c r="T361" s="56">
        <v>1.156099796295166</v>
      </c>
      <c r="U361" s="57">
        <v>1.9709998369216919</v>
      </c>
      <c r="V361" s="215">
        <v>0.21959392206664469</v>
      </c>
      <c r="W361" s="494">
        <v>0.21732802755466787</v>
      </c>
      <c r="X361" s="494">
        <v>0.55868309736251831</v>
      </c>
      <c r="Y361" s="59">
        <v>0</v>
      </c>
      <c r="Z361" s="60">
        <v>1</v>
      </c>
      <c r="AA361" s="61"/>
      <c r="AB361" s="62"/>
      <c r="AC361" s="39">
        <f t="shared" si="15"/>
        <v>45066.375</v>
      </c>
      <c r="AD361" s="495">
        <f t="shared" si="16"/>
        <v>45066.333333333328</v>
      </c>
      <c r="AE361" s="40">
        <f t="shared" si="17"/>
        <v>45066.291666666664</v>
      </c>
    </row>
    <row r="362" spans="1:31" ht="21" customHeight="1" thickBot="1" x14ac:dyDescent="0.3">
      <c r="A362" s="445">
        <v>37</v>
      </c>
      <c r="B362" s="220">
        <v>45066</v>
      </c>
      <c r="C362" s="228">
        <v>45066.416666666664</v>
      </c>
      <c r="D362" s="493">
        <v>45066.625</v>
      </c>
      <c r="E362" s="493">
        <v>45066.666666666664</v>
      </c>
      <c r="F362" s="493">
        <v>45066.708333333336</v>
      </c>
      <c r="G362" s="258">
        <v>45066.708333333336</v>
      </c>
      <c r="H362" s="226" t="s">
        <v>535</v>
      </c>
      <c r="I362" s="223" t="s">
        <v>431</v>
      </c>
      <c r="J362" s="243" t="s">
        <v>126</v>
      </c>
      <c r="K362" s="497">
        <v>2</v>
      </c>
      <c r="L362" s="497">
        <v>2</v>
      </c>
      <c r="M362" s="248" t="s">
        <v>6</v>
      </c>
      <c r="N362" s="52">
        <v>45122.417974537035</v>
      </c>
      <c r="O362" s="53" t="s">
        <v>49</v>
      </c>
      <c r="P362" s="54" t="s">
        <v>603</v>
      </c>
      <c r="R362" s="210">
        <v>1</v>
      </c>
      <c r="S362" s="210">
        <v>1</v>
      </c>
      <c r="T362" s="56">
        <v>1.156099796295166</v>
      </c>
      <c r="U362" s="57">
        <v>1.3009997606277466</v>
      </c>
      <c r="V362" s="215">
        <v>0.32907720541716484</v>
      </c>
      <c r="W362" s="494">
        <v>0.27192512901615606</v>
      </c>
      <c r="X362" s="494">
        <v>0.39839139580726624</v>
      </c>
      <c r="Y362" s="59">
        <v>2</v>
      </c>
      <c r="Z362" s="60">
        <v>2</v>
      </c>
      <c r="AA362" s="61"/>
      <c r="AB362" s="62"/>
      <c r="AC362" s="39">
        <f t="shared" si="15"/>
        <v>45066.375</v>
      </c>
      <c r="AD362" s="495">
        <f t="shared" si="16"/>
        <v>45066.333333333328</v>
      </c>
      <c r="AE362" s="40">
        <f t="shared" si="17"/>
        <v>45066.291666666664</v>
      </c>
    </row>
    <row r="363" spans="1:31" ht="21" customHeight="1" thickBot="1" x14ac:dyDescent="0.3">
      <c r="A363" s="445">
        <v>37</v>
      </c>
      <c r="B363" s="220">
        <v>45066</v>
      </c>
      <c r="C363" s="228">
        <v>45066.416666666664</v>
      </c>
      <c r="D363" s="493">
        <v>45066.625</v>
      </c>
      <c r="E363" s="493">
        <v>45066.666666666664</v>
      </c>
      <c r="F363" s="493">
        <v>45066.708333333336</v>
      </c>
      <c r="G363" s="258">
        <v>45066.708333333336</v>
      </c>
      <c r="H363" s="226" t="s">
        <v>172</v>
      </c>
      <c r="I363" s="223" t="s">
        <v>48</v>
      </c>
      <c r="J363" s="243" t="s">
        <v>9</v>
      </c>
      <c r="K363" s="497">
        <v>1</v>
      </c>
      <c r="L363" s="497">
        <v>1</v>
      </c>
      <c r="M363" s="248" t="s">
        <v>2</v>
      </c>
      <c r="N363" s="52">
        <v>45122.417974537035</v>
      </c>
      <c r="O363" s="53" t="s">
        <v>49</v>
      </c>
      <c r="P363" s="54" t="s">
        <v>603</v>
      </c>
      <c r="R363" s="210">
        <v>2</v>
      </c>
      <c r="S363" s="210">
        <v>1</v>
      </c>
      <c r="T363" s="56">
        <v>1.4543570790972029</v>
      </c>
      <c r="U363" s="57">
        <v>1.2309997081756592</v>
      </c>
      <c r="V363" s="215">
        <v>0.42215312102008118</v>
      </c>
      <c r="W363" s="494">
        <v>0.25711536050969014</v>
      </c>
      <c r="X363" s="494">
        <v>0.31966385245323181</v>
      </c>
      <c r="Y363" s="59">
        <v>1</v>
      </c>
      <c r="Z363" s="60">
        <v>1</v>
      </c>
      <c r="AA363" s="61"/>
      <c r="AB363" s="62"/>
      <c r="AC363" s="39">
        <f t="shared" si="15"/>
        <v>45066.375</v>
      </c>
      <c r="AD363" s="495">
        <f t="shared" si="16"/>
        <v>45066.333333333328</v>
      </c>
      <c r="AE363" s="40">
        <f t="shared" si="17"/>
        <v>45066.291666666664</v>
      </c>
    </row>
    <row r="364" spans="1:31" ht="21" customHeight="1" thickBot="1" x14ac:dyDescent="0.3">
      <c r="A364" s="445">
        <v>37</v>
      </c>
      <c r="B364" s="220">
        <v>45066</v>
      </c>
      <c r="C364" s="228">
        <v>45066.416666666664</v>
      </c>
      <c r="D364" s="493">
        <v>45066.625</v>
      </c>
      <c r="E364" s="493">
        <v>45066.666666666664</v>
      </c>
      <c r="F364" s="493">
        <v>45066.708333333336</v>
      </c>
      <c r="G364" s="258">
        <v>45066.708333333336</v>
      </c>
      <c r="H364" s="226" t="s">
        <v>261</v>
      </c>
      <c r="I364" s="223" t="s">
        <v>63</v>
      </c>
      <c r="J364" s="243" t="s">
        <v>16</v>
      </c>
      <c r="K364" s="497">
        <v>1</v>
      </c>
      <c r="L364" s="497">
        <v>1</v>
      </c>
      <c r="M364" s="248" t="s">
        <v>7</v>
      </c>
      <c r="N364" s="52">
        <v>45122.417974537035</v>
      </c>
      <c r="O364" s="53" t="s">
        <v>49</v>
      </c>
      <c r="P364" s="54" t="s">
        <v>603</v>
      </c>
      <c r="R364" s="210">
        <v>2</v>
      </c>
      <c r="S364" s="210">
        <v>1</v>
      </c>
      <c r="T364" s="56">
        <v>1.4530997276306152</v>
      </c>
      <c r="U364" s="57">
        <v>0.95228546857833862</v>
      </c>
      <c r="V364" s="215">
        <v>0.48647365270535364</v>
      </c>
      <c r="W364" s="494">
        <v>0.26553102031769016</v>
      </c>
      <c r="X364" s="494">
        <v>0.2471621036529541</v>
      </c>
      <c r="Y364" s="59">
        <v>1</v>
      </c>
      <c r="Z364" s="60">
        <v>1</v>
      </c>
      <c r="AA364" s="61"/>
      <c r="AB364" s="62"/>
      <c r="AC364" s="39">
        <f t="shared" si="15"/>
        <v>45066.375</v>
      </c>
      <c r="AD364" s="495">
        <f t="shared" si="16"/>
        <v>45066.333333333328</v>
      </c>
      <c r="AE364" s="40">
        <f t="shared" si="17"/>
        <v>45066.291666666664</v>
      </c>
    </row>
    <row r="365" spans="1:31" ht="21" customHeight="1" thickBot="1" x14ac:dyDescent="0.3">
      <c r="A365" s="445">
        <v>37</v>
      </c>
      <c r="B365" s="220">
        <v>45066</v>
      </c>
      <c r="C365" s="228">
        <v>45066.520833333336</v>
      </c>
      <c r="D365" s="493">
        <v>45066.729166666664</v>
      </c>
      <c r="E365" s="493">
        <v>45066.770833333336</v>
      </c>
      <c r="F365" s="493">
        <v>45066.8125</v>
      </c>
      <c r="G365" s="258">
        <v>45066.8125</v>
      </c>
      <c r="H365" s="226" t="s">
        <v>536</v>
      </c>
      <c r="I365" s="223" t="s">
        <v>436</v>
      </c>
      <c r="J365" s="243" t="s">
        <v>204</v>
      </c>
      <c r="K365" s="497">
        <v>1</v>
      </c>
      <c r="L365" s="497">
        <v>0</v>
      </c>
      <c r="M365" s="248" t="s">
        <v>1</v>
      </c>
      <c r="N365" s="52">
        <v>45122.417974537035</v>
      </c>
      <c r="O365" s="53" t="s">
        <v>49</v>
      </c>
      <c r="P365" s="54" t="s">
        <v>603</v>
      </c>
      <c r="R365" s="210">
        <v>0</v>
      </c>
      <c r="S365" s="210">
        <v>2</v>
      </c>
      <c r="T365" s="56">
        <v>0.78209972381591797</v>
      </c>
      <c r="U365" s="57">
        <v>1.9894282817840576</v>
      </c>
      <c r="V365" s="215">
        <v>0.13824851715974351</v>
      </c>
      <c r="W365" s="494">
        <v>0.20500675396472284</v>
      </c>
      <c r="X365" s="494">
        <v>0.65231883525848389</v>
      </c>
      <c r="Y365" s="59">
        <v>1</v>
      </c>
      <c r="Z365" s="60">
        <v>0</v>
      </c>
      <c r="AA365" s="61"/>
      <c r="AB365" s="62"/>
      <c r="AC365" s="39">
        <f t="shared" si="15"/>
        <v>45066.479166666672</v>
      </c>
      <c r="AD365" s="495">
        <f t="shared" si="16"/>
        <v>45066.4375</v>
      </c>
      <c r="AE365" s="40">
        <f t="shared" si="17"/>
        <v>45066.395833333336</v>
      </c>
    </row>
    <row r="366" spans="1:31" ht="21" customHeight="1" thickBot="1" x14ac:dyDescent="0.3">
      <c r="A366" s="445">
        <v>37</v>
      </c>
      <c r="B366" s="220">
        <v>45067</v>
      </c>
      <c r="C366" s="228">
        <v>45067.354166666664</v>
      </c>
      <c r="D366" s="493">
        <v>45067.5625</v>
      </c>
      <c r="E366" s="493">
        <v>45067.604166666664</v>
      </c>
      <c r="F366" s="493">
        <v>45067.645833333336</v>
      </c>
      <c r="G366" s="258">
        <v>45067.645833333336</v>
      </c>
      <c r="H366" s="226" t="s">
        <v>328</v>
      </c>
      <c r="I366" s="223" t="s">
        <v>50</v>
      </c>
      <c r="J366" s="243" t="s">
        <v>15</v>
      </c>
      <c r="K366" s="497">
        <v>3</v>
      </c>
      <c r="L366" s="497">
        <v>1</v>
      </c>
      <c r="M366" s="248" t="s">
        <v>139</v>
      </c>
      <c r="N366" s="52">
        <v>45122.417974537035</v>
      </c>
      <c r="O366" s="53" t="s">
        <v>49</v>
      </c>
      <c r="P366" s="54" t="s">
        <v>603</v>
      </c>
      <c r="R366" s="210">
        <v>2</v>
      </c>
      <c r="S366" s="210">
        <v>1</v>
      </c>
      <c r="T366" s="56">
        <v>1.8050997257232666</v>
      </c>
      <c r="U366" s="57">
        <v>1.1909997463226318</v>
      </c>
      <c r="V366" s="215">
        <v>0.51504575303344569</v>
      </c>
      <c r="W366" s="494">
        <v>0.23100749594110212</v>
      </c>
      <c r="X366" s="494">
        <v>0.25109779834747314</v>
      </c>
      <c r="Y366" s="59">
        <v>3</v>
      </c>
      <c r="Z366" s="60">
        <v>1</v>
      </c>
      <c r="AA366" s="61"/>
      <c r="AB366" s="62"/>
      <c r="AC366" s="39">
        <f t="shared" si="15"/>
        <v>45067.3125</v>
      </c>
      <c r="AD366" s="495">
        <f t="shared" si="16"/>
        <v>45067.270833333328</v>
      </c>
      <c r="AE366" s="40">
        <f t="shared" si="17"/>
        <v>45067.229166666664</v>
      </c>
    </row>
    <row r="367" spans="1:31" ht="21" customHeight="1" thickBot="1" x14ac:dyDescent="0.3">
      <c r="A367" s="445">
        <v>37</v>
      </c>
      <c r="B367" s="220">
        <v>45067</v>
      </c>
      <c r="C367" s="228">
        <v>45067.375</v>
      </c>
      <c r="D367" s="493">
        <v>45067.583333333336</v>
      </c>
      <c r="E367" s="493">
        <v>45067.625</v>
      </c>
      <c r="F367" s="493">
        <v>45067.666666666664</v>
      </c>
      <c r="G367" s="258">
        <v>45067.666666666664</v>
      </c>
      <c r="H367" s="226" t="s">
        <v>395</v>
      </c>
      <c r="I367" s="223" t="s">
        <v>151</v>
      </c>
      <c r="J367" s="243" t="s">
        <v>4</v>
      </c>
      <c r="K367" s="497">
        <v>3</v>
      </c>
      <c r="L367" s="497">
        <v>1</v>
      </c>
      <c r="M367" s="248" t="s">
        <v>13</v>
      </c>
      <c r="N367" s="52">
        <v>45122.417974537035</v>
      </c>
      <c r="O367" s="53" t="s">
        <v>49</v>
      </c>
      <c r="P367" s="54" t="s">
        <v>603</v>
      </c>
      <c r="R367" s="210">
        <v>1</v>
      </c>
      <c r="S367" s="210">
        <v>1</v>
      </c>
      <c r="T367" s="56">
        <v>0.91032855851309635</v>
      </c>
      <c r="U367" s="57">
        <v>0.77099978923797607</v>
      </c>
      <c r="V367" s="215">
        <v>0.36825228264229115</v>
      </c>
      <c r="W367" s="494">
        <v>0.34155221567958904</v>
      </c>
      <c r="X367" s="494">
        <v>0.29013246297836304</v>
      </c>
      <c r="Y367" s="59">
        <v>3</v>
      </c>
      <c r="Z367" s="60">
        <v>1</v>
      </c>
      <c r="AA367" s="61"/>
      <c r="AB367" s="62"/>
      <c r="AC367" s="39">
        <f t="shared" si="15"/>
        <v>45067.333333333336</v>
      </c>
      <c r="AD367" s="495">
        <f t="shared" si="16"/>
        <v>45067.291666666664</v>
      </c>
      <c r="AE367" s="40">
        <f t="shared" si="17"/>
        <v>45067.25</v>
      </c>
    </row>
    <row r="368" spans="1:31" ht="21" customHeight="1" thickBot="1" x14ac:dyDescent="0.3">
      <c r="A368" s="445">
        <v>37</v>
      </c>
      <c r="B368" s="220">
        <v>45067</v>
      </c>
      <c r="C368" s="228">
        <v>45067.458333333336</v>
      </c>
      <c r="D368" s="493">
        <v>45067.666666666664</v>
      </c>
      <c r="E368" s="493">
        <v>45067.708333333336</v>
      </c>
      <c r="F368" s="493">
        <v>45067.75</v>
      </c>
      <c r="G368" s="258">
        <v>45067.75</v>
      </c>
      <c r="H368" s="226" t="s">
        <v>326</v>
      </c>
      <c r="I368" s="223" t="s">
        <v>61</v>
      </c>
      <c r="J368" s="243" t="s">
        <v>10</v>
      </c>
      <c r="K368" s="497">
        <v>1</v>
      </c>
      <c r="L368" s="497">
        <v>0</v>
      </c>
      <c r="M368" s="248" t="s">
        <v>5</v>
      </c>
      <c r="N368" s="52">
        <v>45122.417974537035</v>
      </c>
      <c r="O368" s="53" t="s">
        <v>49</v>
      </c>
      <c r="P368" s="54" t="s">
        <v>603</v>
      </c>
      <c r="R368" s="210">
        <v>2</v>
      </c>
      <c r="S368" s="210">
        <v>1</v>
      </c>
      <c r="T368" s="56">
        <v>2.2890999317169189</v>
      </c>
      <c r="U368" s="57">
        <v>0.90099978446960449</v>
      </c>
      <c r="V368" s="215">
        <v>0.67673828270999781</v>
      </c>
      <c r="W368" s="494">
        <v>0.18129435139926942</v>
      </c>
      <c r="X368" s="494">
        <v>0.13278487324714661</v>
      </c>
      <c r="Y368" s="59">
        <v>1</v>
      </c>
      <c r="Z368" s="60">
        <v>0</v>
      </c>
      <c r="AA368" s="61"/>
      <c r="AB368" s="62"/>
      <c r="AC368" s="39">
        <f t="shared" si="15"/>
        <v>45067.416666666672</v>
      </c>
      <c r="AD368" s="495">
        <f t="shared" si="16"/>
        <v>45067.375</v>
      </c>
      <c r="AE368" s="40">
        <f t="shared" si="17"/>
        <v>45067.333333333336</v>
      </c>
    </row>
    <row r="369" spans="1:31" ht="21" customHeight="1" thickBot="1" x14ac:dyDescent="0.3">
      <c r="A369" s="445">
        <v>37</v>
      </c>
      <c r="B369" s="220">
        <v>45068</v>
      </c>
      <c r="C369" s="228">
        <v>45068.625</v>
      </c>
      <c r="D369" s="493">
        <v>45068.833333333336</v>
      </c>
      <c r="E369" s="493">
        <v>45068.875</v>
      </c>
      <c r="F369" s="493">
        <v>45068.916666666664</v>
      </c>
      <c r="G369" s="258">
        <v>45068.916666666664</v>
      </c>
      <c r="H369" s="226" t="s">
        <v>390</v>
      </c>
      <c r="I369" s="223" t="s">
        <v>55</v>
      </c>
      <c r="J369" s="243" t="s">
        <v>12</v>
      </c>
      <c r="K369" s="497">
        <v>0</v>
      </c>
      <c r="L369" s="497">
        <v>0</v>
      </c>
      <c r="M369" s="248" t="s">
        <v>8</v>
      </c>
      <c r="N369" s="52">
        <v>45122.417974537035</v>
      </c>
      <c r="O369" s="53" t="s">
        <v>49</v>
      </c>
      <c r="P369" s="54" t="s">
        <v>603</v>
      </c>
      <c r="R369" s="210">
        <v>1</v>
      </c>
      <c r="S369" s="210">
        <v>1</v>
      </c>
      <c r="T369" s="56">
        <v>1.0503428322928292</v>
      </c>
      <c r="U369" s="57">
        <v>1.0309997797012329</v>
      </c>
      <c r="V369" s="215">
        <v>0.35429186879259245</v>
      </c>
      <c r="W369" s="494">
        <v>0.30115718682289511</v>
      </c>
      <c r="X369" s="494">
        <v>0.34433820843696594</v>
      </c>
      <c r="Y369" s="59">
        <v>0</v>
      </c>
      <c r="Z369" s="60">
        <v>0</v>
      </c>
      <c r="AA369" s="61"/>
      <c r="AB369" s="62"/>
      <c r="AC369" s="39">
        <f t="shared" si="15"/>
        <v>45068.583333333336</v>
      </c>
      <c r="AD369" s="495">
        <f t="shared" si="16"/>
        <v>45068.541666666664</v>
      </c>
      <c r="AE369" s="40">
        <f t="shared" si="17"/>
        <v>45068.5</v>
      </c>
    </row>
    <row r="370" spans="1:31" ht="21" customHeight="1" thickBot="1" x14ac:dyDescent="0.3">
      <c r="A370" s="444">
        <v>32</v>
      </c>
      <c r="B370" s="219">
        <v>45070</v>
      </c>
      <c r="C370" s="230">
        <v>45070.625</v>
      </c>
      <c r="D370" s="256">
        <v>45070.833333333336</v>
      </c>
      <c r="E370" s="256">
        <v>45070.875</v>
      </c>
      <c r="F370" s="256">
        <v>45070.916666666664</v>
      </c>
      <c r="G370" s="257">
        <v>45070.916666666664</v>
      </c>
      <c r="H370" s="225" t="s">
        <v>250</v>
      </c>
      <c r="I370" s="222" t="s">
        <v>151</v>
      </c>
      <c r="J370" s="242" t="s">
        <v>4</v>
      </c>
      <c r="K370" s="497">
        <v>1</v>
      </c>
      <c r="L370" s="497">
        <v>1</v>
      </c>
      <c r="M370" s="247" t="s">
        <v>10</v>
      </c>
      <c r="N370" s="41">
        <v>45122.417974537035</v>
      </c>
      <c r="O370" s="42" t="s">
        <v>49</v>
      </c>
      <c r="P370" s="43" t="s">
        <v>603</v>
      </c>
      <c r="Q370" s="44"/>
      <c r="R370" s="212">
        <v>0</v>
      </c>
      <c r="S370" s="212">
        <v>1</v>
      </c>
      <c r="T370" s="45">
        <v>0.62275707721710205</v>
      </c>
      <c r="U370" s="46">
        <v>0.91757136583328247</v>
      </c>
      <c r="V370" s="213">
        <v>0.2371023171818068</v>
      </c>
      <c r="W370" s="214">
        <v>0.35541880931757208</v>
      </c>
      <c r="X370" s="214">
        <v>0.40742573142051697</v>
      </c>
      <c r="Y370" s="47">
        <v>1</v>
      </c>
      <c r="Z370" s="48">
        <v>1</v>
      </c>
      <c r="AA370" s="49"/>
      <c r="AB370" s="50"/>
      <c r="AC370" s="75">
        <f t="shared" si="15"/>
        <v>45070.583333333336</v>
      </c>
      <c r="AD370" s="76">
        <f t="shared" si="16"/>
        <v>45070.541666666664</v>
      </c>
      <c r="AE370" s="77">
        <f t="shared" si="17"/>
        <v>45070.5</v>
      </c>
    </row>
    <row r="371" spans="1:31" ht="21" customHeight="1" thickBot="1" x14ac:dyDescent="0.3">
      <c r="A371" s="446">
        <v>32</v>
      </c>
      <c r="B371" s="221">
        <v>45071</v>
      </c>
      <c r="C371" s="229">
        <v>45071.625</v>
      </c>
      <c r="D371" s="259">
        <v>45071.833333333336</v>
      </c>
      <c r="E371" s="259">
        <v>45071.875</v>
      </c>
      <c r="F371" s="259">
        <v>45071.916666666664</v>
      </c>
      <c r="G371" s="260">
        <v>45071.916666666664</v>
      </c>
      <c r="H371" s="227" t="s">
        <v>412</v>
      </c>
      <c r="I371" s="224" t="s">
        <v>56</v>
      </c>
      <c r="J371" s="244" t="s">
        <v>11</v>
      </c>
      <c r="K371" s="497">
        <v>4</v>
      </c>
      <c r="L371" s="497">
        <v>1</v>
      </c>
      <c r="M371" s="249" t="s">
        <v>5</v>
      </c>
      <c r="N371" s="67">
        <v>45122.417974537035</v>
      </c>
      <c r="O371" s="68" t="s">
        <v>49</v>
      </c>
      <c r="P371" s="69" t="s">
        <v>603</v>
      </c>
      <c r="Q371" s="70"/>
      <c r="R371" s="211">
        <v>1</v>
      </c>
      <c r="S371" s="211">
        <v>0</v>
      </c>
      <c r="T371" s="71">
        <v>1.1086427313940865</v>
      </c>
      <c r="U371" s="72">
        <v>0.75485700368881226</v>
      </c>
      <c r="V371" s="216">
        <v>0.43720913187861754</v>
      </c>
      <c r="W371" s="217">
        <v>0.31477401483205103</v>
      </c>
      <c r="X371" s="217">
        <v>0.24784646928310394</v>
      </c>
      <c r="Y371" s="73">
        <v>4</v>
      </c>
      <c r="Z371" s="74">
        <v>1</v>
      </c>
      <c r="AA371" s="78"/>
      <c r="AB371" s="79"/>
      <c r="AC371" s="64">
        <f t="shared" si="15"/>
        <v>45071.583333333336</v>
      </c>
      <c r="AD371" s="65">
        <f t="shared" si="16"/>
        <v>45071.541666666664</v>
      </c>
      <c r="AE371" s="66">
        <f t="shared" si="17"/>
        <v>45071.5</v>
      </c>
    </row>
    <row r="372" spans="1:31" ht="21" customHeight="1" thickBot="1" x14ac:dyDescent="0.3">
      <c r="A372" s="445">
        <v>38</v>
      </c>
      <c r="B372" s="220">
        <v>45074</v>
      </c>
      <c r="C372" s="228">
        <v>45074.479166666664</v>
      </c>
      <c r="D372" s="493">
        <v>45074.6875</v>
      </c>
      <c r="E372" s="493">
        <v>45074.729166666664</v>
      </c>
      <c r="F372" s="493">
        <v>45074.770833333336</v>
      </c>
      <c r="G372" s="258">
        <v>45074.770833333336</v>
      </c>
      <c r="H372" s="226" t="s">
        <v>312</v>
      </c>
      <c r="I372" s="223" t="s">
        <v>57</v>
      </c>
      <c r="J372" s="243" t="s">
        <v>1</v>
      </c>
      <c r="K372" s="497">
        <v>5</v>
      </c>
      <c r="L372" s="497">
        <v>0</v>
      </c>
      <c r="M372" s="248" t="s">
        <v>16</v>
      </c>
      <c r="N372" s="52">
        <v>45122.417974537035</v>
      </c>
      <c r="O372" s="53" t="s">
        <v>49</v>
      </c>
      <c r="P372" s="54" t="s">
        <v>603</v>
      </c>
      <c r="R372" s="210">
        <v>2</v>
      </c>
      <c r="S372" s="210">
        <v>1</v>
      </c>
      <c r="T372" s="56">
        <v>2.1790997982025146</v>
      </c>
      <c r="U372" s="57">
        <v>0.8609997034072876</v>
      </c>
      <c r="V372" s="215">
        <v>0.667764132534864</v>
      </c>
      <c r="W372" s="494">
        <v>0.18954649661554124</v>
      </c>
      <c r="X372" s="494">
        <v>0.13555347919464111</v>
      </c>
      <c r="Y372" s="59">
        <v>5</v>
      </c>
      <c r="Z372" s="60">
        <v>0</v>
      </c>
      <c r="AA372" s="61"/>
      <c r="AB372" s="62"/>
      <c r="AC372" s="39">
        <f t="shared" si="15"/>
        <v>45074.4375</v>
      </c>
      <c r="AD372" s="495">
        <f t="shared" si="16"/>
        <v>45074.395833333328</v>
      </c>
      <c r="AE372" s="40">
        <f t="shared" si="17"/>
        <v>45074.354166666664</v>
      </c>
    </row>
    <row r="373" spans="1:31" ht="21" customHeight="1" thickBot="1" x14ac:dyDescent="0.3">
      <c r="A373" s="445">
        <v>38</v>
      </c>
      <c r="B373" s="220">
        <v>45074</v>
      </c>
      <c r="C373" s="228">
        <v>45074.479166666664</v>
      </c>
      <c r="D373" s="493">
        <v>45074.6875</v>
      </c>
      <c r="E373" s="493">
        <v>45074.729166666664</v>
      </c>
      <c r="F373" s="493">
        <v>45074.770833333336</v>
      </c>
      <c r="G373" s="258">
        <v>45074.770833333336</v>
      </c>
      <c r="H373" s="226" t="s">
        <v>268</v>
      </c>
      <c r="I373" s="223" t="s">
        <v>58</v>
      </c>
      <c r="J373" s="243" t="s">
        <v>2</v>
      </c>
      <c r="K373" s="497">
        <v>2</v>
      </c>
      <c r="L373" s="497">
        <v>1</v>
      </c>
      <c r="M373" s="248" t="s">
        <v>4</v>
      </c>
      <c r="N373" s="52">
        <v>45122.417974537035</v>
      </c>
      <c r="O373" s="53" t="s">
        <v>49</v>
      </c>
      <c r="P373" s="54" t="s">
        <v>603</v>
      </c>
      <c r="R373" s="210">
        <v>1</v>
      </c>
      <c r="S373" s="210">
        <v>1</v>
      </c>
      <c r="T373" s="56">
        <v>1.3210997581481934</v>
      </c>
      <c r="U373" s="57">
        <v>0.92628568410873413</v>
      </c>
      <c r="V373" s="215">
        <v>0.45715306971818281</v>
      </c>
      <c r="W373" s="494">
        <v>0.28036449546604619</v>
      </c>
      <c r="X373" s="494">
        <v>0.26198697090148926</v>
      </c>
      <c r="Y373" s="59">
        <v>2</v>
      </c>
      <c r="Z373" s="60">
        <v>1</v>
      </c>
      <c r="AA373" s="61"/>
      <c r="AB373" s="62"/>
      <c r="AC373" s="39">
        <f t="shared" si="15"/>
        <v>45074.4375</v>
      </c>
      <c r="AD373" s="495">
        <f t="shared" si="16"/>
        <v>45074.395833333328</v>
      </c>
      <c r="AE373" s="40">
        <f t="shared" si="17"/>
        <v>45074.354166666664</v>
      </c>
    </row>
    <row r="374" spans="1:31" ht="21" customHeight="1" thickBot="1" x14ac:dyDescent="0.3">
      <c r="A374" s="445">
        <v>38</v>
      </c>
      <c r="B374" s="220">
        <v>45074</v>
      </c>
      <c r="C374" s="228">
        <v>45074.479166666664</v>
      </c>
      <c r="D374" s="493">
        <v>45074.6875</v>
      </c>
      <c r="E374" s="493">
        <v>45074.729166666664</v>
      </c>
      <c r="F374" s="493">
        <v>45074.770833333336</v>
      </c>
      <c r="G374" s="258">
        <v>45074.770833333336</v>
      </c>
      <c r="H374" s="226" t="s">
        <v>313</v>
      </c>
      <c r="I374" s="223" t="s">
        <v>593</v>
      </c>
      <c r="J374" s="243" t="s">
        <v>125</v>
      </c>
      <c r="K374" s="497">
        <v>1</v>
      </c>
      <c r="L374" s="497">
        <v>0</v>
      </c>
      <c r="M374" s="248" t="s">
        <v>10</v>
      </c>
      <c r="N374" s="52">
        <v>45122.417974537035</v>
      </c>
      <c r="O374" s="53" t="s">
        <v>49</v>
      </c>
      <c r="P374" s="54" t="s">
        <v>603</v>
      </c>
      <c r="R374" s="210">
        <v>1</v>
      </c>
      <c r="S374" s="210">
        <v>1</v>
      </c>
      <c r="T374" s="56">
        <v>1.0790996551513672</v>
      </c>
      <c r="U374" s="57">
        <v>1.3377141952514648</v>
      </c>
      <c r="V374" s="215">
        <v>0.30120704749911492</v>
      </c>
      <c r="W374" s="494">
        <v>0.27261304145385812</v>
      </c>
      <c r="X374" s="494">
        <v>0.42557010054588318</v>
      </c>
      <c r="Y374" s="59">
        <v>1</v>
      </c>
      <c r="Z374" s="60">
        <v>0</v>
      </c>
      <c r="AA374" s="61"/>
      <c r="AB374" s="62"/>
      <c r="AC374" s="39">
        <f t="shared" si="15"/>
        <v>45074.4375</v>
      </c>
      <c r="AD374" s="495">
        <f t="shared" si="16"/>
        <v>45074.395833333328</v>
      </c>
      <c r="AE374" s="40">
        <f t="shared" si="17"/>
        <v>45074.354166666664</v>
      </c>
    </row>
    <row r="375" spans="1:31" ht="21" customHeight="1" thickBot="1" x14ac:dyDescent="0.3">
      <c r="A375" s="445">
        <v>38</v>
      </c>
      <c r="B375" s="220">
        <v>45074</v>
      </c>
      <c r="C375" s="228">
        <v>45074.479166666664</v>
      </c>
      <c r="D375" s="493">
        <v>45074.6875</v>
      </c>
      <c r="E375" s="493">
        <v>45074.729166666664</v>
      </c>
      <c r="F375" s="493">
        <v>45074.770833333336</v>
      </c>
      <c r="G375" s="258">
        <v>45074.770833333336</v>
      </c>
      <c r="H375" s="226" t="s">
        <v>366</v>
      </c>
      <c r="I375" s="223" t="s">
        <v>62</v>
      </c>
      <c r="J375" s="243" t="s">
        <v>5</v>
      </c>
      <c r="K375" s="497">
        <v>1</v>
      </c>
      <c r="L375" s="497">
        <v>1</v>
      </c>
      <c r="M375" s="248" t="s">
        <v>12</v>
      </c>
      <c r="N375" s="52">
        <v>45122.417974537035</v>
      </c>
      <c r="O375" s="53" t="s">
        <v>49</v>
      </c>
      <c r="P375" s="54" t="s">
        <v>603</v>
      </c>
      <c r="R375" s="210">
        <v>0</v>
      </c>
      <c r="S375" s="210">
        <v>1</v>
      </c>
      <c r="T375" s="56">
        <v>0.53318565232413151</v>
      </c>
      <c r="U375" s="57">
        <v>1.1151427030563354</v>
      </c>
      <c r="V375" s="215">
        <v>0.17585861619229107</v>
      </c>
      <c r="W375" s="494">
        <v>0.32491881177471266</v>
      </c>
      <c r="X375" s="494">
        <v>0.49905934929847717</v>
      </c>
      <c r="Y375" s="59">
        <v>1</v>
      </c>
      <c r="Z375" s="60">
        <v>1</v>
      </c>
      <c r="AA375" s="61"/>
      <c r="AB375" s="62"/>
      <c r="AC375" s="39">
        <f t="shared" si="15"/>
        <v>45074.4375</v>
      </c>
      <c r="AD375" s="495">
        <f t="shared" si="16"/>
        <v>45074.395833333328</v>
      </c>
      <c r="AE375" s="40">
        <f t="shared" si="17"/>
        <v>45074.354166666664</v>
      </c>
    </row>
    <row r="376" spans="1:31" ht="21" customHeight="1" thickBot="1" x14ac:dyDescent="0.3">
      <c r="A376" s="445">
        <v>38</v>
      </c>
      <c r="B376" s="220">
        <v>45074</v>
      </c>
      <c r="C376" s="228">
        <v>45074.479166666664</v>
      </c>
      <c r="D376" s="493">
        <v>45074.6875</v>
      </c>
      <c r="E376" s="493">
        <v>45074.729166666664</v>
      </c>
      <c r="F376" s="493">
        <v>45074.770833333336</v>
      </c>
      <c r="G376" s="258">
        <v>45074.770833333336</v>
      </c>
      <c r="H376" s="226" t="s">
        <v>537</v>
      </c>
      <c r="I376" s="223" t="s">
        <v>52</v>
      </c>
      <c r="J376" s="243" t="s">
        <v>6</v>
      </c>
      <c r="K376" s="497">
        <v>1</v>
      </c>
      <c r="L376" s="497">
        <v>1</v>
      </c>
      <c r="M376" s="248" t="s">
        <v>204</v>
      </c>
      <c r="N376" s="52">
        <v>45122.417974537035</v>
      </c>
      <c r="O376" s="53" t="s">
        <v>49</v>
      </c>
      <c r="P376" s="54" t="s">
        <v>603</v>
      </c>
      <c r="R376" s="210">
        <v>2</v>
      </c>
      <c r="S376" s="210">
        <v>0</v>
      </c>
      <c r="T376" s="56">
        <v>1.6840997934341431</v>
      </c>
      <c r="U376" s="57">
        <v>0.70099973678588867</v>
      </c>
      <c r="V376" s="215">
        <v>0.60855109355632897</v>
      </c>
      <c r="W376" s="494">
        <v>0.23740210333859862</v>
      </c>
      <c r="X376" s="494">
        <v>0.15225821733474731</v>
      </c>
      <c r="Y376" s="59">
        <v>1</v>
      </c>
      <c r="Z376" s="60">
        <v>1</v>
      </c>
      <c r="AA376" s="61"/>
      <c r="AB376" s="62"/>
      <c r="AC376" s="39">
        <f t="shared" si="15"/>
        <v>45074.4375</v>
      </c>
      <c r="AD376" s="495">
        <f t="shared" si="16"/>
        <v>45074.395833333328</v>
      </c>
      <c r="AE376" s="40">
        <f t="shared" si="17"/>
        <v>45074.354166666664</v>
      </c>
    </row>
    <row r="377" spans="1:31" ht="21" customHeight="1" thickBot="1" x14ac:dyDescent="0.3">
      <c r="A377" s="445">
        <v>38</v>
      </c>
      <c r="B377" s="220">
        <v>45074</v>
      </c>
      <c r="C377" s="228">
        <v>45074.479166666664</v>
      </c>
      <c r="D377" s="493">
        <v>45074.6875</v>
      </c>
      <c r="E377" s="493">
        <v>45074.729166666664</v>
      </c>
      <c r="F377" s="493">
        <v>45074.770833333336</v>
      </c>
      <c r="G377" s="258">
        <v>45074.770833333336</v>
      </c>
      <c r="H377" s="226" t="s">
        <v>538</v>
      </c>
      <c r="I377" s="223" t="s">
        <v>678</v>
      </c>
      <c r="J377" s="243" t="s">
        <v>7</v>
      </c>
      <c r="K377" s="497">
        <v>1</v>
      </c>
      <c r="L377" s="497">
        <v>0</v>
      </c>
      <c r="M377" s="248" t="s">
        <v>3</v>
      </c>
      <c r="N377" s="52">
        <v>45122.417974537035</v>
      </c>
      <c r="O377" s="53" t="s">
        <v>49</v>
      </c>
      <c r="P377" s="54" t="s">
        <v>603</v>
      </c>
      <c r="R377" s="210">
        <v>2</v>
      </c>
      <c r="S377" s="210">
        <v>2</v>
      </c>
      <c r="T377" s="56">
        <v>1.5190998315811157</v>
      </c>
      <c r="U377" s="57">
        <v>1.3909999132156372</v>
      </c>
      <c r="V377" s="215">
        <v>0.40419113800335404</v>
      </c>
      <c r="W377" s="494">
        <v>0.24670269927722693</v>
      </c>
      <c r="X377" s="494">
        <v>0.34751200675964355</v>
      </c>
      <c r="Y377" s="59">
        <v>1</v>
      </c>
      <c r="Z377" s="60">
        <v>0</v>
      </c>
      <c r="AA377" s="61"/>
      <c r="AB377" s="62"/>
      <c r="AC377" s="39">
        <f t="shared" si="15"/>
        <v>45074.4375</v>
      </c>
      <c r="AD377" s="495">
        <f t="shared" si="16"/>
        <v>45074.395833333328</v>
      </c>
      <c r="AE377" s="40">
        <f t="shared" si="17"/>
        <v>45074.354166666664</v>
      </c>
    </row>
    <row r="378" spans="1:31" ht="21" customHeight="1" thickBot="1" x14ac:dyDescent="0.3">
      <c r="A378" s="445">
        <v>38</v>
      </c>
      <c r="B378" s="220">
        <v>45074</v>
      </c>
      <c r="C378" s="228">
        <v>45074.479166666664</v>
      </c>
      <c r="D378" s="493">
        <v>45074.6875</v>
      </c>
      <c r="E378" s="493">
        <v>45074.729166666664</v>
      </c>
      <c r="F378" s="493">
        <v>45074.770833333336</v>
      </c>
      <c r="G378" s="258">
        <v>45074.770833333336</v>
      </c>
      <c r="H378" s="226" t="s">
        <v>356</v>
      </c>
      <c r="I378" s="223" t="s">
        <v>140</v>
      </c>
      <c r="J378" s="243" t="s">
        <v>139</v>
      </c>
      <c r="K378" s="497">
        <v>1</v>
      </c>
      <c r="L378" s="497">
        <v>4</v>
      </c>
      <c r="M378" s="248" t="s">
        <v>14</v>
      </c>
      <c r="N378" s="52">
        <v>45122.417974537035</v>
      </c>
      <c r="O378" s="53" t="s">
        <v>49</v>
      </c>
      <c r="P378" s="54" t="s">
        <v>603</v>
      </c>
      <c r="R378" s="210">
        <v>1</v>
      </c>
      <c r="S378" s="210">
        <v>2</v>
      </c>
      <c r="T378" s="56">
        <v>1.4200997352600098</v>
      </c>
      <c r="U378" s="57">
        <v>1.9109998941421509</v>
      </c>
      <c r="V378" s="215">
        <v>0.2861339691456769</v>
      </c>
      <c r="W378" s="494">
        <v>0.22222196166706537</v>
      </c>
      <c r="X378" s="494">
        <v>0.48741567134857178</v>
      </c>
      <c r="Y378" s="59">
        <v>1</v>
      </c>
      <c r="Z378" s="60">
        <v>4</v>
      </c>
      <c r="AA378" s="61"/>
      <c r="AB378" s="62"/>
      <c r="AC378" s="39">
        <f t="shared" si="15"/>
        <v>45074.4375</v>
      </c>
      <c r="AD378" s="495">
        <f t="shared" si="16"/>
        <v>45074.395833333328</v>
      </c>
      <c r="AE378" s="40">
        <f t="shared" si="17"/>
        <v>45074.354166666664</v>
      </c>
    </row>
    <row r="379" spans="1:31" ht="21" customHeight="1" thickBot="1" x14ac:dyDescent="0.3">
      <c r="A379" s="445">
        <v>38</v>
      </c>
      <c r="B379" s="220">
        <v>45074</v>
      </c>
      <c r="C379" s="228">
        <v>45074.479166666664</v>
      </c>
      <c r="D379" s="493">
        <v>45074.6875</v>
      </c>
      <c r="E379" s="493">
        <v>45074.729166666664</v>
      </c>
      <c r="F379" s="493">
        <v>45074.770833333336</v>
      </c>
      <c r="G379" s="258">
        <v>45074.770833333336</v>
      </c>
      <c r="H379" s="226" t="s">
        <v>344</v>
      </c>
      <c r="I379" s="223" t="s">
        <v>54</v>
      </c>
      <c r="J379" s="243" t="s">
        <v>8</v>
      </c>
      <c r="K379" s="497">
        <v>2</v>
      </c>
      <c r="L379" s="497">
        <v>1</v>
      </c>
      <c r="M379" s="248" t="s">
        <v>15</v>
      </c>
      <c r="N379" s="52">
        <v>45122.417974537035</v>
      </c>
      <c r="O379" s="53" t="s">
        <v>49</v>
      </c>
      <c r="P379" s="54" t="s">
        <v>603</v>
      </c>
      <c r="R379" s="210">
        <v>1</v>
      </c>
      <c r="S379" s="210">
        <v>1</v>
      </c>
      <c r="T379" s="56">
        <v>1.13237122126988</v>
      </c>
      <c r="U379" s="57">
        <v>1.4009996652603149</v>
      </c>
      <c r="V379" s="215">
        <v>0.30385459536137838</v>
      </c>
      <c r="W379" s="494">
        <v>0.26503055096217409</v>
      </c>
      <c r="X379" s="494">
        <v>0.43031278252601624</v>
      </c>
      <c r="Y379" s="59">
        <v>2</v>
      </c>
      <c r="Z379" s="60">
        <v>1</v>
      </c>
      <c r="AA379" s="61"/>
      <c r="AB379" s="62"/>
      <c r="AC379" s="39">
        <f t="shared" si="15"/>
        <v>45074.4375</v>
      </c>
      <c r="AD379" s="495">
        <f t="shared" si="16"/>
        <v>45074.395833333328</v>
      </c>
      <c r="AE379" s="40">
        <f t="shared" si="17"/>
        <v>45074.354166666664</v>
      </c>
    </row>
    <row r="380" spans="1:31" ht="21" customHeight="1" thickBot="1" x14ac:dyDescent="0.3">
      <c r="A380" s="445">
        <v>38</v>
      </c>
      <c r="B380" s="220">
        <v>45074</v>
      </c>
      <c r="C380" s="228">
        <v>45074.479166666664</v>
      </c>
      <c r="D380" s="493">
        <v>45074.6875</v>
      </c>
      <c r="E380" s="493">
        <v>45074.729166666664</v>
      </c>
      <c r="F380" s="493">
        <v>45074.770833333336</v>
      </c>
      <c r="G380" s="258">
        <v>45074.770833333336</v>
      </c>
      <c r="H380" s="226" t="s">
        <v>539</v>
      </c>
      <c r="I380" s="223" t="s">
        <v>56</v>
      </c>
      <c r="J380" s="243" t="s">
        <v>11</v>
      </c>
      <c r="K380" s="497">
        <v>2</v>
      </c>
      <c r="L380" s="497">
        <v>1</v>
      </c>
      <c r="M380" s="248" t="s">
        <v>126</v>
      </c>
      <c r="N380" s="52">
        <v>45122.417974537035</v>
      </c>
      <c r="O380" s="53" t="s">
        <v>49</v>
      </c>
      <c r="P380" s="54" t="s">
        <v>603</v>
      </c>
      <c r="R380" s="210">
        <v>1</v>
      </c>
      <c r="S380" s="210">
        <v>1</v>
      </c>
      <c r="T380" s="56">
        <v>0.85375704084123882</v>
      </c>
      <c r="U380" s="57">
        <v>1.180999755859375</v>
      </c>
      <c r="V380" s="215">
        <v>0.26546786371574049</v>
      </c>
      <c r="W380" s="494">
        <v>0.29969582288824015</v>
      </c>
      <c r="X380" s="494">
        <v>0.43457683920860291</v>
      </c>
      <c r="Y380" s="59">
        <v>2</v>
      </c>
      <c r="Z380" s="60">
        <v>1</v>
      </c>
      <c r="AA380" s="61"/>
      <c r="AB380" s="62"/>
      <c r="AC380" s="39">
        <f t="shared" si="15"/>
        <v>45074.4375</v>
      </c>
      <c r="AD380" s="495">
        <f t="shared" si="16"/>
        <v>45074.395833333328</v>
      </c>
      <c r="AE380" s="40">
        <f t="shared" si="17"/>
        <v>45074.354166666664</v>
      </c>
    </row>
    <row r="381" spans="1:31" ht="21" customHeight="1" thickBot="1" x14ac:dyDescent="0.3">
      <c r="A381" s="446">
        <v>38</v>
      </c>
      <c r="B381" s="221">
        <v>45074</v>
      </c>
      <c r="C381" s="229">
        <v>45074.479166666664</v>
      </c>
      <c r="D381" s="259">
        <v>45074.6875</v>
      </c>
      <c r="E381" s="259">
        <v>45074.729166666664</v>
      </c>
      <c r="F381" s="259">
        <v>45074.770833333336</v>
      </c>
      <c r="G381" s="260">
        <v>45074.770833333336</v>
      </c>
      <c r="H381" s="227" t="s">
        <v>202</v>
      </c>
      <c r="I381" s="224" t="s">
        <v>60</v>
      </c>
      <c r="J381" s="244" t="s">
        <v>13</v>
      </c>
      <c r="K381" s="498">
        <v>4</v>
      </c>
      <c r="L381" s="498">
        <v>4</v>
      </c>
      <c r="M381" s="249" t="s">
        <v>9</v>
      </c>
      <c r="N381" s="67">
        <v>45122.417974537035</v>
      </c>
      <c r="O381" s="68" t="s">
        <v>49</v>
      </c>
      <c r="P381" s="69" t="s">
        <v>603</v>
      </c>
      <c r="Q381" s="70"/>
      <c r="R381" s="211">
        <v>1</v>
      </c>
      <c r="S381" s="211">
        <v>2</v>
      </c>
      <c r="T381" s="71">
        <v>0.88109976053237915</v>
      </c>
      <c r="U381" s="72">
        <v>2.1609997749328613</v>
      </c>
      <c r="V381" s="216">
        <v>0.14111377233365799</v>
      </c>
      <c r="W381" s="217">
        <v>0.19221819155892111</v>
      </c>
      <c r="X381" s="217">
        <v>0.65982681512832642</v>
      </c>
      <c r="Y381" s="73">
        <v>4</v>
      </c>
      <c r="Z381" s="74">
        <v>4</v>
      </c>
      <c r="AA381" s="78"/>
      <c r="AB381" s="79"/>
      <c r="AC381" s="64">
        <f>IF(C381&lt;&gt;"TBC",C381-1/24,"TBC")</f>
        <v>45074.4375</v>
      </c>
      <c r="AD381" s="65">
        <f>IF(C381&lt;&gt;"TBC",C381-1/12,"TBC")</f>
        <v>45074.395833333328</v>
      </c>
      <c r="AE381" s="66">
        <f>IF(C381&lt;&gt;"TBC",C381-1/8,"TBC")</f>
        <v>45074.354166666664</v>
      </c>
    </row>
    <row r="382" spans="1:31" ht="21" customHeight="1" x14ac:dyDescent="0.25">
      <c r="P382" s="82"/>
    </row>
    <row r="386" spans="11:28" ht="21" customHeight="1" x14ac:dyDescent="0.25">
      <c r="K386" s="86"/>
      <c r="L386" s="86"/>
      <c r="T386" s="87"/>
      <c r="U386" s="87"/>
      <c r="AA386" s="87"/>
      <c r="AB386" s="87"/>
    </row>
  </sheetData>
  <sheetProtection algorithmName="SHA-512" hashValue="tXY/PCzNEX3cgA7i1b20aJnlRPL+nV1qnFZ1Rf2+tKwzeJLV3dNgD+7C/1+k+9Dae2XLDc6yVYloUi/4sbMyrg==" saltValue="ATo58a1uHuiLZfSXd8yxig==" spinCount="100000" sheet="1" objects="1" scenarios="1"/>
  <dataValidations xWindow="1092" yWindow="661" count="1">
    <dataValidation type="whole" allowBlank="1" showInputMessage="1" showErrorMessage="1" prompt="Input score between 0 and 10" sqref="K2:L381" xr:uid="{00000000-0002-0000-0500-000000000000}">
      <formula1>0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Q381"/>
  <sheetViews>
    <sheetView workbookViewId="0">
      <selection activeCell="N2" sqref="N2"/>
    </sheetView>
  </sheetViews>
  <sheetFormatPr defaultRowHeight="15" x14ac:dyDescent="0.25"/>
  <cols>
    <col min="1" max="1" width="12.5703125" bestFit="1" customWidth="1"/>
    <col min="2" max="2" width="13" bestFit="1" customWidth="1"/>
    <col min="3" max="3" width="18.28515625" bestFit="1" customWidth="1"/>
    <col min="4" max="4" width="19.28515625" bestFit="1" customWidth="1"/>
    <col min="5" max="5" width="18.42578125" bestFit="1" customWidth="1"/>
    <col min="6" max="6" width="18.28515625" bestFit="1" customWidth="1"/>
    <col min="7" max="7" width="19.28515625" bestFit="1" customWidth="1"/>
    <col min="8" max="8" width="33.28515625" bestFit="1" customWidth="1"/>
    <col min="9" max="9" width="26.42578125" bestFit="1" customWidth="1"/>
    <col min="10" max="10" width="17.85546875" bestFit="1" customWidth="1"/>
    <col min="11" max="11" width="13.140625" bestFit="1" customWidth="1"/>
    <col min="12" max="12" width="12.7109375" bestFit="1" customWidth="1"/>
    <col min="13" max="13" width="17.85546875" bestFit="1" customWidth="1"/>
    <col min="14" max="14" width="18.7109375" bestFit="1" customWidth="1"/>
    <col min="15" max="15" width="17.42578125" bestFit="1" customWidth="1"/>
    <col min="16" max="16" width="10.28515625" bestFit="1" customWidth="1"/>
    <col min="17" max="17" width="7.85546875" bestFit="1" customWidth="1"/>
  </cols>
  <sheetData>
    <row r="1" spans="1:17" x14ac:dyDescent="0.25">
      <c r="A1" t="s">
        <v>102</v>
      </c>
      <c r="B1" t="s">
        <v>103</v>
      </c>
      <c r="C1" t="s">
        <v>28</v>
      </c>
      <c r="D1" t="s">
        <v>135</v>
      </c>
      <c r="E1" t="s">
        <v>136</v>
      </c>
      <c r="F1" t="s">
        <v>137</v>
      </c>
      <c r="G1" t="s">
        <v>138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104</v>
      </c>
    </row>
    <row r="2" spans="1:17" x14ac:dyDescent="0.25">
      <c r="A2">
        <v>1</v>
      </c>
      <c r="B2" s="140">
        <v>44778</v>
      </c>
      <c r="C2" s="141">
        <v>44778.625</v>
      </c>
      <c r="D2" s="141">
        <v>44778.833333333336</v>
      </c>
      <c r="E2" s="141">
        <v>44778.875</v>
      </c>
      <c r="F2" s="141">
        <v>44778.916666666664</v>
      </c>
      <c r="G2" s="141">
        <v>44778.916666666664</v>
      </c>
      <c r="H2" t="s">
        <v>191</v>
      </c>
      <c r="I2" t="s">
        <v>52</v>
      </c>
      <c r="J2" t="s">
        <v>6</v>
      </c>
      <c r="K2">
        <v>0</v>
      </c>
      <c r="L2">
        <v>2</v>
      </c>
      <c r="M2" t="s">
        <v>1</v>
      </c>
      <c r="N2" s="141">
        <v>45122.343842592592</v>
      </c>
      <c r="O2" t="s">
        <v>49</v>
      </c>
      <c r="P2" t="s">
        <v>603</v>
      </c>
      <c r="Q2" t="s">
        <v>677</v>
      </c>
    </row>
    <row r="3" spans="1:17" x14ac:dyDescent="0.25">
      <c r="A3">
        <v>1</v>
      </c>
      <c r="B3" s="140">
        <v>44779</v>
      </c>
      <c r="C3" s="141">
        <v>44779.3125</v>
      </c>
      <c r="D3" s="141">
        <v>44779.520833333336</v>
      </c>
      <c r="E3" s="141">
        <v>44779.5625</v>
      </c>
      <c r="F3" s="141">
        <v>44779.604166666664</v>
      </c>
      <c r="G3" s="141">
        <v>44779.604166666664</v>
      </c>
      <c r="H3" t="s">
        <v>430</v>
      </c>
      <c r="I3" t="s">
        <v>431</v>
      </c>
      <c r="J3" t="s">
        <v>126</v>
      </c>
      <c r="K3">
        <v>2</v>
      </c>
      <c r="L3">
        <v>2</v>
      </c>
      <c r="M3" t="s">
        <v>9</v>
      </c>
      <c r="N3" s="141">
        <v>45122.343842592592</v>
      </c>
      <c r="O3" t="s">
        <v>49</v>
      </c>
      <c r="P3" t="s">
        <v>603</v>
      </c>
      <c r="Q3" t="s">
        <v>677</v>
      </c>
    </row>
    <row r="4" spans="1:17" x14ac:dyDescent="0.25">
      <c r="A4">
        <v>1</v>
      </c>
      <c r="B4" s="140">
        <v>44779</v>
      </c>
      <c r="C4" s="141">
        <v>44779.416666666664</v>
      </c>
      <c r="D4" s="141">
        <v>44779.625</v>
      </c>
      <c r="E4" s="141">
        <v>44779.666666666664</v>
      </c>
      <c r="F4" s="141">
        <v>44779.708333333336</v>
      </c>
      <c r="G4" s="141">
        <v>44779.708333333336</v>
      </c>
      <c r="H4" t="s">
        <v>432</v>
      </c>
      <c r="I4" t="s">
        <v>51</v>
      </c>
      <c r="J4" t="s">
        <v>3</v>
      </c>
      <c r="K4">
        <v>2</v>
      </c>
      <c r="L4">
        <v>0</v>
      </c>
      <c r="M4" t="s">
        <v>2</v>
      </c>
      <c r="N4" s="141">
        <v>45122.343842592592</v>
      </c>
      <c r="O4" t="s">
        <v>49</v>
      </c>
      <c r="P4" t="s">
        <v>603</v>
      </c>
      <c r="Q4" t="s">
        <v>677</v>
      </c>
    </row>
    <row r="5" spans="1:17" x14ac:dyDescent="0.25">
      <c r="A5">
        <v>1</v>
      </c>
      <c r="B5" s="140">
        <v>44779</v>
      </c>
      <c r="C5" s="141">
        <v>44779.416666666664</v>
      </c>
      <c r="D5" s="141">
        <v>44779.625</v>
      </c>
      <c r="E5" s="141">
        <v>44779.666666666664</v>
      </c>
      <c r="F5" s="141">
        <v>44779.708333333336</v>
      </c>
      <c r="G5" s="141">
        <v>44779.708333333336</v>
      </c>
      <c r="H5" t="s">
        <v>252</v>
      </c>
      <c r="I5" t="s">
        <v>140</v>
      </c>
      <c r="J5" t="s">
        <v>139</v>
      </c>
      <c r="K5">
        <v>2</v>
      </c>
      <c r="L5">
        <v>1</v>
      </c>
      <c r="M5" t="s">
        <v>16</v>
      </c>
      <c r="N5" s="141">
        <v>45122.343842592592</v>
      </c>
      <c r="O5" t="s">
        <v>49</v>
      </c>
      <c r="P5" t="s">
        <v>603</v>
      </c>
      <c r="Q5" t="s">
        <v>677</v>
      </c>
    </row>
    <row r="6" spans="1:17" x14ac:dyDescent="0.25">
      <c r="A6">
        <v>1</v>
      </c>
      <c r="B6" s="140">
        <v>44779</v>
      </c>
      <c r="C6" s="141">
        <v>44779.416666666664</v>
      </c>
      <c r="D6" s="141">
        <v>44779.625</v>
      </c>
      <c r="E6" s="141">
        <v>44779.666666666664</v>
      </c>
      <c r="F6" s="141">
        <v>44779.708333333336</v>
      </c>
      <c r="G6" s="141">
        <v>44779.708333333336</v>
      </c>
      <c r="H6" t="s">
        <v>433</v>
      </c>
      <c r="I6" t="s">
        <v>55</v>
      </c>
      <c r="J6" t="s">
        <v>12</v>
      </c>
      <c r="K6">
        <v>2</v>
      </c>
      <c r="L6">
        <v>0</v>
      </c>
      <c r="M6" t="s">
        <v>204</v>
      </c>
      <c r="N6" s="141">
        <v>45122.343842592592</v>
      </c>
      <c r="O6" t="s">
        <v>49</v>
      </c>
      <c r="P6" t="s">
        <v>603</v>
      </c>
      <c r="Q6" t="s">
        <v>677</v>
      </c>
    </row>
    <row r="7" spans="1:17" x14ac:dyDescent="0.25">
      <c r="A7">
        <v>1</v>
      </c>
      <c r="B7" s="140">
        <v>44779</v>
      </c>
      <c r="C7" s="141">
        <v>44779.416666666664</v>
      </c>
      <c r="D7" s="141">
        <v>44779.625</v>
      </c>
      <c r="E7" s="141">
        <v>44779.666666666664</v>
      </c>
      <c r="F7" s="141">
        <v>44779.708333333336</v>
      </c>
      <c r="G7" s="141">
        <v>44779.708333333336</v>
      </c>
      <c r="H7" t="s">
        <v>340</v>
      </c>
      <c r="I7" t="s">
        <v>53</v>
      </c>
      <c r="J7" t="s">
        <v>14</v>
      </c>
      <c r="K7">
        <v>4</v>
      </c>
      <c r="L7">
        <v>1</v>
      </c>
      <c r="M7" t="s">
        <v>13</v>
      </c>
      <c r="N7" s="141">
        <v>45122.343842592592</v>
      </c>
      <c r="O7" t="s">
        <v>49</v>
      </c>
      <c r="P7" t="s">
        <v>603</v>
      </c>
      <c r="Q7" t="s">
        <v>677</v>
      </c>
    </row>
    <row r="8" spans="1:17" x14ac:dyDescent="0.25">
      <c r="A8">
        <v>1</v>
      </c>
      <c r="B8" s="140">
        <v>44779</v>
      </c>
      <c r="C8" s="141">
        <v>44779.520833333336</v>
      </c>
      <c r="D8" s="141">
        <v>44779.729166666664</v>
      </c>
      <c r="E8" s="141">
        <v>44779.770833333336</v>
      </c>
      <c r="F8" s="141">
        <v>44779.8125</v>
      </c>
      <c r="G8" s="141">
        <v>44779.8125</v>
      </c>
      <c r="H8" t="s">
        <v>197</v>
      </c>
      <c r="I8" t="s">
        <v>59</v>
      </c>
      <c r="J8" t="s">
        <v>7</v>
      </c>
      <c r="K8">
        <v>0</v>
      </c>
      <c r="L8">
        <v>1</v>
      </c>
      <c r="M8" t="s">
        <v>5</v>
      </c>
      <c r="N8" s="141">
        <v>45122.343842592592</v>
      </c>
      <c r="O8" t="s">
        <v>49</v>
      </c>
      <c r="P8" t="s">
        <v>603</v>
      </c>
      <c r="Q8" t="s">
        <v>677</v>
      </c>
    </row>
    <row r="9" spans="1:17" x14ac:dyDescent="0.25">
      <c r="A9">
        <v>1</v>
      </c>
      <c r="B9" s="140">
        <v>44780</v>
      </c>
      <c r="C9" s="141">
        <v>44780.375</v>
      </c>
      <c r="D9" s="141">
        <v>44780.583333333336</v>
      </c>
      <c r="E9" s="141">
        <v>44780.625</v>
      </c>
      <c r="F9" s="141">
        <v>44780.666666666664</v>
      </c>
      <c r="G9" s="141">
        <v>44780.666666666664</v>
      </c>
      <c r="H9" t="s">
        <v>371</v>
      </c>
      <c r="I9" t="s">
        <v>54</v>
      </c>
      <c r="J9" t="s">
        <v>8</v>
      </c>
      <c r="K9">
        <v>2</v>
      </c>
      <c r="L9">
        <v>2</v>
      </c>
      <c r="M9" t="s">
        <v>125</v>
      </c>
      <c r="N9" s="141">
        <v>45122.343842592592</v>
      </c>
      <c r="O9" t="s">
        <v>49</v>
      </c>
      <c r="P9" t="s">
        <v>603</v>
      </c>
      <c r="Q9" t="s">
        <v>677</v>
      </c>
    </row>
    <row r="10" spans="1:17" x14ac:dyDescent="0.25">
      <c r="A10">
        <v>1</v>
      </c>
      <c r="B10" s="140">
        <v>44780</v>
      </c>
      <c r="C10" s="141">
        <v>44780.375</v>
      </c>
      <c r="D10" s="141">
        <v>44780.583333333336</v>
      </c>
      <c r="E10" s="141">
        <v>44780.625</v>
      </c>
      <c r="F10" s="141">
        <v>44780.666666666664</v>
      </c>
      <c r="G10" s="141">
        <v>44780.666666666664</v>
      </c>
      <c r="H10" t="s">
        <v>302</v>
      </c>
      <c r="I10" t="s">
        <v>56</v>
      </c>
      <c r="J10" t="s">
        <v>11</v>
      </c>
      <c r="K10">
        <v>1</v>
      </c>
      <c r="L10">
        <v>2</v>
      </c>
      <c r="M10" t="s">
        <v>4</v>
      </c>
      <c r="N10" s="141">
        <v>45122.343842592592</v>
      </c>
      <c r="O10" t="s">
        <v>49</v>
      </c>
      <c r="P10" t="s">
        <v>603</v>
      </c>
      <c r="Q10" t="s">
        <v>677</v>
      </c>
    </row>
    <row r="11" spans="1:17" x14ac:dyDescent="0.25">
      <c r="A11">
        <v>1</v>
      </c>
      <c r="B11" s="140">
        <v>44780</v>
      </c>
      <c r="C11" s="141">
        <v>44780.479166666664</v>
      </c>
      <c r="D11" s="141">
        <v>44780.6875</v>
      </c>
      <c r="E11" s="141">
        <v>44780.729166666664</v>
      </c>
      <c r="F11" s="141">
        <v>44780.770833333336</v>
      </c>
      <c r="G11" s="141">
        <v>44780.770833333336</v>
      </c>
      <c r="H11" t="s">
        <v>414</v>
      </c>
      <c r="I11" t="s">
        <v>50</v>
      </c>
      <c r="J11" t="s">
        <v>15</v>
      </c>
      <c r="K11">
        <v>0</v>
      </c>
      <c r="L11">
        <v>2</v>
      </c>
      <c r="M11" t="s">
        <v>10</v>
      </c>
      <c r="N11" s="141">
        <v>45122.343842592592</v>
      </c>
      <c r="O11" t="s">
        <v>49</v>
      </c>
      <c r="P11" t="s">
        <v>603</v>
      </c>
      <c r="Q11" t="s">
        <v>677</v>
      </c>
    </row>
    <row r="12" spans="1:17" x14ac:dyDescent="0.25">
      <c r="A12">
        <v>2</v>
      </c>
      <c r="B12" s="140">
        <v>44786</v>
      </c>
      <c r="C12" s="141">
        <v>44786.3125</v>
      </c>
      <c r="D12" s="141">
        <v>44786.520833333336</v>
      </c>
      <c r="E12" s="141">
        <v>44786.5625</v>
      </c>
      <c r="F12" s="141">
        <v>44786.604166666664</v>
      </c>
      <c r="G12" s="141">
        <v>44786.604166666664</v>
      </c>
      <c r="H12" t="s">
        <v>156</v>
      </c>
      <c r="I12" t="s">
        <v>58</v>
      </c>
      <c r="J12" t="s">
        <v>2</v>
      </c>
      <c r="K12">
        <v>2</v>
      </c>
      <c r="L12">
        <v>1</v>
      </c>
      <c r="M12" t="s">
        <v>7</v>
      </c>
      <c r="N12" s="141">
        <v>45122.343842592592</v>
      </c>
      <c r="O12" t="s">
        <v>49</v>
      </c>
      <c r="P12" t="s">
        <v>603</v>
      </c>
      <c r="Q12" t="s">
        <v>677</v>
      </c>
    </row>
    <row r="13" spans="1:17" x14ac:dyDescent="0.25">
      <c r="A13">
        <v>2</v>
      </c>
      <c r="B13" s="140">
        <v>44786</v>
      </c>
      <c r="C13" s="141">
        <v>44786.416666666664</v>
      </c>
      <c r="D13" s="141">
        <v>44786.625</v>
      </c>
      <c r="E13" s="141">
        <v>44786.666666666664</v>
      </c>
      <c r="F13" s="141">
        <v>44786.708333333336</v>
      </c>
      <c r="G13" s="141">
        <v>44786.708333333336</v>
      </c>
      <c r="H13" t="s">
        <v>364</v>
      </c>
      <c r="I13" t="s">
        <v>57</v>
      </c>
      <c r="J13" t="s">
        <v>1</v>
      </c>
      <c r="K13">
        <v>4</v>
      </c>
      <c r="L13">
        <v>2</v>
      </c>
      <c r="M13" t="s">
        <v>8</v>
      </c>
      <c r="N13" s="141">
        <v>45122.343842592592</v>
      </c>
      <c r="O13" t="s">
        <v>49</v>
      </c>
      <c r="P13" t="s">
        <v>603</v>
      </c>
      <c r="Q13" t="s">
        <v>677</v>
      </c>
    </row>
    <row r="14" spans="1:17" x14ac:dyDescent="0.25">
      <c r="A14">
        <v>2</v>
      </c>
      <c r="B14" s="140">
        <v>44786</v>
      </c>
      <c r="C14" s="141">
        <v>44786.416666666664</v>
      </c>
      <c r="D14" s="141">
        <v>44786.625</v>
      </c>
      <c r="E14" s="141">
        <v>44786.666666666664</v>
      </c>
      <c r="F14" s="141">
        <v>44786.708333333336</v>
      </c>
      <c r="G14" s="141">
        <v>44786.708333333336</v>
      </c>
      <c r="H14" t="s">
        <v>262</v>
      </c>
      <c r="I14" t="s">
        <v>151</v>
      </c>
      <c r="J14" t="s">
        <v>4</v>
      </c>
      <c r="K14">
        <v>0</v>
      </c>
      <c r="L14">
        <v>0</v>
      </c>
      <c r="M14" t="s">
        <v>12</v>
      </c>
      <c r="N14" s="141">
        <v>45122.343842592592</v>
      </c>
      <c r="O14" t="s">
        <v>49</v>
      </c>
      <c r="P14" t="s">
        <v>603</v>
      </c>
      <c r="Q14" t="s">
        <v>677</v>
      </c>
    </row>
    <row r="15" spans="1:17" x14ac:dyDescent="0.25">
      <c r="A15">
        <v>2</v>
      </c>
      <c r="B15" s="140">
        <v>44786</v>
      </c>
      <c r="C15" s="141">
        <v>44786.416666666664</v>
      </c>
      <c r="D15" s="141">
        <v>44786.625</v>
      </c>
      <c r="E15" s="141">
        <v>44786.666666666664</v>
      </c>
      <c r="F15" s="141">
        <v>44786.708333333336</v>
      </c>
      <c r="G15" s="141">
        <v>44786.708333333336</v>
      </c>
      <c r="H15" t="s">
        <v>434</v>
      </c>
      <c r="I15" t="s">
        <v>61</v>
      </c>
      <c r="J15" t="s">
        <v>10</v>
      </c>
      <c r="K15">
        <v>4</v>
      </c>
      <c r="L15">
        <v>0</v>
      </c>
      <c r="M15" t="s">
        <v>3</v>
      </c>
      <c r="N15" s="141">
        <v>45122.343842592592</v>
      </c>
      <c r="O15" t="s">
        <v>49</v>
      </c>
      <c r="P15" t="s">
        <v>603</v>
      </c>
      <c r="Q15" t="s">
        <v>677</v>
      </c>
    </row>
    <row r="16" spans="1:17" x14ac:dyDescent="0.25">
      <c r="A16">
        <v>2</v>
      </c>
      <c r="B16" s="140">
        <v>44786</v>
      </c>
      <c r="C16" s="141">
        <v>44786.416666666664</v>
      </c>
      <c r="D16" s="141">
        <v>44786.625</v>
      </c>
      <c r="E16" s="141">
        <v>44786.666666666664</v>
      </c>
      <c r="F16" s="141">
        <v>44786.708333333336</v>
      </c>
      <c r="G16" s="141">
        <v>44786.708333333336</v>
      </c>
      <c r="H16" t="s">
        <v>248</v>
      </c>
      <c r="I16" t="s">
        <v>60</v>
      </c>
      <c r="J16" t="s">
        <v>13</v>
      </c>
      <c r="K16">
        <v>2</v>
      </c>
      <c r="L16">
        <v>2</v>
      </c>
      <c r="M16" t="s">
        <v>139</v>
      </c>
      <c r="N16" s="141">
        <v>45122.343842592592</v>
      </c>
      <c r="O16" t="s">
        <v>49</v>
      </c>
      <c r="P16" t="s">
        <v>603</v>
      </c>
      <c r="Q16" t="s">
        <v>677</v>
      </c>
    </row>
    <row r="17" spans="1:17" x14ac:dyDescent="0.25">
      <c r="A17">
        <v>2</v>
      </c>
      <c r="B17" s="140">
        <v>44786</v>
      </c>
      <c r="C17" s="141">
        <v>44786.416666666664</v>
      </c>
      <c r="D17" s="141">
        <v>44786.625</v>
      </c>
      <c r="E17" s="141">
        <v>44786.666666666664</v>
      </c>
      <c r="F17" s="141">
        <v>44786.708333333336</v>
      </c>
      <c r="G17" s="141">
        <v>44786.708333333336</v>
      </c>
      <c r="H17" t="s">
        <v>437</v>
      </c>
      <c r="I17" t="s">
        <v>63</v>
      </c>
      <c r="J17" t="s">
        <v>16</v>
      </c>
      <c r="K17">
        <v>0</v>
      </c>
      <c r="L17">
        <v>0</v>
      </c>
      <c r="M17" t="s">
        <v>126</v>
      </c>
      <c r="N17" s="141">
        <v>45122.343842592592</v>
      </c>
      <c r="O17" t="s">
        <v>49</v>
      </c>
      <c r="P17" t="s">
        <v>603</v>
      </c>
      <c r="Q17" t="s">
        <v>677</v>
      </c>
    </row>
    <row r="18" spans="1:17" x14ac:dyDescent="0.25">
      <c r="A18">
        <v>2</v>
      </c>
      <c r="B18" s="140">
        <v>44786</v>
      </c>
      <c r="C18" s="141">
        <v>44786.520833333336</v>
      </c>
      <c r="D18" s="141">
        <v>44786.729166666664</v>
      </c>
      <c r="E18" s="141">
        <v>44786.770833333336</v>
      </c>
      <c r="F18" s="141">
        <v>44786.8125</v>
      </c>
      <c r="G18" s="141">
        <v>44786.8125</v>
      </c>
      <c r="H18" t="s">
        <v>295</v>
      </c>
      <c r="I18" t="s">
        <v>593</v>
      </c>
      <c r="J18" t="s">
        <v>125</v>
      </c>
      <c r="K18">
        <v>4</v>
      </c>
      <c r="L18">
        <v>0</v>
      </c>
      <c r="M18" t="s">
        <v>11</v>
      </c>
      <c r="N18" s="141">
        <v>45122.343842592592</v>
      </c>
      <c r="O18" t="s">
        <v>49</v>
      </c>
      <c r="P18" t="s">
        <v>603</v>
      </c>
      <c r="Q18" t="s">
        <v>677</v>
      </c>
    </row>
    <row r="19" spans="1:17" x14ac:dyDescent="0.25">
      <c r="A19">
        <v>2</v>
      </c>
      <c r="B19" s="140">
        <v>44787</v>
      </c>
      <c r="C19" s="141">
        <v>44787.375</v>
      </c>
      <c r="D19" s="141">
        <v>44787.583333333336</v>
      </c>
      <c r="E19" s="141">
        <v>44787.625</v>
      </c>
      <c r="F19" s="141">
        <v>44787.666666666664</v>
      </c>
      <c r="G19" s="141">
        <v>44787.666666666664</v>
      </c>
      <c r="H19" t="s">
        <v>435</v>
      </c>
      <c r="I19" t="s">
        <v>436</v>
      </c>
      <c r="J19" t="s">
        <v>204</v>
      </c>
      <c r="K19">
        <v>1</v>
      </c>
      <c r="L19">
        <v>0</v>
      </c>
      <c r="M19" t="s">
        <v>15</v>
      </c>
      <c r="N19" s="141">
        <v>45122.343842592592</v>
      </c>
      <c r="O19" t="s">
        <v>49</v>
      </c>
      <c r="P19" t="s">
        <v>603</v>
      </c>
      <c r="Q19" t="s">
        <v>677</v>
      </c>
    </row>
    <row r="20" spans="1:17" x14ac:dyDescent="0.25">
      <c r="A20">
        <v>2</v>
      </c>
      <c r="B20" s="140">
        <v>44787</v>
      </c>
      <c r="C20" s="141">
        <v>44787.479166666664</v>
      </c>
      <c r="D20" s="141">
        <v>44787.6875</v>
      </c>
      <c r="E20" s="141">
        <v>44787.729166666664</v>
      </c>
      <c r="F20" s="141">
        <v>44787.770833333336</v>
      </c>
      <c r="G20" s="141">
        <v>44787.770833333336</v>
      </c>
      <c r="H20" t="s">
        <v>331</v>
      </c>
      <c r="I20" t="s">
        <v>62</v>
      </c>
      <c r="J20" t="s">
        <v>5</v>
      </c>
      <c r="K20">
        <v>2</v>
      </c>
      <c r="L20">
        <v>2</v>
      </c>
      <c r="M20" t="s">
        <v>14</v>
      </c>
      <c r="N20" s="141">
        <v>45122.343842592592</v>
      </c>
      <c r="O20" t="s">
        <v>49</v>
      </c>
      <c r="P20" t="s">
        <v>603</v>
      </c>
      <c r="Q20" t="s">
        <v>677</v>
      </c>
    </row>
    <row r="21" spans="1:17" x14ac:dyDescent="0.25">
      <c r="A21">
        <v>2</v>
      </c>
      <c r="B21" s="140">
        <v>44788</v>
      </c>
      <c r="C21" s="141">
        <v>44788.625</v>
      </c>
      <c r="D21" s="141">
        <v>44788.833333333336</v>
      </c>
      <c r="E21" s="141">
        <v>44788.875</v>
      </c>
      <c r="F21" s="141">
        <v>44788.916666666664</v>
      </c>
      <c r="G21" s="141">
        <v>44788.916666666664</v>
      </c>
      <c r="H21" t="s">
        <v>157</v>
      </c>
      <c r="I21" t="s">
        <v>48</v>
      </c>
      <c r="J21" t="s">
        <v>9</v>
      </c>
      <c r="K21">
        <v>1</v>
      </c>
      <c r="L21">
        <v>1</v>
      </c>
      <c r="M21" t="s">
        <v>6</v>
      </c>
      <c r="N21" s="141">
        <v>45122.343842592592</v>
      </c>
      <c r="O21" t="s">
        <v>49</v>
      </c>
      <c r="P21" t="s">
        <v>603</v>
      </c>
      <c r="Q21" t="s">
        <v>677</v>
      </c>
    </row>
    <row r="22" spans="1:17" x14ac:dyDescent="0.25">
      <c r="A22">
        <v>3</v>
      </c>
      <c r="B22" s="140">
        <v>44793</v>
      </c>
      <c r="C22" s="141">
        <v>44793.3125</v>
      </c>
      <c r="D22" s="141">
        <v>44793.520833333336</v>
      </c>
      <c r="E22" s="141">
        <v>44793.5625</v>
      </c>
      <c r="F22" s="141">
        <v>44793.604166666664</v>
      </c>
      <c r="G22" s="141">
        <v>44793.604166666664</v>
      </c>
      <c r="H22" t="s">
        <v>347</v>
      </c>
      <c r="I22" t="s">
        <v>53</v>
      </c>
      <c r="J22" t="s">
        <v>14</v>
      </c>
      <c r="K22">
        <v>1</v>
      </c>
      <c r="L22">
        <v>0</v>
      </c>
      <c r="M22" t="s">
        <v>16</v>
      </c>
      <c r="N22" s="141">
        <v>45122.343842592592</v>
      </c>
      <c r="O22" t="s">
        <v>49</v>
      </c>
      <c r="P22" t="s">
        <v>603</v>
      </c>
      <c r="Q22" t="s">
        <v>677</v>
      </c>
    </row>
    <row r="23" spans="1:17" x14ac:dyDescent="0.25">
      <c r="A23">
        <v>3</v>
      </c>
      <c r="B23" s="140">
        <v>44793</v>
      </c>
      <c r="C23" s="141">
        <v>44793.416666666664</v>
      </c>
      <c r="D23" s="141">
        <v>44793.625</v>
      </c>
      <c r="E23" s="141">
        <v>44793.666666666664</v>
      </c>
      <c r="F23" s="141">
        <v>44793.708333333336</v>
      </c>
      <c r="G23" s="141">
        <v>44793.708333333336</v>
      </c>
      <c r="H23" t="s">
        <v>166</v>
      </c>
      <c r="I23" t="s">
        <v>52</v>
      </c>
      <c r="J23" t="s">
        <v>6</v>
      </c>
      <c r="K23">
        <v>3</v>
      </c>
      <c r="L23">
        <v>1</v>
      </c>
      <c r="M23" t="s">
        <v>2</v>
      </c>
      <c r="N23" s="141">
        <v>45122.343842592592</v>
      </c>
      <c r="O23" t="s">
        <v>49</v>
      </c>
      <c r="P23" t="s">
        <v>603</v>
      </c>
      <c r="Q23" t="s">
        <v>677</v>
      </c>
    </row>
    <row r="24" spans="1:17" x14ac:dyDescent="0.25">
      <c r="A24">
        <v>3</v>
      </c>
      <c r="B24" s="140">
        <v>44793</v>
      </c>
      <c r="C24" s="141">
        <v>44793.416666666664</v>
      </c>
      <c r="D24" s="141">
        <v>44793.625</v>
      </c>
      <c r="E24" s="141">
        <v>44793.666666666664</v>
      </c>
      <c r="F24" s="141">
        <v>44793.708333333336</v>
      </c>
      <c r="G24" s="141">
        <v>44793.708333333336</v>
      </c>
      <c r="H24" t="s">
        <v>439</v>
      </c>
      <c r="I24" t="s">
        <v>59</v>
      </c>
      <c r="J24" t="s">
        <v>7</v>
      </c>
      <c r="K24">
        <v>1</v>
      </c>
      <c r="L24">
        <v>1</v>
      </c>
      <c r="M24" t="s">
        <v>204</v>
      </c>
      <c r="N24" s="141">
        <v>45122.343842592592</v>
      </c>
      <c r="O24" t="s">
        <v>49</v>
      </c>
      <c r="P24" t="s">
        <v>603</v>
      </c>
      <c r="Q24" t="s">
        <v>677</v>
      </c>
    </row>
    <row r="25" spans="1:17" x14ac:dyDescent="0.25">
      <c r="A25">
        <v>3</v>
      </c>
      <c r="B25" s="140">
        <v>44793</v>
      </c>
      <c r="C25" s="141">
        <v>44793.416666666664</v>
      </c>
      <c r="D25" s="141">
        <v>44793.625</v>
      </c>
      <c r="E25" s="141">
        <v>44793.666666666664</v>
      </c>
      <c r="F25" s="141">
        <v>44793.708333333336</v>
      </c>
      <c r="G25" s="141">
        <v>44793.708333333336</v>
      </c>
      <c r="H25" t="s">
        <v>440</v>
      </c>
      <c r="I25" t="s">
        <v>431</v>
      </c>
      <c r="J25" t="s">
        <v>126</v>
      </c>
      <c r="K25">
        <v>3</v>
      </c>
      <c r="L25">
        <v>2</v>
      </c>
      <c r="M25" t="s">
        <v>125</v>
      </c>
      <c r="N25" s="141">
        <v>45122.343842592592</v>
      </c>
      <c r="O25" t="s">
        <v>49</v>
      </c>
      <c r="P25" t="s">
        <v>603</v>
      </c>
      <c r="Q25" t="s">
        <v>677</v>
      </c>
    </row>
    <row r="26" spans="1:17" x14ac:dyDescent="0.25">
      <c r="A26">
        <v>3</v>
      </c>
      <c r="B26" s="140">
        <v>44793</v>
      </c>
      <c r="C26" s="141">
        <v>44793.416666666664</v>
      </c>
      <c r="D26" s="141">
        <v>44793.625</v>
      </c>
      <c r="E26" s="141">
        <v>44793.666666666664</v>
      </c>
      <c r="F26" s="141">
        <v>44793.708333333336</v>
      </c>
      <c r="G26" s="141">
        <v>44793.708333333336</v>
      </c>
      <c r="H26" t="s">
        <v>418</v>
      </c>
      <c r="I26" t="s">
        <v>54</v>
      </c>
      <c r="J26" t="s">
        <v>8</v>
      </c>
      <c r="K26">
        <v>1</v>
      </c>
      <c r="L26">
        <v>2</v>
      </c>
      <c r="M26" t="s">
        <v>13</v>
      </c>
      <c r="N26" s="141">
        <v>45122.343842592592</v>
      </c>
      <c r="O26" t="s">
        <v>49</v>
      </c>
      <c r="P26" t="s">
        <v>603</v>
      </c>
      <c r="Q26" t="s">
        <v>677</v>
      </c>
    </row>
    <row r="27" spans="1:17" x14ac:dyDescent="0.25">
      <c r="A27">
        <v>3</v>
      </c>
      <c r="B27" s="140">
        <v>44793</v>
      </c>
      <c r="C27" s="141">
        <v>44793.520833333336</v>
      </c>
      <c r="D27" s="141">
        <v>44793.729166666664</v>
      </c>
      <c r="E27" s="141">
        <v>44793.770833333336</v>
      </c>
      <c r="F27" s="141">
        <v>44793.8125</v>
      </c>
      <c r="G27" s="141">
        <v>44793.8125</v>
      </c>
      <c r="H27" t="s">
        <v>438</v>
      </c>
      <c r="I27" t="s">
        <v>51</v>
      </c>
      <c r="J27" t="s">
        <v>3</v>
      </c>
      <c r="K27">
        <v>0</v>
      </c>
      <c r="L27">
        <v>3</v>
      </c>
      <c r="M27" t="s">
        <v>1</v>
      </c>
      <c r="N27" s="141">
        <v>45122.343842592592</v>
      </c>
      <c r="O27" t="s">
        <v>49</v>
      </c>
      <c r="P27" t="s">
        <v>603</v>
      </c>
      <c r="Q27" t="s">
        <v>677</v>
      </c>
    </row>
    <row r="28" spans="1:17" x14ac:dyDescent="0.25">
      <c r="A28">
        <v>3</v>
      </c>
      <c r="B28" s="140">
        <v>44794</v>
      </c>
      <c r="C28" s="141">
        <v>44794.375</v>
      </c>
      <c r="D28" s="141">
        <v>44794.583333333336</v>
      </c>
      <c r="E28" s="141">
        <v>44794.625</v>
      </c>
      <c r="F28" s="141">
        <v>44794.666666666664</v>
      </c>
      <c r="G28" s="141">
        <v>44794.666666666664</v>
      </c>
      <c r="H28" t="s">
        <v>389</v>
      </c>
      <c r="I28" t="s">
        <v>140</v>
      </c>
      <c r="J28" t="s">
        <v>139</v>
      </c>
      <c r="K28">
        <v>3</v>
      </c>
      <c r="L28">
        <v>0</v>
      </c>
      <c r="M28" t="s">
        <v>5</v>
      </c>
      <c r="N28" s="141">
        <v>45122.343842592592</v>
      </c>
      <c r="O28" t="s">
        <v>49</v>
      </c>
      <c r="P28" t="s">
        <v>603</v>
      </c>
      <c r="Q28" t="s">
        <v>677</v>
      </c>
    </row>
    <row r="29" spans="1:17" x14ac:dyDescent="0.25">
      <c r="A29">
        <v>3</v>
      </c>
      <c r="B29" s="140">
        <v>44794</v>
      </c>
      <c r="C29" s="141">
        <v>44794.375</v>
      </c>
      <c r="D29" s="141">
        <v>44794.583333333336</v>
      </c>
      <c r="E29" s="141">
        <v>44794.625</v>
      </c>
      <c r="F29" s="141">
        <v>44794.666666666664</v>
      </c>
      <c r="G29" s="141">
        <v>44794.666666666664</v>
      </c>
      <c r="H29" t="s">
        <v>280</v>
      </c>
      <c r="I29" t="s">
        <v>50</v>
      </c>
      <c r="J29" t="s">
        <v>15</v>
      </c>
      <c r="K29">
        <v>0</v>
      </c>
      <c r="L29">
        <v>2</v>
      </c>
      <c r="M29" t="s">
        <v>4</v>
      </c>
      <c r="N29" s="141">
        <v>45122.343842592592</v>
      </c>
      <c r="O29" t="s">
        <v>49</v>
      </c>
      <c r="P29" t="s">
        <v>603</v>
      </c>
      <c r="Q29" t="s">
        <v>677</v>
      </c>
    </row>
    <row r="30" spans="1:17" x14ac:dyDescent="0.25">
      <c r="A30">
        <v>3</v>
      </c>
      <c r="B30" s="140">
        <v>44794</v>
      </c>
      <c r="C30" s="141">
        <v>44794.479166666664</v>
      </c>
      <c r="D30" s="141">
        <v>44794.6875</v>
      </c>
      <c r="E30" s="141">
        <v>44794.729166666664</v>
      </c>
      <c r="F30" s="141">
        <v>44794.770833333336</v>
      </c>
      <c r="G30" s="141">
        <v>44794.770833333336</v>
      </c>
      <c r="H30" t="s">
        <v>303</v>
      </c>
      <c r="I30" t="s">
        <v>55</v>
      </c>
      <c r="J30" t="s">
        <v>12</v>
      </c>
      <c r="K30">
        <v>3</v>
      </c>
      <c r="L30">
        <v>3</v>
      </c>
      <c r="M30" t="s">
        <v>10</v>
      </c>
      <c r="N30" s="141">
        <v>45122.343842592592</v>
      </c>
      <c r="O30" t="s">
        <v>49</v>
      </c>
      <c r="P30" t="s">
        <v>603</v>
      </c>
      <c r="Q30" t="s">
        <v>677</v>
      </c>
    </row>
    <row r="31" spans="1:17" x14ac:dyDescent="0.25">
      <c r="A31">
        <v>3</v>
      </c>
      <c r="B31" s="140">
        <v>44795</v>
      </c>
      <c r="C31" s="141">
        <v>44795.625</v>
      </c>
      <c r="D31" s="141">
        <v>44795.833333333336</v>
      </c>
      <c r="E31" s="141">
        <v>44795.875</v>
      </c>
      <c r="F31" s="141">
        <v>44795.916666666664</v>
      </c>
      <c r="G31" s="141">
        <v>44795.916666666664</v>
      </c>
      <c r="H31" t="s">
        <v>253</v>
      </c>
      <c r="I31" t="s">
        <v>56</v>
      </c>
      <c r="J31" t="s">
        <v>11</v>
      </c>
      <c r="K31">
        <v>2</v>
      </c>
      <c r="L31">
        <v>1</v>
      </c>
      <c r="M31" t="s">
        <v>9</v>
      </c>
      <c r="N31" s="141">
        <v>45122.343842592592</v>
      </c>
      <c r="O31" t="s">
        <v>49</v>
      </c>
      <c r="P31" t="s">
        <v>603</v>
      </c>
      <c r="Q31" t="s">
        <v>677</v>
      </c>
    </row>
    <row r="32" spans="1:17" x14ac:dyDescent="0.25">
      <c r="A32">
        <v>4</v>
      </c>
      <c r="B32" s="140">
        <v>44800</v>
      </c>
      <c r="C32" s="141">
        <v>44800.3125</v>
      </c>
      <c r="D32" s="141">
        <v>44800.520833333336</v>
      </c>
      <c r="E32" s="141">
        <v>44800.5625</v>
      </c>
      <c r="F32" s="141">
        <v>44800.604166666664</v>
      </c>
      <c r="G32" s="141">
        <v>44800.604166666664</v>
      </c>
      <c r="H32" t="s">
        <v>212</v>
      </c>
      <c r="I32" t="s">
        <v>60</v>
      </c>
      <c r="J32" t="s">
        <v>13</v>
      </c>
      <c r="K32">
        <v>0</v>
      </c>
      <c r="L32">
        <v>1</v>
      </c>
      <c r="M32" t="s">
        <v>11</v>
      </c>
      <c r="N32" s="141">
        <v>45122.343842592592</v>
      </c>
      <c r="O32" t="s">
        <v>49</v>
      </c>
      <c r="P32" t="s">
        <v>603</v>
      </c>
      <c r="Q32" t="s">
        <v>677</v>
      </c>
    </row>
    <row r="33" spans="1:17" x14ac:dyDescent="0.25">
      <c r="A33">
        <v>4</v>
      </c>
      <c r="B33" s="140">
        <v>44800</v>
      </c>
      <c r="C33" s="141">
        <v>44800.416666666664</v>
      </c>
      <c r="D33" s="141">
        <v>44800.625</v>
      </c>
      <c r="E33" s="141">
        <v>44800.666666666664</v>
      </c>
      <c r="F33" s="141">
        <v>44800.708333333336</v>
      </c>
      <c r="G33" s="141">
        <v>44800.708333333336</v>
      </c>
      <c r="H33" t="s">
        <v>165</v>
      </c>
      <c r="I33" t="s">
        <v>593</v>
      </c>
      <c r="J33" t="s">
        <v>125</v>
      </c>
      <c r="K33">
        <v>1</v>
      </c>
      <c r="L33">
        <v>1</v>
      </c>
      <c r="M33" t="s">
        <v>7</v>
      </c>
      <c r="N33" s="141">
        <v>45122.343842592592</v>
      </c>
      <c r="O33" t="s">
        <v>49</v>
      </c>
      <c r="P33" t="s">
        <v>603</v>
      </c>
      <c r="Q33" t="s">
        <v>677</v>
      </c>
    </row>
    <row r="34" spans="1:17" x14ac:dyDescent="0.25">
      <c r="A34">
        <v>4</v>
      </c>
      <c r="B34" s="140">
        <v>44800</v>
      </c>
      <c r="C34" s="141">
        <v>44800.416666666664</v>
      </c>
      <c r="D34" s="141">
        <v>44800.625</v>
      </c>
      <c r="E34" s="141">
        <v>44800.666666666664</v>
      </c>
      <c r="F34" s="141">
        <v>44800.708333333336</v>
      </c>
      <c r="G34" s="141">
        <v>44800.708333333336</v>
      </c>
      <c r="H34" t="s">
        <v>275</v>
      </c>
      <c r="I34" t="s">
        <v>151</v>
      </c>
      <c r="J34" t="s">
        <v>4</v>
      </c>
      <c r="K34">
        <v>1</v>
      </c>
      <c r="L34">
        <v>0</v>
      </c>
      <c r="M34" t="s">
        <v>139</v>
      </c>
      <c r="N34" s="141">
        <v>45122.343842592592</v>
      </c>
      <c r="O34" t="s">
        <v>49</v>
      </c>
      <c r="P34" t="s">
        <v>603</v>
      </c>
      <c r="Q34" t="s">
        <v>677</v>
      </c>
    </row>
    <row r="35" spans="1:17" x14ac:dyDescent="0.25">
      <c r="A35">
        <v>4</v>
      </c>
      <c r="B35" s="140">
        <v>44800</v>
      </c>
      <c r="C35" s="141">
        <v>44800.416666666664</v>
      </c>
      <c r="D35" s="141">
        <v>44800.625</v>
      </c>
      <c r="E35" s="141">
        <v>44800.666666666664</v>
      </c>
      <c r="F35" s="141">
        <v>44800.708333333336</v>
      </c>
      <c r="G35" s="141">
        <v>44800.708333333336</v>
      </c>
      <c r="H35" t="s">
        <v>354</v>
      </c>
      <c r="I35" t="s">
        <v>62</v>
      </c>
      <c r="J35" t="s">
        <v>5</v>
      </c>
      <c r="K35">
        <v>2</v>
      </c>
      <c r="L35">
        <v>1</v>
      </c>
      <c r="M35" t="s">
        <v>8</v>
      </c>
      <c r="N35" s="141">
        <v>45122.343842592592</v>
      </c>
      <c r="O35" t="s">
        <v>49</v>
      </c>
      <c r="P35" t="s">
        <v>603</v>
      </c>
      <c r="Q35" t="s">
        <v>677</v>
      </c>
    </row>
    <row r="36" spans="1:17" x14ac:dyDescent="0.25">
      <c r="A36">
        <v>4</v>
      </c>
      <c r="B36" s="140">
        <v>44800</v>
      </c>
      <c r="C36" s="141">
        <v>44800.416666666664</v>
      </c>
      <c r="D36" s="141">
        <v>44800.625</v>
      </c>
      <c r="E36" s="141">
        <v>44800.666666666664</v>
      </c>
      <c r="F36" s="141">
        <v>44800.708333333336</v>
      </c>
      <c r="G36" s="141">
        <v>44800.708333333336</v>
      </c>
      <c r="H36" t="s">
        <v>442</v>
      </c>
      <c r="I36" t="s">
        <v>48</v>
      </c>
      <c r="J36" t="s">
        <v>9</v>
      </c>
      <c r="K36">
        <v>9</v>
      </c>
      <c r="L36">
        <v>0</v>
      </c>
      <c r="M36" t="s">
        <v>3</v>
      </c>
      <c r="N36" s="141">
        <v>45122.343842592592</v>
      </c>
      <c r="O36" t="s">
        <v>49</v>
      </c>
      <c r="P36" t="s">
        <v>603</v>
      </c>
      <c r="Q36" t="s">
        <v>677</v>
      </c>
    </row>
    <row r="37" spans="1:17" x14ac:dyDescent="0.25">
      <c r="A37">
        <v>4</v>
      </c>
      <c r="B37" s="140">
        <v>44800</v>
      </c>
      <c r="C37" s="141">
        <v>44800.416666666664</v>
      </c>
      <c r="D37" s="141">
        <v>44800.625</v>
      </c>
      <c r="E37" s="141">
        <v>44800.666666666664</v>
      </c>
      <c r="F37" s="141">
        <v>44800.708333333336</v>
      </c>
      <c r="G37" s="141">
        <v>44800.708333333336</v>
      </c>
      <c r="H37" t="s">
        <v>258</v>
      </c>
      <c r="I37" t="s">
        <v>61</v>
      </c>
      <c r="J37" t="s">
        <v>10</v>
      </c>
      <c r="K37">
        <v>4</v>
      </c>
      <c r="L37">
        <v>2</v>
      </c>
      <c r="M37" t="s">
        <v>6</v>
      </c>
      <c r="N37" s="141">
        <v>45122.343842592592</v>
      </c>
      <c r="O37" t="s">
        <v>49</v>
      </c>
      <c r="P37" t="s">
        <v>603</v>
      </c>
      <c r="Q37" t="s">
        <v>677</v>
      </c>
    </row>
    <row r="38" spans="1:17" x14ac:dyDescent="0.25">
      <c r="A38">
        <v>4</v>
      </c>
      <c r="B38" s="140">
        <v>44800</v>
      </c>
      <c r="C38" s="141">
        <v>44800.520833333336</v>
      </c>
      <c r="D38" s="141">
        <v>44800.729166666664</v>
      </c>
      <c r="E38" s="141">
        <v>44800.770833333336</v>
      </c>
      <c r="F38" s="141">
        <v>44800.8125</v>
      </c>
      <c r="G38" s="141">
        <v>44800.8125</v>
      </c>
      <c r="H38" t="s">
        <v>441</v>
      </c>
      <c r="I38" t="s">
        <v>57</v>
      </c>
      <c r="J38" t="s">
        <v>1</v>
      </c>
      <c r="K38">
        <v>2</v>
      </c>
      <c r="L38">
        <v>1</v>
      </c>
      <c r="M38" t="s">
        <v>126</v>
      </c>
      <c r="N38" s="141">
        <v>45122.343842592592</v>
      </c>
      <c r="O38" t="s">
        <v>49</v>
      </c>
      <c r="P38" t="s">
        <v>603</v>
      </c>
      <c r="Q38" t="s">
        <v>677</v>
      </c>
    </row>
    <row r="39" spans="1:17" x14ac:dyDescent="0.25">
      <c r="A39">
        <v>4</v>
      </c>
      <c r="B39" s="140">
        <v>44801</v>
      </c>
      <c r="C39" s="141">
        <v>44801.375</v>
      </c>
      <c r="D39" s="141">
        <v>44801.583333333336</v>
      </c>
      <c r="E39" s="141">
        <v>44801.625</v>
      </c>
      <c r="F39" s="141">
        <v>44801.666666666664</v>
      </c>
      <c r="G39" s="141">
        <v>44801.666666666664</v>
      </c>
      <c r="H39" t="s">
        <v>255</v>
      </c>
      <c r="I39" t="s">
        <v>58</v>
      </c>
      <c r="J39" t="s">
        <v>2</v>
      </c>
      <c r="K39">
        <v>0</v>
      </c>
      <c r="L39">
        <v>1</v>
      </c>
      <c r="M39" t="s">
        <v>15</v>
      </c>
      <c r="N39" s="141">
        <v>45122.343842592592</v>
      </c>
      <c r="O39" t="s">
        <v>49</v>
      </c>
      <c r="P39" t="s">
        <v>603</v>
      </c>
      <c r="Q39" t="s">
        <v>677</v>
      </c>
    </row>
    <row r="40" spans="1:17" x14ac:dyDescent="0.25">
      <c r="A40">
        <v>4</v>
      </c>
      <c r="B40" s="140">
        <v>44801</v>
      </c>
      <c r="C40" s="141">
        <v>44801.375</v>
      </c>
      <c r="D40" s="141">
        <v>44801.583333333336</v>
      </c>
      <c r="E40" s="141">
        <v>44801.625</v>
      </c>
      <c r="F40" s="141">
        <v>44801.666666666664</v>
      </c>
      <c r="G40" s="141">
        <v>44801.666666666664</v>
      </c>
      <c r="H40" t="s">
        <v>243</v>
      </c>
      <c r="I40" t="s">
        <v>63</v>
      </c>
      <c r="J40" t="s">
        <v>16</v>
      </c>
      <c r="K40">
        <v>1</v>
      </c>
      <c r="L40">
        <v>1</v>
      </c>
      <c r="M40" t="s">
        <v>12</v>
      </c>
      <c r="N40" s="141">
        <v>45122.343842592592</v>
      </c>
      <c r="O40" t="s">
        <v>49</v>
      </c>
      <c r="P40" t="s">
        <v>603</v>
      </c>
      <c r="Q40" t="s">
        <v>677</v>
      </c>
    </row>
    <row r="41" spans="1:17" x14ac:dyDescent="0.25">
      <c r="A41">
        <v>4</v>
      </c>
      <c r="B41" s="140">
        <v>44801</v>
      </c>
      <c r="C41" s="141">
        <v>44801.479166666664</v>
      </c>
      <c r="D41" s="141">
        <v>44801.6875</v>
      </c>
      <c r="E41" s="141">
        <v>44801.729166666664</v>
      </c>
      <c r="F41" s="141">
        <v>44801.770833333336</v>
      </c>
      <c r="G41" s="141">
        <v>44801.770833333336</v>
      </c>
      <c r="H41" t="s">
        <v>443</v>
      </c>
      <c r="I41" t="s">
        <v>436</v>
      </c>
      <c r="J41" t="s">
        <v>204</v>
      </c>
      <c r="K41">
        <v>0</v>
      </c>
      <c r="L41">
        <v>2</v>
      </c>
      <c r="M41" t="s">
        <v>14</v>
      </c>
      <c r="N41" s="141">
        <v>45122.343842592592</v>
      </c>
      <c r="O41" t="s">
        <v>49</v>
      </c>
      <c r="P41" t="s">
        <v>603</v>
      </c>
      <c r="Q41" t="s">
        <v>677</v>
      </c>
    </row>
    <row r="42" spans="1:17" x14ac:dyDescent="0.25">
      <c r="A42">
        <v>5</v>
      </c>
      <c r="B42" s="140">
        <v>44803</v>
      </c>
      <c r="C42" s="141">
        <v>44803.604166666664</v>
      </c>
      <c r="D42" s="141">
        <v>44803.8125</v>
      </c>
      <c r="E42" s="141">
        <v>44803.854166666664</v>
      </c>
      <c r="F42" s="141">
        <v>44803.895833333336</v>
      </c>
      <c r="G42" s="141">
        <v>44803.895833333336</v>
      </c>
      <c r="H42" t="s">
        <v>150</v>
      </c>
      <c r="I42" t="s">
        <v>52</v>
      </c>
      <c r="J42" t="s">
        <v>6</v>
      </c>
      <c r="K42">
        <v>1</v>
      </c>
      <c r="L42">
        <v>1</v>
      </c>
      <c r="M42" t="s">
        <v>125</v>
      </c>
      <c r="N42" s="141">
        <v>45122.343842592592</v>
      </c>
      <c r="O42" t="s">
        <v>49</v>
      </c>
      <c r="P42" t="s">
        <v>603</v>
      </c>
      <c r="Q42" t="s">
        <v>677</v>
      </c>
    </row>
    <row r="43" spans="1:17" x14ac:dyDescent="0.25">
      <c r="A43">
        <v>5</v>
      </c>
      <c r="B43" s="140">
        <v>44803</v>
      </c>
      <c r="C43" s="141">
        <v>44803.604166666664</v>
      </c>
      <c r="D43" s="141">
        <v>44803.8125</v>
      </c>
      <c r="E43" s="141">
        <v>44803.854166666664</v>
      </c>
      <c r="F43" s="141">
        <v>44803.895833333336</v>
      </c>
      <c r="G43" s="141">
        <v>44803.895833333336</v>
      </c>
      <c r="H43" t="s">
        <v>445</v>
      </c>
      <c r="I43" t="s">
        <v>431</v>
      </c>
      <c r="J43" t="s">
        <v>126</v>
      </c>
      <c r="K43">
        <v>2</v>
      </c>
      <c r="L43">
        <v>1</v>
      </c>
      <c r="M43" t="s">
        <v>4</v>
      </c>
      <c r="N43" s="141">
        <v>45122.343842592592</v>
      </c>
      <c r="O43" t="s">
        <v>49</v>
      </c>
      <c r="P43" t="s">
        <v>603</v>
      </c>
      <c r="Q43" t="s">
        <v>677</v>
      </c>
    </row>
    <row r="44" spans="1:17" x14ac:dyDescent="0.25">
      <c r="A44">
        <v>5</v>
      </c>
      <c r="B44" s="140">
        <v>44803</v>
      </c>
      <c r="C44" s="141">
        <v>44803.614583333336</v>
      </c>
      <c r="D44" s="141">
        <v>44803.822916666664</v>
      </c>
      <c r="E44" s="141">
        <v>44803.864583333336</v>
      </c>
      <c r="F44" s="141">
        <v>44803.90625</v>
      </c>
      <c r="G44" s="141">
        <v>44803.90625</v>
      </c>
      <c r="H44" t="s">
        <v>192</v>
      </c>
      <c r="I44" t="s">
        <v>60</v>
      </c>
      <c r="J44" t="s">
        <v>13</v>
      </c>
      <c r="K44">
        <v>2</v>
      </c>
      <c r="L44">
        <v>1</v>
      </c>
      <c r="M44" t="s">
        <v>5</v>
      </c>
      <c r="N44" s="141">
        <v>45122.343842592592</v>
      </c>
      <c r="O44" t="s">
        <v>49</v>
      </c>
      <c r="P44" t="s">
        <v>603</v>
      </c>
      <c r="Q44" t="s">
        <v>677</v>
      </c>
    </row>
    <row r="45" spans="1:17" x14ac:dyDescent="0.25">
      <c r="A45">
        <v>5</v>
      </c>
      <c r="B45" s="140">
        <v>44803</v>
      </c>
      <c r="C45" s="141">
        <v>44803.625</v>
      </c>
      <c r="D45" s="141">
        <v>44803.833333333336</v>
      </c>
      <c r="E45" s="141">
        <v>44803.875</v>
      </c>
      <c r="F45" s="141">
        <v>44803.916666666664</v>
      </c>
      <c r="G45" s="141">
        <v>44803.916666666664</v>
      </c>
      <c r="H45" t="s">
        <v>210</v>
      </c>
      <c r="I45" t="s">
        <v>140</v>
      </c>
      <c r="J45" t="s">
        <v>139</v>
      </c>
      <c r="K45">
        <v>1</v>
      </c>
      <c r="L45">
        <v>1</v>
      </c>
      <c r="M45" t="s">
        <v>7</v>
      </c>
      <c r="N45" s="141">
        <v>45122.343842592592</v>
      </c>
      <c r="O45" t="s">
        <v>49</v>
      </c>
      <c r="P45" t="s">
        <v>603</v>
      </c>
      <c r="Q45" t="s">
        <v>677</v>
      </c>
    </row>
    <row r="46" spans="1:17" x14ac:dyDescent="0.25">
      <c r="A46">
        <v>5</v>
      </c>
      <c r="B46" s="140">
        <v>44804</v>
      </c>
      <c r="C46" s="141">
        <v>44804.604166666664</v>
      </c>
      <c r="D46" s="141">
        <v>44804.8125</v>
      </c>
      <c r="E46" s="141">
        <v>44804.854166666664</v>
      </c>
      <c r="F46" s="141">
        <v>44804.895833333336</v>
      </c>
      <c r="G46" s="141">
        <v>44804.895833333336</v>
      </c>
      <c r="H46" t="s">
        <v>162</v>
      </c>
      <c r="I46" t="s">
        <v>57</v>
      </c>
      <c r="J46" t="s">
        <v>1</v>
      </c>
      <c r="K46">
        <v>2</v>
      </c>
      <c r="L46">
        <v>1</v>
      </c>
      <c r="M46" t="s">
        <v>2</v>
      </c>
      <c r="N46" s="141">
        <v>45122.343842592592</v>
      </c>
      <c r="O46" t="s">
        <v>49</v>
      </c>
      <c r="P46" t="s">
        <v>603</v>
      </c>
      <c r="Q46" t="s">
        <v>677</v>
      </c>
    </row>
    <row r="47" spans="1:17" x14ac:dyDescent="0.25">
      <c r="A47">
        <v>5</v>
      </c>
      <c r="B47" s="140">
        <v>44804</v>
      </c>
      <c r="C47" s="141">
        <v>44804.604166666664</v>
      </c>
      <c r="D47" s="141">
        <v>44804.8125</v>
      </c>
      <c r="E47" s="141">
        <v>44804.854166666664</v>
      </c>
      <c r="F47" s="141">
        <v>44804.895833333336</v>
      </c>
      <c r="G47" s="141">
        <v>44804.895833333336</v>
      </c>
      <c r="H47" t="s">
        <v>444</v>
      </c>
      <c r="I47" t="s">
        <v>51</v>
      </c>
      <c r="J47" t="s">
        <v>3</v>
      </c>
      <c r="K47">
        <v>0</v>
      </c>
      <c r="L47">
        <v>0</v>
      </c>
      <c r="M47" t="s">
        <v>16</v>
      </c>
      <c r="N47" s="141">
        <v>45122.343842592592</v>
      </c>
      <c r="O47" t="s">
        <v>49</v>
      </c>
      <c r="P47" t="s">
        <v>603</v>
      </c>
      <c r="Q47" t="s">
        <v>677</v>
      </c>
    </row>
    <row r="48" spans="1:17" x14ac:dyDescent="0.25">
      <c r="A48">
        <v>5</v>
      </c>
      <c r="B48" s="140">
        <v>44804</v>
      </c>
      <c r="C48" s="141">
        <v>44804.604166666664</v>
      </c>
      <c r="D48" s="141">
        <v>44804.8125</v>
      </c>
      <c r="E48" s="141">
        <v>44804.854166666664</v>
      </c>
      <c r="F48" s="141">
        <v>44804.895833333336</v>
      </c>
      <c r="G48" s="141">
        <v>44804.895833333336</v>
      </c>
      <c r="H48" t="s">
        <v>446</v>
      </c>
      <c r="I48" t="s">
        <v>61</v>
      </c>
      <c r="J48" t="s">
        <v>10</v>
      </c>
      <c r="K48">
        <v>6</v>
      </c>
      <c r="L48">
        <v>0</v>
      </c>
      <c r="M48" t="s">
        <v>204</v>
      </c>
      <c r="N48" s="141">
        <v>45122.343842592592</v>
      </c>
      <c r="O48" t="s">
        <v>49</v>
      </c>
      <c r="P48" t="s">
        <v>603</v>
      </c>
      <c r="Q48" t="s">
        <v>677</v>
      </c>
    </row>
    <row r="49" spans="1:17" x14ac:dyDescent="0.25">
      <c r="A49">
        <v>5</v>
      </c>
      <c r="B49" s="140">
        <v>44804</v>
      </c>
      <c r="C49" s="141">
        <v>44804.614583333336</v>
      </c>
      <c r="D49" s="141">
        <v>44804.822916666664</v>
      </c>
      <c r="E49" s="141">
        <v>44804.864583333336</v>
      </c>
      <c r="F49" s="141">
        <v>44804.90625</v>
      </c>
      <c r="G49" s="141">
        <v>44804.90625</v>
      </c>
      <c r="H49" t="s">
        <v>254</v>
      </c>
      <c r="I49" t="s">
        <v>50</v>
      </c>
      <c r="J49" t="s">
        <v>15</v>
      </c>
      <c r="K49">
        <v>1</v>
      </c>
      <c r="L49">
        <v>1</v>
      </c>
      <c r="M49" t="s">
        <v>14</v>
      </c>
      <c r="N49" s="141">
        <v>45122.343842592592</v>
      </c>
      <c r="O49" t="s">
        <v>49</v>
      </c>
      <c r="P49" t="s">
        <v>603</v>
      </c>
      <c r="Q49" t="s">
        <v>677</v>
      </c>
    </row>
    <row r="50" spans="1:17" x14ac:dyDescent="0.25">
      <c r="A50">
        <v>5</v>
      </c>
      <c r="B50" s="140">
        <v>44804</v>
      </c>
      <c r="C50" s="141">
        <v>44804.625</v>
      </c>
      <c r="D50" s="141">
        <v>44804.833333333336</v>
      </c>
      <c r="E50" s="141">
        <v>44804.875</v>
      </c>
      <c r="F50" s="141">
        <v>44804.916666666664</v>
      </c>
      <c r="G50" s="141">
        <v>44804.916666666664</v>
      </c>
      <c r="H50" t="s">
        <v>298</v>
      </c>
      <c r="I50" t="s">
        <v>48</v>
      </c>
      <c r="J50" t="s">
        <v>9</v>
      </c>
      <c r="K50">
        <v>2</v>
      </c>
      <c r="L50">
        <v>1</v>
      </c>
      <c r="M50" t="s">
        <v>12</v>
      </c>
      <c r="N50" s="141">
        <v>45122.343842592592</v>
      </c>
      <c r="O50" t="s">
        <v>49</v>
      </c>
      <c r="P50" t="s">
        <v>603</v>
      </c>
      <c r="Q50" t="s">
        <v>677</v>
      </c>
    </row>
    <row r="51" spans="1:17" x14ac:dyDescent="0.25">
      <c r="A51">
        <v>5</v>
      </c>
      <c r="B51" s="140">
        <v>44805</v>
      </c>
      <c r="C51" s="141">
        <v>44805.625</v>
      </c>
      <c r="D51" s="141">
        <v>44805.833333333336</v>
      </c>
      <c r="E51" s="141">
        <v>44805.875</v>
      </c>
      <c r="F51" s="141">
        <v>44805.916666666664</v>
      </c>
      <c r="G51" s="141">
        <v>44805.916666666664</v>
      </c>
      <c r="H51" t="s">
        <v>246</v>
      </c>
      <c r="I51" t="s">
        <v>54</v>
      </c>
      <c r="J51" t="s">
        <v>8</v>
      </c>
      <c r="K51">
        <v>0</v>
      </c>
      <c r="L51">
        <v>1</v>
      </c>
      <c r="M51" t="s">
        <v>11</v>
      </c>
      <c r="N51" s="141">
        <v>45122.343842592592</v>
      </c>
      <c r="O51" t="s">
        <v>49</v>
      </c>
      <c r="P51" t="s">
        <v>603</v>
      </c>
      <c r="Q51" t="s">
        <v>677</v>
      </c>
    </row>
    <row r="52" spans="1:17" x14ac:dyDescent="0.25">
      <c r="A52">
        <v>6</v>
      </c>
      <c r="B52" s="140">
        <v>44807</v>
      </c>
      <c r="C52" s="141">
        <v>44807.3125</v>
      </c>
      <c r="D52" s="141">
        <v>44807.520833333336</v>
      </c>
      <c r="E52" s="141">
        <v>44807.5625</v>
      </c>
      <c r="F52" s="141">
        <v>44807.604166666664</v>
      </c>
      <c r="G52" s="141">
        <v>44807.604166666664</v>
      </c>
      <c r="H52" t="s">
        <v>168</v>
      </c>
      <c r="I52" t="s">
        <v>59</v>
      </c>
      <c r="J52" t="s">
        <v>7</v>
      </c>
      <c r="K52">
        <v>0</v>
      </c>
      <c r="L52">
        <v>0</v>
      </c>
      <c r="M52" t="s">
        <v>9</v>
      </c>
      <c r="N52" s="141">
        <v>45122.343842592592</v>
      </c>
      <c r="O52" t="s">
        <v>49</v>
      </c>
      <c r="P52" t="s">
        <v>603</v>
      </c>
      <c r="Q52" t="s">
        <v>677</v>
      </c>
    </row>
    <row r="53" spans="1:17" x14ac:dyDescent="0.25">
      <c r="A53">
        <v>6</v>
      </c>
      <c r="B53" s="140">
        <v>44807</v>
      </c>
      <c r="C53" s="141">
        <v>44807.416666666664</v>
      </c>
      <c r="D53" s="141">
        <v>44807.625</v>
      </c>
      <c r="E53" s="141">
        <v>44807.666666666664</v>
      </c>
      <c r="F53" s="141">
        <v>44807.708333333336</v>
      </c>
      <c r="G53" s="141">
        <v>44807.708333333336</v>
      </c>
      <c r="H53" t="s">
        <v>415</v>
      </c>
      <c r="I53" t="s">
        <v>593</v>
      </c>
      <c r="J53" t="s">
        <v>125</v>
      </c>
      <c r="K53">
        <v>5</v>
      </c>
      <c r="L53">
        <v>2</v>
      </c>
      <c r="M53" t="s">
        <v>139</v>
      </c>
      <c r="N53" s="141">
        <v>45122.343842592592</v>
      </c>
      <c r="O53" t="s">
        <v>49</v>
      </c>
      <c r="P53" t="s">
        <v>603</v>
      </c>
      <c r="Q53" t="s">
        <v>677</v>
      </c>
    </row>
    <row r="54" spans="1:17" x14ac:dyDescent="0.25">
      <c r="A54">
        <v>6</v>
      </c>
      <c r="B54" s="140">
        <v>44807</v>
      </c>
      <c r="C54" s="141">
        <v>44807.416666666664</v>
      </c>
      <c r="D54" s="141">
        <v>44807.625</v>
      </c>
      <c r="E54" s="141">
        <v>44807.666666666664</v>
      </c>
      <c r="F54" s="141">
        <v>44807.708333333336</v>
      </c>
      <c r="G54" s="141">
        <v>44807.708333333336</v>
      </c>
      <c r="H54" t="s">
        <v>396</v>
      </c>
      <c r="I54" t="s">
        <v>62</v>
      </c>
      <c r="J54" t="s">
        <v>5</v>
      </c>
      <c r="K54">
        <v>2</v>
      </c>
      <c r="L54">
        <v>1</v>
      </c>
      <c r="M54" t="s">
        <v>15</v>
      </c>
      <c r="N54" s="141">
        <v>45122.343842592592</v>
      </c>
      <c r="O54" t="s">
        <v>49</v>
      </c>
      <c r="P54" t="s">
        <v>603</v>
      </c>
      <c r="Q54" t="s">
        <v>677</v>
      </c>
    </row>
    <row r="55" spans="1:17" x14ac:dyDescent="0.25">
      <c r="A55">
        <v>6</v>
      </c>
      <c r="B55" s="140">
        <v>44807</v>
      </c>
      <c r="C55" s="141">
        <v>44807.416666666664</v>
      </c>
      <c r="D55" s="141">
        <v>44807.625</v>
      </c>
      <c r="E55" s="141">
        <v>44807.666666666664</v>
      </c>
      <c r="F55" s="141">
        <v>44807.708333333336</v>
      </c>
      <c r="G55" s="141">
        <v>44807.708333333336</v>
      </c>
      <c r="H55" t="s">
        <v>374</v>
      </c>
      <c r="I55" t="s">
        <v>55</v>
      </c>
      <c r="J55" t="s">
        <v>12</v>
      </c>
      <c r="K55">
        <v>0</v>
      </c>
      <c r="L55">
        <v>0</v>
      </c>
      <c r="M55" t="s">
        <v>6</v>
      </c>
      <c r="N55" s="141">
        <v>45122.343842592592</v>
      </c>
      <c r="O55" t="s">
        <v>49</v>
      </c>
      <c r="P55" t="s">
        <v>603</v>
      </c>
      <c r="Q55" t="s">
        <v>677</v>
      </c>
    </row>
    <row r="56" spans="1:17" x14ac:dyDescent="0.25">
      <c r="A56">
        <v>6</v>
      </c>
      <c r="B56" s="140">
        <v>44807</v>
      </c>
      <c r="C56" s="141">
        <v>44807.416666666664</v>
      </c>
      <c r="D56" s="141">
        <v>44807.625</v>
      </c>
      <c r="E56" s="141">
        <v>44807.666666666664</v>
      </c>
      <c r="F56" s="141">
        <v>44807.708333333336</v>
      </c>
      <c r="G56" s="141">
        <v>44807.708333333336</v>
      </c>
      <c r="H56" t="s">
        <v>447</v>
      </c>
      <c r="I56" t="s">
        <v>436</v>
      </c>
      <c r="J56" t="s">
        <v>204</v>
      </c>
      <c r="K56">
        <v>2</v>
      </c>
      <c r="L56">
        <v>3</v>
      </c>
      <c r="M56" t="s">
        <v>3</v>
      </c>
      <c r="N56" s="141">
        <v>45122.343842592592</v>
      </c>
      <c r="O56" t="s">
        <v>49</v>
      </c>
      <c r="P56" t="s">
        <v>603</v>
      </c>
      <c r="Q56" t="s">
        <v>677</v>
      </c>
    </row>
    <row r="57" spans="1:17" x14ac:dyDescent="0.25">
      <c r="A57">
        <v>6</v>
      </c>
      <c r="B57" s="140">
        <v>44807</v>
      </c>
      <c r="C57" s="141">
        <v>44807.416666666664</v>
      </c>
      <c r="D57" s="141">
        <v>44807.625</v>
      </c>
      <c r="E57" s="141">
        <v>44807.666666666664</v>
      </c>
      <c r="F57" s="141">
        <v>44807.708333333336</v>
      </c>
      <c r="G57" s="141">
        <v>44807.708333333336</v>
      </c>
      <c r="H57" t="s">
        <v>448</v>
      </c>
      <c r="I57" t="s">
        <v>53</v>
      </c>
      <c r="J57" t="s">
        <v>14</v>
      </c>
      <c r="K57">
        <v>2</v>
      </c>
      <c r="L57">
        <v>1</v>
      </c>
      <c r="M57" t="s">
        <v>126</v>
      </c>
      <c r="N57" s="141">
        <v>45122.343842592592</v>
      </c>
      <c r="O57" t="s">
        <v>49</v>
      </c>
      <c r="P57" t="s">
        <v>603</v>
      </c>
      <c r="Q57" t="s">
        <v>677</v>
      </c>
    </row>
    <row r="58" spans="1:17" x14ac:dyDescent="0.25">
      <c r="A58">
        <v>6</v>
      </c>
      <c r="B58" s="140">
        <v>44807</v>
      </c>
      <c r="C58" s="141">
        <v>44807.416666666664</v>
      </c>
      <c r="D58" s="141">
        <v>44807.625</v>
      </c>
      <c r="E58" s="141">
        <v>44807.666666666664</v>
      </c>
      <c r="F58" s="141">
        <v>44807.708333333336</v>
      </c>
      <c r="G58" s="141">
        <v>44807.708333333336</v>
      </c>
      <c r="H58" t="s">
        <v>329</v>
      </c>
      <c r="I58" t="s">
        <v>63</v>
      </c>
      <c r="J58" t="s">
        <v>16</v>
      </c>
      <c r="K58">
        <v>1</v>
      </c>
      <c r="L58">
        <v>0</v>
      </c>
      <c r="M58" t="s">
        <v>13</v>
      </c>
      <c r="N58" s="141">
        <v>45122.343842592592</v>
      </c>
      <c r="O58" t="s">
        <v>49</v>
      </c>
      <c r="P58" t="s">
        <v>603</v>
      </c>
      <c r="Q58" t="s">
        <v>677</v>
      </c>
    </row>
    <row r="59" spans="1:17" x14ac:dyDescent="0.25">
      <c r="A59">
        <v>6</v>
      </c>
      <c r="B59" s="140">
        <v>44807</v>
      </c>
      <c r="C59" s="141">
        <v>44807.520833333336</v>
      </c>
      <c r="D59" s="141">
        <v>44807.729166666664</v>
      </c>
      <c r="E59" s="141">
        <v>44807.770833333336</v>
      </c>
      <c r="F59" s="141">
        <v>44807.8125</v>
      </c>
      <c r="G59" s="141">
        <v>44807.8125</v>
      </c>
      <c r="H59" t="s">
        <v>278</v>
      </c>
      <c r="I59" t="s">
        <v>58</v>
      </c>
      <c r="J59" t="s">
        <v>2</v>
      </c>
      <c r="K59">
        <v>1</v>
      </c>
      <c r="L59">
        <v>1</v>
      </c>
      <c r="M59" t="s">
        <v>10</v>
      </c>
      <c r="N59" s="141">
        <v>45122.343842592592</v>
      </c>
      <c r="O59" t="s">
        <v>49</v>
      </c>
      <c r="P59" t="s">
        <v>603</v>
      </c>
      <c r="Q59" t="s">
        <v>677</v>
      </c>
    </row>
    <row r="60" spans="1:17" x14ac:dyDescent="0.25">
      <c r="A60">
        <v>6</v>
      </c>
      <c r="B60" s="140">
        <v>44808</v>
      </c>
      <c r="C60" s="141">
        <v>44808.375</v>
      </c>
      <c r="D60" s="141">
        <v>44808.583333333336</v>
      </c>
      <c r="E60" s="141">
        <v>44808.625</v>
      </c>
      <c r="F60" s="141">
        <v>44808.666666666664</v>
      </c>
      <c r="G60" s="141">
        <v>44808.666666666664</v>
      </c>
      <c r="H60" t="s">
        <v>225</v>
      </c>
      <c r="I60" t="s">
        <v>151</v>
      </c>
      <c r="J60" t="s">
        <v>4</v>
      </c>
      <c r="K60">
        <v>5</v>
      </c>
      <c r="L60">
        <v>2</v>
      </c>
      <c r="M60" t="s">
        <v>8</v>
      </c>
      <c r="N60" s="141">
        <v>45122.343842592592</v>
      </c>
      <c r="O60" t="s">
        <v>49</v>
      </c>
      <c r="P60" t="s">
        <v>603</v>
      </c>
      <c r="Q60" t="s">
        <v>677</v>
      </c>
    </row>
    <row r="61" spans="1:17" x14ac:dyDescent="0.25">
      <c r="A61">
        <v>6</v>
      </c>
      <c r="B61" s="140">
        <v>44808</v>
      </c>
      <c r="C61" s="141">
        <v>44808.479166666664</v>
      </c>
      <c r="D61" s="141">
        <v>44808.6875</v>
      </c>
      <c r="E61" s="141">
        <v>44808.729166666664</v>
      </c>
      <c r="F61" s="141">
        <v>44808.770833333336</v>
      </c>
      <c r="G61" s="141">
        <v>44808.770833333336</v>
      </c>
      <c r="H61" t="s">
        <v>281</v>
      </c>
      <c r="I61" t="s">
        <v>56</v>
      </c>
      <c r="J61" t="s">
        <v>11</v>
      </c>
      <c r="K61">
        <v>3</v>
      </c>
      <c r="L61">
        <v>1</v>
      </c>
      <c r="M61" t="s">
        <v>1</v>
      </c>
      <c r="N61" s="141">
        <v>45122.343842592592</v>
      </c>
      <c r="O61" t="s">
        <v>49</v>
      </c>
      <c r="P61" t="s">
        <v>603</v>
      </c>
      <c r="Q61" t="s">
        <v>677</v>
      </c>
    </row>
    <row r="62" spans="1:17" x14ac:dyDescent="0.25">
      <c r="A62">
        <v>8</v>
      </c>
      <c r="B62" s="140">
        <v>44820</v>
      </c>
      <c r="C62" s="141">
        <v>44820.625</v>
      </c>
      <c r="D62" s="141">
        <v>44820.833333333336</v>
      </c>
      <c r="E62" s="141">
        <v>44820.875</v>
      </c>
      <c r="F62" s="141">
        <v>44820.916666666664</v>
      </c>
      <c r="G62" s="141">
        <v>44820.916666666664</v>
      </c>
      <c r="H62" t="s">
        <v>188</v>
      </c>
      <c r="I62" t="s">
        <v>58</v>
      </c>
      <c r="J62" t="s">
        <v>2</v>
      </c>
      <c r="K62">
        <v>1</v>
      </c>
      <c r="L62">
        <v>0</v>
      </c>
      <c r="M62" t="s">
        <v>13</v>
      </c>
      <c r="N62" s="141">
        <v>45122.343842592592</v>
      </c>
      <c r="O62" t="s">
        <v>49</v>
      </c>
      <c r="P62" t="s">
        <v>603</v>
      </c>
      <c r="Q62" t="s">
        <v>677</v>
      </c>
    </row>
    <row r="63" spans="1:17" x14ac:dyDescent="0.25">
      <c r="A63">
        <v>8</v>
      </c>
      <c r="B63" s="140">
        <v>44820</v>
      </c>
      <c r="C63" s="141">
        <v>44820.625</v>
      </c>
      <c r="D63" s="141">
        <v>44820.833333333336</v>
      </c>
      <c r="E63" s="141">
        <v>44820.875</v>
      </c>
      <c r="F63" s="141">
        <v>44820.916666666664</v>
      </c>
      <c r="G63" s="141">
        <v>44820.916666666664</v>
      </c>
      <c r="H63" t="s">
        <v>453</v>
      </c>
      <c r="I63" t="s">
        <v>436</v>
      </c>
      <c r="J63" t="s">
        <v>204</v>
      </c>
      <c r="K63">
        <v>2</v>
      </c>
      <c r="L63">
        <v>3</v>
      </c>
      <c r="M63" t="s">
        <v>126</v>
      </c>
      <c r="N63" s="141">
        <v>45122.343842592592</v>
      </c>
      <c r="O63" t="s">
        <v>49</v>
      </c>
      <c r="P63" t="s">
        <v>603</v>
      </c>
      <c r="Q63" t="s">
        <v>677</v>
      </c>
    </row>
    <row r="64" spans="1:17" x14ac:dyDescent="0.25">
      <c r="A64">
        <v>8</v>
      </c>
      <c r="B64" s="140">
        <v>44821</v>
      </c>
      <c r="C64" s="141">
        <v>44821.3125</v>
      </c>
      <c r="D64" s="141">
        <v>44821.520833333336</v>
      </c>
      <c r="E64" s="141">
        <v>44821.5625</v>
      </c>
      <c r="F64" s="141">
        <v>44821.604166666664</v>
      </c>
      <c r="G64" s="141">
        <v>44821.604166666664</v>
      </c>
      <c r="H64" t="s">
        <v>392</v>
      </c>
      <c r="I64" t="s">
        <v>63</v>
      </c>
      <c r="J64" t="s">
        <v>16</v>
      </c>
      <c r="K64">
        <v>0</v>
      </c>
      <c r="L64">
        <v>3</v>
      </c>
      <c r="M64" t="s">
        <v>10</v>
      </c>
      <c r="N64" s="141">
        <v>45122.343842592592</v>
      </c>
      <c r="O64" t="s">
        <v>49</v>
      </c>
      <c r="P64" t="s">
        <v>603</v>
      </c>
      <c r="Q64" t="s">
        <v>677</v>
      </c>
    </row>
    <row r="65" spans="1:17" x14ac:dyDescent="0.25">
      <c r="A65">
        <v>8</v>
      </c>
      <c r="B65" s="140">
        <v>44821</v>
      </c>
      <c r="C65" s="141">
        <v>44821.416666666664</v>
      </c>
      <c r="D65" s="141">
        <v>44821.625</v>
      </c>
      <c r="E65" s="141">
        <v>44821.666666666664</v>
      </c>
      <c r="F65" s="141">
        <v>44821.708333333336</v>
      </c>
      <c r="G65" s="141">
        <v>44821.708333333336</v>
      </c>
      <c r="H65" t="s">
        <v>452</v>
      </c>
      <c r="I65" t="s">
        <v>55</v>
      </c>
      <c r="J65" t="s">
        <v>12</v>
      </c>
      <c r="K65">
        <v>1</v>
      </c>
      <c r="L65">
        <v>1</v>
      </c>
      <c r="M65" t="s">
        <v>3</v>
      </c>
      <c r="N65" s="141">
        <v>45122.343842592592</v>
      </c>
      <c r="O65" t="s">
        <v>49</v>
      </c>
      <c r="P65" t="s">
        <v>603</v>
      </c>
      <c r="Q65" t="s">
        <v>677</v>
      </c>
    </row>
    <row r="66" spans="1:17" x14ac:dyDescent="0.25">
      <c r="A66">
        <v>8</v>
      </c>
      <c r="B66" s="140">
        <v>44821</v>
      </c>
      <c r="C66" s="141">
        <v>44821.520833333336</v>
      </c>
      <c r="D66" s="141">
        <v>44821.729166666664</v>
      </c>
      <c r="E66" s="141">
        <v>44821.770833333336</v>
      </c>
      <c r="F66" s="141">
        <v>44821.8125</v>
      </c>
      <c r="G66" s="141">
        <v>44821.8125</v>
      </c>
      <c r="H66" t="s">
        <v>402</v>
      </c>
      <c r="I66" t="s">
        <v>53</v>
      </c>
      <c r="J66" t="s">
        <v>14</v>
      </c>
      <c r="K66">
        <v>6</v>
      </c>
      <c r="L66">
        <v>2</v>
      </c>
      <c r="M66" t="s">
        <v>8</v>
      </c>
      <c r="N66" s="141">
        <v>45122.343842592592</v>
      </c>
      <c r="O66" t="s">
        <v>49</v>
      </c>
      <c r="P66" t="s">
        <v>603</v>
      </c>
      <c r="Q66" t="s">
        <v>677</v>
      </c>
    </row>
    <row r="67" spans="1:17" x14ac:dyDescent="0.25">
      <c r="A67">
        <v>8</v>
      </c>
      <c r="B67" s="140">
        <v>44822</v>
      </c>
      <c r="C67" s="141">
        <v>44822.291666666664</v>
      </c>
      <c r="D67" s="141">
        <v>44822.5</v>
      </c>
      <c r="E67" s="141">
        <v>44822.541666666664</v>
      </c>
      <c r="F67" s="141">
        <v>44822.583333333336</v>
      </c>
      <c r="G67" s="141">
        <v>44822.583333333336</v>
      </c>
      <c r="H67" t="s">
        <v>147</v>
      </c>
      <c r="I67" t="s">
        <v>593</v>
      </c>
      <c r="J67" t="s">
        <v>125</v>
      </c>
      <c r="K67">
        <v>0</v>
      </c>
      <c r="L67">
        <v>3</v>
      </c>
      <c r="M67" t="s">
        <v>1</v>
      </c>
      <c r="N67" s="141">
        <v>45122.343842592592</v>
      </c>
      <c r="O67" t="s">
        <v>49</v>
      </c>
      <c r="P67" t="s">
        <v>603</v>
      </c>
      <c r="Q67" t="s">
        <v>677</v>
      </c>
    </row>
    <row r="68" spans="1:17" x14ac:dyDescent="0.25">
      <c r="A68">
        <v>8</v>
      </c>
      <c r="B68" s="140">
        <v>44822</v>
      </c>
      <c r="C68" s="141">
        <v>44822.385416666664</v>
      </c>
      <c r="D68" s="141">
        <v>44822.59375</v>
      </c>
      <c r="E68" s="141">
        <v>44822.635416666664</v>
      </c>
      <c r="F68" s="141">
        <v>44822.677083333336</v>
      </c>
      <c r="G68" s="141">
        <v>44822.677083333336</v>
      </c>
      <c r="H68" t="s">
        <v>245</v>
      </c>
      <c r="I68" t="s">
        <v>59</v>
      </c>
      <c r="J68" t="s">
        <v>7</v>
      </c>
      <c r="K68">
        <v>1</v>
      </c>
      <c r="L68">
        <v>0</v>
      </c>
      <c r="M68" t="s">
        <v>15</v>
      </c>
      <c r="N68" s="141">
        <v>45122.343842592592</v>
      </c>
      <c r="O68" t="s">
        <v>49</v>
      </c>
      <c r="P68" t="s">
        <v>603</v>
      </c>
      <c r="Q68" t="s">
        <v>677</v>
      </c>
    </row>
    <row r="69" spans="1:17" x14ac:dyDescent="0.25">
      <c r="A69">
        <v>9</v>
      </c>
      <c r="B69" s="140">
        <v>44835</v>
      </c>
      <c r="C69" s="141">
        <v>44835.3125</v>
      </c>
      <c r="D69" s="141">
        <v>44835.520833333336</v>
      </c>
      <c r="E69" s="141">
        <v>44835.5625</v>
      </c>
      <c r="F69" s="141">
        <v>44835.604166666664</v>
      </c>
      <c r="G69" s="141">
        <v>44835.604166666664</v>
      </c>
      <c r="H69" t="s">
        <v>231</v>
      </c>
      <c r="I69" t="s">
        <v>57</v>
      </c>
      <c r="J69" t="s">
        <v>1</v>
      </c>
      <c r="K69">
        <v>3</v>
      </c>
      <c r="L69">
        <v>1</v>
      </c>
      <c r="M69" t="s">
        <v>14</v>
      </c>
      <c r="N69" s="141">
        <v>45122.343842592592</v>
      </c>
      <c r="O69" t="s">
        <v>49</v>
      </c>
      <c r="P69" t="s">
        <v>603</v>
      </c>
      <c r="Q69" t="s">
        <v>677</v>
      </c>
    </row>
    <row r="70" spans="1:17" x14ac:dyDescent="0.25">
      <c r="A70">
        <v>9</v>
      </c>
      <c r="B70" s="140">
        <v>44835</v>
      </c>
      <c r="C70" s="141">
        <v>44835.416666666664</v>
      </c>
      <c r="D70" s="141">
        <v>44835.625</v>
      </c>
      <c r="E70" s="141">
        <v>44835.666666666664</v>
      </c>
      <c r="F70" s="141">
        <v>44835.708333333336</v>
      </c>
      <c r="G70" s="141">
        <v>44835.708333333336</v>
      </c>
      <c r="H70" t="s">
        <v>454</v>
      </c>
      <c r="I70" t="s">
        <v>51</v>
      </c>
      <c r="J70" t="s">
        <v>3</v>
      </c>
      <c r="K70">
        <v>0</v>
      </c>
      <c r="L70">
        <v>0</v>
      </c>
      <c r="M70" t="s">
        <v>125</v>
      </c>
      <c r="N70" s="141">
        <v>45122.343842592592</v>
      </c>
      <c r="O70" t="s">
        <v>49</v>
      </c>
      <c r="P70" t="s">
        <v>603</v>
      </c>
      <c r="Q70" t="s">
        <v>677</v>
      </c>
    </row>
    <row r="71" spans="1:17" x14ac:dyDescent="0.25">
      <c r="A71">
        <v>9</v>
      </c>
      <c r="B71" s="140">
        <v>44835</v>
      </c>
      <c r="C71" s="141">
        <v>44835.416666666664</v>
      </c>
      <c r="D71" s="141">
        <v>44835.625</v>
      </c>
      <c r="E71" s="141">
        <v>44835.666666666664</v>
      </c>
      <c r="F71" s="141">
        <v>44835.708333333336</v>
      </c>
      <c r="G71" s="141">
        <v>44835.708333333336</v>
      </c>
      <c r="H71" t="s">
        <v>185</v>
      </c>
      <c r="I71" t="s">
        <v>52</v>
      </c>
      <c r="J71" t="s">
        <v>6</v>
      </c>
      <c r="K71">
        <v>1</v>
      </c>
      <c r="L71">
        <v>2</v>
      </c>
      <c r="M71" t="s">
        <v>5</v>
      </c>
      <c r="N71" s="141">
        <v>45122.343842592592</v>
      </c>
      <c r="O71" t="s">
        <v>49</v>
      </c>
      <c r="P71" t="s">
        <v>603</v>
      </c>
      <c r="Q71" t="s">
        <v>677</v>
      </c>
    </row>
    <row r="72" spans="1:17" x14ac:dyDescent="0.25">
      <c r="A72">
        <v>9</v>
      </c>
      <c r="B72" s="140">
        <v>44835</v>
      </c>
      <c r="C72" s="141">
        <v>44835.416666666664</v>
      </c>
      <c r="D72" s="141">
        <v>44835.625</v>
      </c>
      <c r="E72" s="141">
        <v>44835.666666666664</v>
      </c>
      <c r="F72" s="141">
        <v>44835.708333333336</v>
      </c>
      <c r="G72" s="141">
        <v>44835.708333333336</v>
      </c>
      <c r="H72" t="s">
        <v>455</v>
      </c>
      <c r="I72" t="s">
        <v>431</v>
      </c>
      <c r="J72" t="s">
        <v>126</v>
      </c>
      <c r="K72">
        <v>1</v>
      </c>
      <c r="L72">
        <v>4</v>
      </c>
      <c r="M72" t="s">
        <v>12</v>
      </c>
      <c r="N72" s="141">
        <v>45122.343842592592</v>
      </c>
      <c r="O72" t="s">
        <v>49</v>
      </c>
      <c r="P72" t="s">
        <v>603</v>
      </c>
      <c r="Q72" t="s">
        <v>677</v>
      </c>
    </row>
    <row r="73" spans="1:17" x14ac:dyDescent="0.25">
      <c r="A73">
        <v>9</v>
      </c>
      <c r="B73" s="140">
        <v>44835</v>
      </c>
      <c r="C73" s="141">
        <v>44835.416666666664</v>
      </c>
      <c r="D73" s="141">
        <v>44835.625</v>
      </c>
      <c r="E73" s="141">
        <v>44835.666666666664</v>
      </c>
      <c r="F73" s="141">
        <v>44835.708333333336</v>
      </c>
      <c r="G73" s="141">
        <v>44835.708333333336</v>
      </c>
      <c r="H73" t="s">
        <v>257</v>
      </c>
      <c r="I73" t="s">
        <v>48</v>
      </c>
      <c r="J73" t="s">
        <v>9</v>
      </c>
      <c r="K73">
        <v>3</v>
      </c>
      <c r="L73">
        <v>3</v>
      </c>
      <c r="M73" t="s">
        <v>4</v>
      </c>
      <c r="N73" s="141">
        <v>45122.343842592592</v>
      </c>
      <c r="O73" t="s">
        <v>49</v>
      </c>
      <c r="P73" t="s">
        <v>603</v>
      </c>
      <c r="Q73" t="s">
        <v>677</v>
      </c>
    </row>
    <row r="74" spans="1:17" x14ac:dyDescent="0.25">
      <c r="A74">
        <v>9</v>
      </c>
      <c r="B74" s="140">
        <v>44835</v>
      </c>
      <c r="C74" s="141">
        <v>44835.416666666664</v>
      </c>
      <c r="D74" s="141">
        <v>44835.625</v>
      </c>
      <c r="E74" s="141">
        <v>44835.666666666664</v>
      </c>
      <c r="F74" s="141">
        <v>44835.708333333336</v>
      </c>
      <c r="G74" s="141">
        <v>44835.708333333336</v>
      </c>
      <c r="H74" t="s">
        <v>186</v>
      </c>
      <c r="I74" t="s">
        <v>60</v>
      </c>
      <c r="J74" t="s">
        <v>13</v>
      </c>
      <c r="K74">
        <v>1</v>
      </c>
      <c r="L74">
        <v>2</v>
      </c>
      <c r="M74" t="s">
        <v>7</v>
      </c>
      <c r="N74" s="141">
        <v>45122.343842592592</v>
      </c>
      <c r="O74" t="s">
        <v>49</v>
      </c>
      <c r="P74" t="s">
        <v>603</v>
      </c>
      <c r="Q74" t="s">
        <v>677</v>
      </c>
    </row>
    <row r="75" spans="1:17" x14ac:dyDescent="0.25">
      <c r="A75">
        <v>9</v>
      </c>
      <c r="B75" s="140">
        <v>44835</v>
      </c>
      <c r="C75" s="141">
        <v>44835.520833333336</v>
      </c>
      <c r="D75" s="141">
        <v>44835.729166666664</v>
      </c>
      <c r="E75" s="141">
        <v>44835.770833333336</v>
      </c>
      <c r="F75" s="141">
        <v>44835.8125</v>
      </c>
      <c r="G75" s="141">
        <v>44835.8125</v>
      </c>
      <c r="H75" t="s">
        <v>357</v>
      </c>
      <c r="I75" t="s">
        <v>50</v>
      </c>
      <c r="J75" t="s">
        <v>15</v>
      </c>
      <c r="K75">
        <v>2</v>
      </c>
      <c r="L75">
        <v>0</v>
      </c>
      <c r="M75" t="s">
        <v>16</v>
      </c>
      <c r="N75" s="141">
        <v>45122.343842592592</v>
      </c>
      <c r="O75" t="s">
        <v>49</v>
      </c>
      <c r="P75" t="s">
        <v>603</v>
      </c>
      <c r="Q75" t="s">
        <v>677</v>
      </c>
    </row>
    <row r="76" spans="1:17" x14ac:dyDescent="0.25">
      <c r="A76">
        <v>9</v>
      </c>
      <c r="B76" s="140">
        <v>44836</v>
      </c>
      <c r="C76" s="141">
        <v>44836.375</v>
      </c>
      <c r="D76" s="141">
        <v>44836.583333333336</v>
      </c>
      <c r="E76" s="141">
        <v>44836.625</v>
      </c>
      <c r="F76" s="141">
        <v>44836.666666666664</v>
      </c>
      <c r="G76" s="141">
        <v>44836.666666666664</v>
      </c>
      <c r="H76" t="s">
        <v>360</v>
      </c>
      <c r="I76" t="s">
        <v>61</v>
      </c>
      <c r="J76" t="s">
        <v>10</v>
      </c>
      <c r="K76">
        <v>6</v>
      </c>
      <c r="L76">
        <v>3</v>
      </c>
      <c r="M76" t="s">
        <v>11</v>
      </c>
      <c r="N76" s="141">
        <v>45122.343842592592</v>
      </c>
      <c r="O76" t="s">
        <v>49</v>
      </c>
      <c r="P76" t="s">
        <v>603</v>
      </c>
      <c r="Q76" t="s">
        <v>677</v>
      </c>
    </row>
    <row r="77" spans="1:17" x14ac:dyDescent="0.25">
      <c r="A77">
        <v>9</v>
      </c>
      <c r="B77" s="140">
        <v>44836</v>
      </c>
      <c r="C77" s="141">
        <v>44836.479166666664</v>
      </c>
      <c r="D77" s="141">
        <v>44836.6875</v>
      </c>
      <c r="E77" s="141">
        <v>44836.729166666664</v>
      </c>
      <c r="F77" s="141">
        <v>44836.770833333336</v>
      </c>
      <c r="G77" s="141">
        <v>44836.770833333336</v>
      </c>
      <c r="H77" t="s">
        <v>316</v>
      </c>
      <c r="I77" t="s">
        <v>140</v>
      </c>
      <c r="J77" t="s">
        <v>139</v>
      </c>
      <c r="K77">
        <v>0</v>
      </c>
      <c r="L77">
        <v>0</v>
      </c>
      <c r="M77" t="s">
        <v>2</v>
      </c>
      <c r="N77" s="141">
        <v>45122.343842592592</v>
      </c>
      <c r="O77" t="s">
        <v>49</v>
      </c>
      <c r="P77" t="s">
        <v>603</v>
      </c>
      <c r="Q77" t="s">
        <v>677</v>
      </c>
    </row>
    <row r="78" spans="1:17" x14ac:dyDescent="0.25">
      <c r="A78">
        <v>9</v>
      </c>
      <c r="B78" s="140">
        <v>44837</v>
      </c>
      <c r="C78" s="141">
        <v>44837.625</v>
      </c>
      <c r="D78" s="141">
        <v>44837.833333333336</v>
      </c>
      <c r="E78" s="141">
        <v>44837.875</v>
      </c>
      <c r="F78" s="141">
        <v>44837.916666666664</v>
      </c>
      <c r="G78" s="141">
        <v>44837.916666666664</v>
      </c>
      <c r="H78" t="s">
        <v>456</v>
      </c>
      <c r="I78" t="s">
        <v>54</v>
      </c>
      <c r="J78" t="s">
        <v>8</v>
      </c>
      <c r="K78">
        <v>4</v>
      </c>
      <c r="L78">
        <v>0</v>
      </c>
      <c r="M78" t="s">
        <v>204</v>
      </c>
      <c r="N78" s="141">
        <v>45122.343842592592</v>
      </c>
      <c r="O78" t="s">
        <v>49</v>
      </c>
      <c r="P78" t="s">
        <v>603</v>
      </c>
      <c r="Q78" t="s">
        <v>677</v>
      </c>
    </row>
    <row r="79" spans="1:17" x14ac:dyDescent="0.25">
      <c r="A79">
        <v>10</v>
      </c>
      <c r="B79" s="140">
        <v>44842</v>
      </c>
      <c r="C79" s="141">
        <v>44842.416666666664</v>
      </c>
      <c r="D79" s="141">
        <v>44842.625</v>
      </c>
      <c r="E79" s="141">
        <v>44842.666666666664</v>
      </c>
      <c r="F79" s="141">
        <v>44842.708333333336</v>
      </c>
      <c r="G79" s="141">
        <v>44842.708333333336</v>
      </c>
      <c r="H79" t="s">
        <v>457</v>
      </c>
      <c r="I79" t="s">
        <v>51</v>
      </c>
      <c r="J79" t="s">
        <v>3</v>
      </c>
      <c r="K79">
        <v>2</v>
      </c>
      <c r="L79">
        <v>1</v>
      </c>
      <c r="M79" t="s">
        <v>8</v>
      </c>
      <c r="N79" s="141">
        <v>45122.343842592592</v>
      </c>
      <c r="O79" t="s">
        <v>49</v>
      </c>
      <c r="P79" t="s">
        <v>603</v>
      </c>
      <c r="Q79" t="s">
        <v>677</v>
      </c>
    </row>
    <row r="80" spans="1:17" x14ac:dyDescent="0.25">
      <c r="A80">
        <v>10</v>
      </c>
      <c r="B80" s="140">
        <v>44842</v>
      </c>
      <c r="C80" s="141">
        <v>44842.416666666664</v>
      </c>
      <c r="D80" s="141">
        <v>44842.625</v>
      </c>
      <c r="E80" s="141">
        <v>44842.666666666664</v>
      </c>
      <c r="F80" s="141">
        <v>44842.708333333336</v>
      </c>
      <c r="G80" s="141">
        <v>44842.708333333336</v>
      </c>
      <c r="H80" t="s">
        <v>407</v>
      </c>
      <c r="I80" t="s">
        <v>62</v>
      </c>
      <c r="J80" t="s">
        <v>5</v>
      </c>
      <c r="K80">
        <v>3</v>
      </c>
      <c r="L80">
        <v>0</v>
      </c>
      <c r="M80" t="s">
        <v>16</v>
      </c>
      <c r="N80" s="141">
        <v>45122.343842592592</v>
      </c>
      <c r="O80" t="s">
        <v>49</v>
      </c>
      <c r="P80" t="s">
        <v>603</v>
      </c>
      <c r="Q80" t="s">
        <v>677</v>
      </c>
    </row>
    <row r="81" spans="1:17" x14ac:dyDescent="0.25">
      <c r="A81">
        <v>10</v>
      </c>
      <c r="B81" s="140">
        <v>44842</v>
      </c>
      <c r="C81" s="141">
        <v>44842.416666666664</v>
      </c>
      <c r="D81" s="141">
        <v>44842.625</v>
      </c>
      <c r="E81" s="141">
        <v>44842.666666666664</v>
      </c>
      <c r="F81" s="141">
        <v>44842.708333333336</v>
      </c>
      <c r="G81" s="141">
        <v>44842.708333333336</v>
      </c>
      <c r="H81" t="s">
        <v>226</v>
      </c>
      <c r="I81" t="s">
        <v>61</v>
      </c>
      <c r="J81" t="s">
        <v>10</v>
      </c>
      <c r="K81">
        <v>4</v>
      </c>
      <c r="L81">
        <v>0</v>
      </c>
      <c r="M81" t="s">
        <v>13</v>
      </c>
      <c r="N81" s="141">
        <v>45122.343842592592</v>
      </c>
      <c r="O81" t="s">
        <v>49</v>
      </c>
      <c r="P81" t="s">
        <v>603</v>
      </c>
      <c r="Q81" t="s">
        <v>677</v>
      </c>
    </row>
    <row r="82" spans="1:17" x14ac:dyDescent="0.25">
      <c r="A82">
        <v>10</v>
      </c>
      <c r="B82" s="140">
        <v>44842</v>
      </c>
      <c r="C82" s="141">
        <v>44842.416666666664</v>
      </c>
      <c r="D82" s="141">
        <v>44842.625</v>
      </c>
      <c r="E82" s="141">
        <v>44842.666666666664</v>
      </c>
      <c r="F82" s="141">
        <v>44842.708333333336</v>
      </c>
      <c r="G82" s="141">
        <v>44842.708333333336</v>
      </c>
      <c r="H82" t="s">
        <v>271</v>
      </c>
      <c r="I82" t="s">
        <v>55</v>
      </c>
      <c r="J82" t="s">
        <v>12</v>
      </c>
      <c r="K82">
        <v>5</v>
      </c>
      <c r="L82">
        <v>1</v>
      </c>
      <c r="M82" t="s">
        <v>125</v>
      </c>
      <c r="N82" s="141">
        <v>45122.343842592592</v>
      </c>
      <c r="O82" t="s">
        <v>49</v>
      </c>
      <c r="P82" t="s">
        <v>603</v>
      </c>
      <c r="Q82" t="s">
        <v>677</v>
      </c>
    </row>
    <row r="83" spans="1:17" x14ac:dyDescent="0.25">
      <c r="A83">
        <v>10</v>
      </c>
      <c r="B83" s="140">
        <v>44842</v>
      </c>
      <c r="C83" s="141">
        <v>44842.520833333336</v>
      </c>
      <c r="D83" s="141">
        <v>44842.729166666664</v>
      </c>
      <c r="E83" s="141">
        <v>44842.770833333336</v>
      </c>
      <c r="F83" s="141">
        <v>44842.8125</v>
      </c>
      <c r="G83" s="141">
        <v>44842.8125</v>
      </c>
      <c r="H83" t="s">
        <v>290</v>
      </c>
      <c r="I83" t="s">
        <v>151</v>
      </c>
      <c r="J83" t="s">
        <v>4</v>
      </c>
      <c r="K83">
        <v>0</v>
      </c>
      <c r="L83">
        <v>1</v>
      </c>
      <c r="M83" t="s">
        <v>14</v>
      </c>
      <c r="N83" s="141">
        <v>45122.343842592592</v>
      </c>
      <c r="O83" t="s">
        <v>49</v>
      </c>
      <c r="P83" t="s">
        <v>603</v>
      </c>
      <c r="Q83" t="s">
        <v>677</v>
      </c>
    </row>
    <row r="84" spans="1:17" x14ac:dyDescent="0.25">
      <c r="A84">
        <v>10</v>
      </c>
      <c r="B84" s="140">
        <v>44843</v>
      </c>
      <c r="C84" s="141">
        <v>44843.375</v>
      </c>
      <c r="D84" s="141">
        <v>44843.583333333336</v>
      </c>
      <c r="E84" s="141">
        <v>44843.625</v>
      </c>
      <c r="F84" s="141">
        <v>44843.666666666664</v>
      </c>
      <c r="G84" s="141">
        <v>44843.666666666664</v>
      </c>
      <c r="H84" t="s">
        <v>397</v>
      </c>
      <c r="I84" t="s">
        <v>52</v>
      </c>
      <c r="J84" t="s">
        <v>6</v>
      </c>
      <c r="K84">
        <v>2</v>
      </c>
      <c r="L84">
        <v>1</v>
      </c>
      <c r="M84" t="s">
        <v>139</v>
      </c>
      <c r="N84" s="141">
        <v>45122.343842592592</v>
      </c>
      <c r="O84" t="s">
        <v>49</v>
      </c>
      <c r="P84" t="s">
        <v>603</v>
      </c>
      <c r="Q84" t="s">
        <v>677</v>
      </c>
    </row>
    <row r="85" spans="1:17" x14ac:dyDescent="0.25">
      <c r="A85">
        <v>10</v>
      </c>
      <c r="B85" s="140">
        <v>44843</v>
      </c>
      <c r="C85" s="141">
        <v>44843.375</v>
      </c>
      <c r="D85" s="141">
        <v>44843.583333333336</v>
      </c>
      <c r="E85" s="141">
        <v>44843.625</v>
      </c>
      <c r="F85" s="141">
        <v>44843.666666666664</v>
      </c>
      <c r="G85" s="141">
        <v>44843.666666666664</v>
      </c>
      <c r="H85" t="s">
        <v>459</v>
      </c>
      <c r="I85" t="s">
        <v>50</v>
      </c>
      <c r="J85" t="s">
        <v>15</v>
      </c>
      <c r="K85">
        <v>3</v>
      </c>
      <c r="L85">
        <v>1</v>
      </c>
      <c r="M85" t="s">
        <v>126</v>
      </c>
      <c r="N85" s="141">
        <v>45122.343842592592</v>
      </c>
      <c r="O85" t="s">
        <v>49</v>
      </c>
      <c r="P85" t="s">
        <v>603</v>
      </c>
      <c r="Q85" t="s">
        <v>677</v>
      </c>
    </row>
    <row r="86" spans="1:17" x14ac:dyDescent="0.25">
      <c r="A86">
        <v>10</v>
      </c>
      <c r="B86" s="140">
        <v>44843</v>
      </c>
      <c r="C86" s="141">
        <v>44843.479166666664</v>
      </c>
      <c r="D86" s="141">
        <v>44843.6875</v>
      </c>
      <c r="E86" s="141">
        <v>44843.729166666664</v>
      </c>
      <c r="F86" s="141">
        <v>44843.770833333336</v>
      </c>
      <c r="G86" s="141">
        <v>44843.770833333336</v>
      </c>
      <c r="H86" t="s">
        <v>187</v>
      </c>
      <c r="I86" t="s">
        <v>57</v>
      </c>
      <c r="J86" t="s">
        <v>1</v>
      </c>
      <c r="K86">
        <v>3</v>
      </c>
      <c r="L86">
        <v>2</v>
      </c>
      <c r="M86" t="s">
        <v>9</v>
      </c>
      <c r="N86" s="141">
        <v>45122.343842592592</v>
      </c>
      <c r="O86" t="s">
        <v>49</v>
      </c>
      <c r="P86" t="s">
        <v>603</v>
      </c>
      <c r="Q86" t="s">
        <v>677</v>
      </c>
    </row>
    <row r="87" spans="1:17" x14ac:dyDescent="0.25">
      <c r="A87">
        <v>10</v>
      </c>
      <c r="B87" s="140">
        <v>44843</v>
      </c>
      <c r="C87" s="141">
        <v>44843.583333333336</v>
      </c>
      <c r="D87" s="141">
        <v>44843.791666666664</v>
      </c>
      <c r="E87" s="141">
        <v>44843.833333333336</v>
      </c>
      <c r="F87" s="141">
        <v>44843.875</v>
      </c>
      <c r="G87" s="141">
        <v>44843.875</v>
      </c>
      <c r="H87" t="s">
        <v>385</v>
      </c>
      <c r="I87" t="s">
        <v>59</v>
      </c>
      <c r="J87" t="s">
        <v>7</v>
      </c>
      <c r="K87">
        <v>1</v>
      </c>
      <c r="L87">
        <v>2</v>
      </c>
      <c r="M87" t="s">
        <v>11</v>
      </c>
      <c r="N87" s="141">
        <v>45122.343842592592</v>
      </c>
      <c r="O87" t="s">
        <v>49</v>
      </c>
      <c r="P87" t="s">
        <v>603</v>
      </c>
      <c r="Q87" t="s">
        <v>677</v>
      </c>
    </row>
    <row r="88" spans="1:17" x14ac:dyDescent="0.25">
      <c r="A88">
        <v>10</v>
      </c>
      <c r="B88" s="140">
        <v>44844</v>
      </c>
      <c r="C88" s="141">
        <v>44844.625</v>
      </c>
      <c r="D88" s="141">
        <v>44844.833333333336</v>
      </c>
      <c r="E88" s="141">
        <v>44844.875</v>
      </c>
      <c r="F88" s="141">
        <v>44844.916666666664</v>
      </c>
      <c r="G88" s="141">
        <v>44844.916666666664</v>
      </c>
      <c r="H88" t="s">
        <v>458</v>
      </c>
      <c r="I88" t="s">
        <v>436</v>
      </c>
      <c r="J88" t="s">
        <v>204</v>
      </c>
      <c r="K88">
        <v>1</v>
      </c>
      <c r="L88">
        <v>1</v>
      </c>
      <c r="M88" t="s">
        <v>2</v>
      </c>
      <c r="N88" s="141">
        <v>45122.343842592592</v>
      </c>
      <c r="O88" t="s">
        <v>49</v>
      </c>
      <c r="P88" t="s">
        <v>603</v>
      </c>
      <c r="Q88" t="s">
        <v>677</v>
      </c>
    </row>
    <row r="89" spans="1:17" x14ac:dyDescent="0.25">
      <c r="A89">
        <v>11</v>
      </c>
      <c r="B89" s="140">
        <v>44848</v>
      </c>
      <c r="C89" s="141">
        <v>44848.625</v>
      </c>
      <c r="D89" s="141">
        <v>44848.833333333336</v>
      </c>
      <c r="E89" s="141">
        <v>44848.875</v>
      </c>
      <c r="F89" s="141">
        <v>44848.916666666664</v>
      </c>
      <c r="G89" s="141">
        <v>44848.916666666664</v>
      </c>
      <c r="H89" t="s">
        <v>219</v>
      </c>
      <c r="I89" t="s">
        <v>593</v>
      </c>
      <c r="J89" t="s">
        <v>125</v>
      </c>
      <c r="K89">
        <v>2</v>
      </c>
      <c r="L89">
        <v>0</v>
      </c>
      <c r="M89" t="s">
        <v>4</v>
      </c>
      <c r="N89" s="141">
        <v>45122.343842592592</v>
      </c>
      <c r="O89" t="s">
        <v>49</v>
      </c>
      <c r="P89" t="s">
        <v>603</v>
      </c>
      <c r="Q89" t="s">
        <v>677</v>
      </c>
    </row>
    <row r="90" spans="1:17" x14ac:dyDescent="0.25">
      <c r="A90">
        <v>11</v>
      </c>
      <c r="B90" s="140">
        <v>44849</v>
      </c>
      <c r="C90" s="141">
        <v>44849.3125</v>
      </c>
      <c r="D90" s="141">
        <v>44849.520833333336</v>
      </c>
      <c r="E90" s="141">
        <v>44849.5625</v>
      </c>
      <c r="F90" s="141">
        <v>44849.604166666664</v>
      </c>
      <c r="G90" s="141">
        <v>44849.604166666664</v>
      </c>
      <c r="H90" t="s">
        <v>386</v>
      </c>
      <c r="I90" t="s">
        <v>54</v>
      </c>
      <c r="J90" t="s">
        <v>8</v>
      </c>
      <c r="K90">
        <v>0</v>
      </c>
      <c r="L90">
        <v>0</v>
      </c>
      <c r="M90" t="s">
        <v>6</v>
      </c>
      <c r="N90" s="141">
        <v>45122.343842592592</v>
      </c>
      <c r="O90" t="s">
        <v>49</v>
      </c>
      <c r="P90" t="s">
        <v>603</v>
      </c>
      <c r="Q90" t="s">
        <v>677</v>
      </c>
    </row>
    <row r="91" spans="1:17" x14ac:dyDescent="0.25">
      <c r="A91">
        <v>11</v>
      </c>
      <c r="B91" s="140">
        <v>44849</v>
      </c>
      <c r="C91" s="141">
        <v>44849.416666666664</v>
      </c>
      <c r="D91" s="141">
        <v>44849.625</v>
      </c>
      <c r="E91" s="141">
        <v>44849.666666666664</v>
      </c>
      <c r="F91" s="141">
        <v>44849.708333333336</v>
      </c>
      <c r="G91" s="141">
        <v>44849.708333333336</v>
      </c>
      <c r="H91" t="s">
        <v>460</v>
      </c>
      <c r="I91" t="s">
        <v>431</v>
      </c>
      <c r="J91" t="s">
        <v>126</v>
      </c>
      <c r="K91">
        <v>2</v>
      </c>
      <c r="L91">
        <v>2</v>
      </c>
      <c r="M91" t="s">
        <v>3</v>
      </c>
      <c r="N91" s="141">
        <v>45122.343842592592</v>
      </c>
      <c r="O91" t="s">
        <v>49</v>
      </c>
      <c r="P91" t="s">
        <v>603</v>
      </c>
      <c r="Q91" t="s">
        <v>677</v>
      </c>
    </row>
    <row r="92" spans="1:17" x14ac:dyDescent="0.25">
      <c r="A92">
        <v>11</v>
      </c>
      <c r="B92" s="140">
        <v>44849</v>
      </c>
      <c r="C92" s="141">
        <v>44849.416666666664</v>
      </c>
      <c r="D92" s="141">
        <v>44849.625</v>
      </c>
      <c r="E92" s="141">
        <v>44849.666666666664</v>
      </c>
      <c r="F92" s="141">
        <v>44849.708333333336</v>
      </c>
      <c r="G92" s="141">
        <v>44849.708333333336</v>
      </c>
      <c r="H92" t="s">
        <v>461</v>
      </c>
      <c r="I92" t="s">
        <v>63</v>
      </c>
      <c r="J92" t="s">
        <v>16</v>
      </c>
      <c r="K92">
        <v>1</v>
      </c>
      <c r="L92">
        <v>0</v>
      </c>
      <c r="M92" t="s">
        <v>204</v>
      </c>
      <c r="N92" s="141">
        <v>45122.343842592592</v>
      </c>
      <c r="O92" t="s">
        <v>49</v>
      </c>
      <c r="P92" t="s">
        <v>603</v>
      </c>
      <c r="Q92" t="s">
        <v>677</v>
      </c>
    </row>
    <row r="93" spans="1:17" x14ac:dyDescent="0.25">
      <c r="A93">
        <v>11</v>
      </c>
      <c r="B93" s="140">
        <v>44849</v>
      </c>
      <c r="C93" s="141">
        <v>44849.520833333336</v>
      </c>
      <c r="D93" s="141">
        <v>44849.729166666664</v>
      </c>
      <c r="E93" s="141">
        <v>44849.770833333336</v>
      </c>
      <c r="F93" s="141">
        <v>44849.8125</v>
      </c>
      <c r="G93" s="141">
        <v>44849.8125</v>
      </c>
      <c r="H93" t="s">
        <v>362</v>
      </c>
      <c r="I93" t="s">
        <v>53</v>
      </c>
      <c r="J93" t="s">
        <v>14</v>
      </c>
      <c r="K93">
        <v>2</v>
      </c>
      <c r="L93">
        <v>0</v>
      </c>
      <c r="M93" t="s">
        <v>7</v>
      </c>
      <c r="N93" s="141">
        <v>45122.343842592592</v>
      </c>
      <c r="O93" t="s">
        <v>49</v>
      </c>
      <c r="P93" t="s">
        <v>603</v>
      </c>
      <c r="Q93" t="s">
        <v>677</v>
      </c>
    </row>
    <row r="94" spans="1:17" x14ac:dyDescent="0.25">
      <c r="A94">
        <v>11</v>
      </c>
      <c r="B94" s="140">
        <v>44850</v>
      </c>
      <c r="C94" s="141">
        <v>44850.375</v>
      </c>
      <c r="D94" s="141">
        <v>44850.583333333336</v>
      </c>
      <c r="E94" s="141">
        <v>44850.625</v>
      </c>
      <c r="F94" s="141">
        <v>44850.666666666664</v>
      </c>
      <c r="G94" s="141">
        <v>44850.666666666664</v>
      </c>
      <c r="H94" t="s">
        <v>176</v>
      </c>
      <c r="I94" t="s">
        <v>58</v>
      </c>
      <c r="J94" t="s">
        <v>2</v>
      </c>
      <c r="K94">
        <v>0</v>
      </c>
      <c r="L94">
        <v>2</v>
      </c>
      <c r="M94" t="s">
        <v>5</v>
      </c>
      <c r="N94" s="141">
        <v>45122.343842592592</v>
      </c>
      <c r="O94" t="s">
        <v>49</v>
      </c>
      <c r="P94" t="s">
        <v>603</v>
      </c>
      <c r="Q94" t="s">
        <v>677</v>
      </c>
    </row>
    <row r="95" spans="1:17" x14ac:dyDescent="0.25">
      <c r="A95">
        <v>11</v>
      </c>
      <c r="B95" s="140">
        <v>44850</v>
      </c>
      <c r="C95" s="141">
        <v>44850.375</v>
      </c>
      <c r="D95" s="141">
        <v>44850.583333333336</v>
      </c>
      <c r="E95" s="141">
        <v>44850.625</v>
      </c>
      <c r="F95" s="141">
        <v>44850.666666666664</v>
      </c>
      <c r="G95" s="141">
        <v>44850.666666666664</v>
      </c>
      <c r="H95" t="s">
        <v>301</v>
      </c>
      <c r="I95" t="s">
        <v>140</v>
      </c>
      <c r="J95" t="s">
        <v>139</v>
      </c>
      <c r="K95">
        <v>0</v>
      </c>
      <c r="L95">
        <v>1</v>
      </c>
      <c r="M95" t="s">
        <v>1</v>
      </c>
      <c r="N95" s="141">
        <v>45122.343842592592</v>
      </c>
      <c r="O95" t="s">
        <v>49</v>
      </c>
      <c r="P95" t="s">
        <v>603</v>
      </c>
      <c r="Q95" t="s">
        <v>677</v>
      </c>
    </row>
    <row r="96" spans="1:17" x14ac:dyDescent="0.25">
      <c r="A96">
        <v>11</v>
      </c>
      <c r="B96" s="140">
        <v>44850</v>
      </c>
      <c r="C96" s="141">
        <v>44850.375</v>
      </c>
      <c r="D96" s="141">
        <v>44850.583333333336</v>
      </c>
      <c r="E96" s="141">
        <v>44850.625</v>
      </c>
      <c r="F96" s="141">
        <v>44850.666666666664</v>
      </c>
      <c r="G96" s="141">
        <v>44850.666666666664</v>
      </c>
      <c r="H96" t="s">
        <v>223</v>
      </c>
      <c r="I96" t="s">
        <v>56</v>
      </c>
      <c r="J96" t="s">
        <v>11</v>
      </c>
      <c r="K96">
        <v>0</v>
      </c>
      <c r="L96">
        <v>0</v>
      </c>
      <c r="M96" t="s">
        <v>12</v>
      </c>
      <c r="N96" s="141">
        <v>45122.343842592592</v>
      </c>
      <c r="O96" t="s">
        <v>49</v>
      </c>
      <c r="P96" t="s">
        <v>603</v>
      </c>
      <c r="Q96" t="s">
        <v>677</v>
      </c>
    </row>
    <row r="97" spans="1:17" x14ac:dyDescent="0.25">
      <c r="A97">
        <v>11</v>
      </c>
      <c r="B97" s="140">
        <v>44850</v>
      </c>
      <c r="C97" s="141">
        <v>44850.375</v>
      </c>
      <c r="D97" s="141">
        <v>44850.583333333336</v>
      </c>
      <c r="E97" s="141">
        <v>44850.625</v>
      </c>
      <c r="F97" s="141">
        <v>44850.666666666664</v>
      </c>
      <c r="G97" s="141">
        <v>44850.666666666664</v>
      </c>
      <c r="H97" t="s">
        <v>224</v>
      </c>
      <c r="I97" t="s">
        <v>60</v>
      </c>
      <c r="J97" t="s">
        <v>13</v>
      </c>
      <c r="K97">
        <v>1</v>
      </c>
      <c r="L97">
        <v>1</v>
      </c>
      <c r="M97" t="s">
        <v>15</v>
      </c>
      <c r="N97" s="141">
        <v>45122.343842592592</v>
      </c>
      <c r="O97" t="s">
        <v>49</v>
      </c>
      <c r="P97" t="s">
        <v>603</v>
      </c>
      <c r="Q97" t="s">
        <v>677</v>
      </c>
    </row>
    <row r="98" spans="1:17" x14ac:dyDescent="0.25">
      <c r="A98">
        <v>11</v>
      </c>
      <c r="B98" s="140">
        <v>44850</v>
      </c>
      <c r="C98" s="141">
        <v>44850.479166666664</v>
      </c>
      <c r="D98" s="141">
        <v>44850.6875</v>
      </c>
      <c r="E98" s="141">
        <v>44850.729166666664</v>
      </c>
      <c r="F98" s="141">
        <v>44850.770833333336</v>
      </c>
      <c r="G98" s="141">
        <v>44850.770833333336</v>
      </c>
      <c r="H98" t="s">
        <v>239</v>
      </c>
      <c r="I98" t="s">
        <v>48</v>
      </c>
      <c r="J98" t="s">
        <v>9</v>
      </c>
      <c r="K98">
        <v>1</v>
      </c>
      <c r="L98">
        <v>0</v>
      </c>
      <c r="M98" t="s">
        <v>10</v>
      </c>
      <c r="N98" s="141">
        <v>45122.343842592592</v>
      </c>
      <c r="O98" t="s">
        <v>49</v>
      </c>
      <c r="P98" t="s">
        <v>603</v>
      </c>
      <c r="Q98" t="s">
        <v>677</v>
      </c>
    </row>
    <row r="99" spans="1:17" x14ac:dyDescent="0.25">
      <c r="A99">
        <v>12</v>
      </c>
      <c r="B99" s="140">
        <v>44852</v>
      </c>
      <c r="C99" s="141">
        <v>44852.604166666664</v>
      </c>
      <c r="D99" s="141">
        <v>44852.8125</v>
      </c>
      <c r="E99" s="141">
        <v>44852.854166666664</v>
      </c>
      <c r="F99" s="141">
        <v>44852.895833333336</v>
      </c>
      <c r="G99" s="141">
        <v>44852.895833333336</v>
      </c>
      <c r="H99" t="s">
        <v>463</v>
      </c>
      <c r="I99" t="s">
        <v>151</v>
      </c>
      <c r="J99" t="s">
        <v>4</v>
      </c>
      <c r="K99">
        <v>0</v>
      </c>
      <c r="L99">
        <v>0</v>
      </c>
      <c r="M99" t="s">
        <v>204</v>
      </c>
      <c r="N99" s="141">
        <v>45122.343842592592</v>
      </c>
      <c r="O99" t="s">
        <v>49</v>
      </c>
      <c r="P99" t="s">
        <v>603</v>
      </c>
      <c r="Q99" t="s">
        <v>677</v>
      </c>
    </row>
    <row r="100" spans="1:17" x14ac:dyDescent="0.25">
      <c r="A100">
        <v>12</v>
      </c>
      <c r="B100" s="140">
        <v>44852</v>
      </c>
      <c r="C100" s="141">
        <v>44852.635416666664</v>
      </c>
      <c r="D100" s="141">
        <v>44852.84375</v>
      </c>
      <c r="E100" s="141">
        <v>44852.885416666664</v>
      </c>
      <c r="F100" s="141">
        <v>44852.927083333336</v>
      </c>
      <c r="G100" s="141">
        <v>44852.927083333336</v>
      </c>
      <c r="H100" t="s">
        <v>263</v>
      </c>
      <c r="I100" t="s">
        <v>52</v>
      </c>
      <c r="J100" t="s">
        <v>6</v>
      </c>
      <c r="K100">
        <v>2</v>
      </c>
      <c r="L100">
        <v>1</v>
      </c>
      <c r="M100" t="s">
        <v>16</v>
      </c>
      <c r="N100" s="141">
        <v>45122.343842592592</v>
      </c>
      <c r="O100" t="s">
        <v>49</v>
      </c>
      <c r="P100" t="s">
        <v>603</v>
      </c>
      <c r="Q100" t="s">
        <v>677</v>
      </c>
    </row>
    <row r="101" spans="1:17" x14ac:dyDescent="0.25">
      <c r="A101">
        <v>12</v>
      </c>
      <c r="B101" s="140">
        <v>44853</v>
      </c>
      <c r="C101" s="141">
        <v>44853.604166666664</v>
      </c>
      <c r="D101" s="141">
        <v>44853.8125</v>
      </c>
      <c r="E101" s="141">
        <v>44853.854166666664</v>
      </c>
      <c r="F101" s="141">
        <v>44853.895833333336</v>
      </c>
      <c r="G101" s="141">
        <v>44853.895833333336</v>
      </c>
      <c r="H101" t="s">
        <v>462</v>
      </c>
      <c r="I101" t="s">
        <v>51</v>
      </c>
      <c r="J101" t="s">
        <v>3</v>
      </c>
      <c r="K101">
        <v>0</v>
      </c>
      <c r="L101">
        <v>1</v>
      </c>
      <c r="M101" t="s">
        <v>13</v>
      </c>
      <c r="N101" s="141">
        <v>45122.343842592592</v>
      </c>
      <c r="O101" t="s">
        <v>49</v>
      </c>
      <c r="P101" t="s">
        <v>603</v>
      </c>
      <c r="Q101" t="s">
        <v>677</v>
      </c>
    </row>
    <row r="102" spans="1:17" x14ac:dyDescent="0.25">
      <c r="A102">
        <v>12</v>
      </c>
      <c r="B102" s="140">
        <v>44853</v>
      </c>
      <c r="C102" s="141">
        <v>44853.604166666664</v>
      </c>
      <c r="D102" s="141">
        <v>44853.8125</v>
      </c>
      <c r="E102" s="141">
        <v>44853.854166666664</v>
      </c>
      <c r="F102" s="141">
        <v>44853.895833333336</v>
      </c>
      <c r="G102" s="141">
        <v>44853.895833333336</v>
      </c>
      <c r="H102" t="s">
        <v>161</v>
      </c>
      <c r="I102" t="s">
        <v>593</v>
      </c>
      <c r="J102" t="s">
        <v>125</v>
      </c>
      <c r="K102">
        <v>0</v>
      </c>
      <c r="L102">
        <v>0</v>
      </c>
      <c r="M102" t="s">
        <v>5</v>
      </c>
      <c r="N102" s="141">
        <v>45122.343842592592</v>
      </c>
      <c r="O102" t="s">
        <v>49</v>
      </c>
      <c r="P102" t="s">
        <v>603</v>
      </c>
      <c r="Q102" t="s">
        <v>677</v>
      </c>
    </row>
    <row r="103" spans="1:17" x14ac:dyDescent="0.25">
      <c r="A103">
        <v>12</v>
      </c>
      <c r="B103" s="140">
        <v>44853</v>
      </c>
      <c r="C103" s="141">
        <v>44853.604166666664</v>
      </c>
      <c r="D103" s="141">
        <v>44853.8125</v>
      </c>
      <c r="E103" s="141">
        <v>44853.854166666664</v>
      </c>
      <c r="F103" s="141">
        <v>44853.895833333336</v>
      </c>
      <c r="G103" s="141">
        <v>44853.895833333336</v>
      </c>
      <c r="H103" t="s">
        <v>359</v>
      </c>
      <c r="I103" t="s">
        <v>48</v>
      </c>
      <c r="J103" t="s">
        <v>9</v>
      </c>
      <c r="K103">
        <v>1</v>
      </c>
      <c r="L103">
        <v>0</v>
      </c>
      <c r="M103" t="s">
        <v>15</v>
      </c>
      <c r="N103" s="141">
        <v>45122.343842592592</v>
      </c>
      <c r="O103" t="s">
        <v>49</v>
      </c>
      <c r="P103" t="s">
        <v>603</v>
      </c>
      <c r="Q103" t="s">
        <v>677</v>
      </c>
    </row>
    <row r="104" spans="1:17" x14ac:dyDescent="0.25">
      <c r="A104">
        <v>12</v>
      </c>
      <c r="B104" s="140">
        <v>44853</v>
      </c>
      <c r="C104" s="141">
        <v>44853.604166666664</v>
      </c>
      <c r="D104" s="141">
        <v>44853.8125</v>
      </c>
      <c r="E104" s="141">
        <v>44853.854166666664</v>
      </c>
      <c r="F104" s="141">
        <v>44853.895833333336</v>
      </c>
      <c r="G104" s="141">
        <v>44853.895833333336</v>
      </c>
      <c r="H104" t="s">
        <v>339</v>
      </c>
      <c r="I104" t="s">
        <v>55</v>
      </c>
      <c r="J104" t="s">
        <v>12</v>
      </c>
      <c r="K104">
        <v>1</v>
      </c>
      <c r="L104">
        <v>0</v>
      </c>
      <c r="M104" t="s">
        <v>7</v>
      </c>
      <c r="N104" s="141">
        <v>45122.343842592592</v>
      </c>
      <c r="O104" t="s">
        <v>49</v>
      </c>
      <c r="P104" t="s">
        <v>603</v>
      </c>
      <c r="Q104" t="s">
        <v>677</v>
      </c>
    </row>
    <row r="105" spans="1:17" x14ac:dyDescent="0.25">
      <c r="A105">
        <v>12</v>
      </c>
      <c r="B105" s="140">
        <v>44853</v>
      </c>
      <c r="C105" s="141">
        <v>44853.635416666664</v>
      </c>
      <c r="D105" s="141">
        <v>44853.84375</v>
      </c>
      <c r="E105" s="141">
        <v>44853.885416666664</v>
      </c>
      <c r="F105" s="141">
        <v>44853.927083333336</v>
      </c>
      <c r="G105" s="141">
        <v>44853.927083333336</v>
      </c>
      <c r="H105" t="s">
        <v>369</v>
      </c>
      <c r="I105" t="s">
        <v>56</v>
      </c>
      <c r="J105" t="s">
        <v>11</v>
      </c>
      <c r="K105">
        <v>2</v>
      </c>
      <c r="L105">
        <v>0</v>
      </c>
      <c r="M105" t="s">
        <v>14</v>
      </c>
      <c r="N105" s="141">
        <v>45122.343842592592</v>
      </c>
      <c r="O105" t="s">
        <v>49</v>
      </c>
      <c r="P105" t="s">
        <v>603</v>
      </c>
      <c r="Q105" t="s">
        <v>677</v>
      </c>
    </row>
    <row r="106" spans="1:17" x14ac:dyDescent="0.25">
      <c r="A106">
        <v>12</v>
      </c>
      <c r="B106" s="140">
        <v>44854</v>
      </c>
      <c r="C106" s="141">
        <v>44854.604166666664</v>
      </c>
      <c r="D106" s="141">
        <v>44854.8125</v>
      </c>
      <c r="E106" s="141">
        <v>44854.854166666664</v>
      </c>
      <c r="F106" s="141">
        <v>44854.895833333336</v>
      </c>
      <c r="G106" s="141">
        <v>44854.895833333336</v>
      </c>
      <c r="H106" t="s">
        <v>464</v>
      </c>
      <c r="I106" t="s">
        <v>431</v>
      </c>
      <c r="J106" t="s">
        <v>126</v>
      </c>
      <c r="K106">
        <v>3</v>
      </c>
      <c r="L106">
        <v>0</v>
      </c>
      <c r="M106" t="s">
        <v>2</v>
      </c>
      <c r="N106" s="141">
        <v>45122.343842592592</v>
      </c>
      <c r="O106" t="s">
        <v>49</v>
      </c>
      <c r="P106" t="s">
        <v>603</v>
      </c>
      <c r="Q106" t="s">
        <v>677</v>
      </c>
    </row>
    <row r="107" spans="1:17" x14ac:dyDescent="0.25">
      <c r="A107">
        <v>12</v>
      </c>
      <c r="B107" s="140">
        <v>44854</v>
      </c>
      <c r="C107" s="141">
        <v>44854.635416666664</v>
      </c>
      <c r="D107" s="141">
        <v>44854.84375</v>
      </c>
      <c r="E107" s="141">
        <v>44854.885416666664</v>
      </c>
      <c r="F107" s="141">
        <v>44854.927083333336</v>
      </c>
      <c r="G107" s="141">
        <v>44854.927083333336</v>
      </c>
      <c r="H107" t="s">
        <v>358</v>
      </c>
      <c r="I107" t="s">
        <v>54</v>
      </c>
      <c r="J107" t="s">
        <v>8</v>
      </c>
      <c r="K107">
        <v>2</v>
      </c>
      <c r="L107">
        <v>0</v>
      </c>
      <c r="M107" t="s">
        <v>139</v>
      </c>
      <c r="N107" s="141">
        <v>45122.343842592592</v>
      </c>
      <c r="O107" t="s">
        <v>49</v>
      </c>
      <c r="P107" t="s">
        <v>603</v>
      </c>
      <c r="Q107" t="s">
        <v>677</v>
      </c>
    </row>
    <row r="108" spans="1:17" x14ac:dyDescent="0.25">
      <c r="A108">
        <v>13</v>
      </c>
      <c r="B108" s="140">
        <v>44856</v>
      </c>
      <c r="C108" s="141">
        <v>44856.3125</v>
      </c>
      <c r="D108" s="141">
        <v>44856.520833333336</v>
      </c>
      <c r="E108" s="141">
        <v>44856.5625</v>
      </c>
      <c r="F108" s="141">
        <v>44856.604166666664</v>
      </c>
      <c r="G108" s="141">
        <v>44856.604166666664</v>
      </c>
      <c r="H108" t="s">
        <v>466</v>
      </c>
      <c r="I108" t="s">
        <v>436</v>
      </c>
      <c r="J108" t="s">
        <v>204</v>
      </c>
      <c r="K108">
        <v>1</v>
      </c>
      <c r="L108">
        <v>0</v>
      </c>
      <c r="M108" t="s">
        <v>9</v>
      </c>
      <c r="N108" s="141">
        <v>45122.343842592592</v>
      </c>
      <c r="O108" t="s">
        <v>49</v>
      </c>
      <c r="P108" t="s">
        <v>603</v>
      </c>
      <c r="Q108" t="s">
        <v>677</v>
      </c>
    </row>
    <row r="109" spans="1:17" x14ac:dyDescent="0.25">
      <c r="A109">
        <v>13</v>
      </c>
      <c r="B109" s="140">
        <v>44856</v>
      </c>
      <c r="C109" s="141">
        <v>44856.416666666664</v>
      </c>
      <c r="D109" s="141">
        <v>44856.625</v>
      </c>
      <c r="E109" s="141">
        <v>44856.666666666664</v>
      </c>
      <c r="F109" s="141">
        <v>44856.708333333336</v>
      </c>
      <c r="G109" s="141">
        <v>44856.708333333336</v>
      </c>
      <c r="H109" t="s">
        <v>194</v>
      </c>
      <c r="I109" t="s">
        <v>59</v>
      </c>
      <c r="J109" t="s">
        <v>7</v>
      </c>
      <c r="K109">
        <v>3</v>
      </c>
      <c r="L109">
        <v>0</v>
      </c>
      <c r="M109" t="s">
        <v>6</v>
      </c>
      <c r="N109" s="141">
        <v>45122.343842592592</v>
      </c>
      <c r="O109" t="s">
        <v>49</v>
      </c>
      <c r="P109" t="s">
        <v>603</v>
      </c>
      <c r="Q109" t="s">
        <v>677</v>
      </c>
    </row>
    <row r="110" spans="1:17" x14ac:dyDescent="0.25">
      <c r="A110">
        <v>13</v>
      </c>
      <c r="B110" s="140">
        <v>44856</v>
      </c>
      <c r="C110" s="141">
        <v>44856.416666666664</v>
      </c>
      <c r="D110" s="141">
        <v>44856.625</v>
      </c>
      <c r="E110" s="141">
        <v>44856.666666666664</v>
      </c>
      <c r="F110" s="141">
        <v>44856.708333333336</v>
      </c>
      <c r="G110" s="141">
        <v>44856.708333333336</v>
      </c>
      <c r="H110" t="s">
        <v>373</v>
      </c>
      <c r="I110" t="s">
        <v>61</v>
      </c>
      <c r="J110" t="s">
        <v>10</v>
      </c>
      <c r="K110">
        <v>3</v>
      </c>
      <c r="L110">
        <v>1</v>
      </c>
      <c r="M110" t="s">
        <v>4</v>
      </c>
      <c r="N110" s="141">
        <v>45122.343842592592</v>
      </c>
      <c r="O110" t="s">
        <v>49</v>
      </c>
      <c r="P110" t="s">
        <v>603</v>
      </c>
      <c r="Q110" t="s">
        <v>677</v>
      </c>
    </row>
    <row r="111" spans="1:17" x14ac:dyDescent="0.25">
      <c r="A111">
        <v>13</v>
      </c>
      <c r="B111" s="140">
        <v>44856</v>
      </c>
      <c r="C111" s="141">
        <v>44856.520833333336</v>
      </c>
      <c r="D111" s="141">
        <v>44856.729166666664</v>
      </c>
      <c r="E111" s="141">
        <v>44856.770833333336</v>
      </c>
      <c r="F111" s="141">
        <v>44856.8125</v>
      </c>
      <c r="G111" s="141">
        <v>44856.8125</v>
      </c>
      <c r="H111" t="s">
        <v>276</v>
      </c>
      <c r="I111" t="s">
        <v>62</v>
      </c>
      <c r="J111" t="s">
        <v>5</v>
      </c>
      <c r="K111">
        <v>1</v>
      </c>
      <c r="L111">
        <v>1</v>
      </c>
      <c r="M111" t="s">
        <v>11</v>
      </c>
      <c r="N111" s="141">
        <v>45122.343842592592</v>
      </c>
      <c r="O111" t="s">
        <v>49</v>
      </c>
      <c r="P111" t="s">
        <v>603</v>
      </c>
      <c r="Q111" t="s">
        <v>677</v>
      </c>
    </row>
    <row r="112" spans="1:17" x14ac:dyDescent="0.25">
      <c r="A112">
        <v>13</v>
      </c>
      <c r="B112" s="140">
        <v>44857</v>
      </c>
      <c r="C112" s="141">
        <v>44857.375</v>
      </c>
      <c r="D112" s="141">
        <v>44857.583333333336</v>
      </c>
      <c r="E112" s="141">
        <v>44857.625</v>
      </c>
      <c r="F112" s="141">
        <v>44857.666666666664</v>
      </c>
      <c r="G112" s="141">
        <v>44857.666666666664</v>
      </c>
      <c r="H112" t="s">
        <v>153</v>
      </c>
      <c r="I112" t="s">
        <v>58</v>
      </c>
      <c r="J112" t="s">
        <v>2</v>
      </c>
      <c r="K112">
        <v>4</v>
      </c>
      <c r="L112">
        <v>0</v>
      </c>
      <c r="M112" t="s">
        <v>125</v>
      </c>
      <c r="N112" s="141">
        <v>45122.343842592592</v>
      </c>
      <c r="O112" t="s">
        <v>49</v>
      </c>
      <c r="P112" t="s">
        <v>603</v>
      </c>
      <c r="Q112" t="s">
        <v>677</v>
      </c>
    </row>
    <row r="113" spans="1:17" x14ac:dyDescent="0.25">
      <c r="A113">
        <v>13</v>
      </c>
      <c r="B113" s="140">
        <v>44857</v>
      </c>
      <c r="C113" s="141">
        <v>44857.375</v>
      </c>
      <c r="D113" s="141">
        <v>44857.583333333336</v>
      </c>
      <c r="E113" s="141">
        <v>44857.625</v>
      </c>
      <c r="F113" s="141">
        <v>44857.666666666664</v>
      </c>
      <c r="G113" s="141">
        <v>44857.666666666664</v>
      </c>
      <c r="H113" t="s">
        <v>465</v>
      </c>
      <c r="I113" t="s">
        <v>140</v>
      </c>
      <c r="J113" t="s">
        <v>139</v>
      </c>
      <c r="K113">
        <v>2</v>
      </c>
      <c r="L113">
        <v>3</v>
      </c>
      <c r="M113" t="s">
        <v>126</v>
      </c>
      <c r="N113" s="141">
        <v>45122.343842592592</v>
      </c>
      <c r="O113" t="s">
        <v>49</v>
      </c>
      <c r="P113" t="s">
        <v>603</v>
      </c>
      <c r="Q113" t="s">
        <v>677</v>
      </c>
    </row>
    <row r="114" spans="1:17" x14ac:dyDescent="0.25">
      <c r="A114">
        <v>13</v>
      </c>
      <c r="B114" s="140">
        <v>44857</v>
      </c>
      <c r="C114" s="141">
        <v>44857.375</v>
      </c>
      <c r="D114" s="141">
        <v>44857.583333333336</v>
      </c>
      <c r="E114" s="141">
        <v>44857.625</v>
      </c>
      <c r="F114" s="141">
        <v>44857.666666666664</v>
      </c>
      <c r="G114" s="141">
        <v>44857.666666666664</v>
      </c>
      <c r="H114" t="s">
        <v>195</v>
      </c>
      <c r="I114" t="s">
        <v>60</v>
      </c>
      <c r="J114" t="s">
        <v>13</v>
      </c>
      <c r="K114">
        <v>1</v>
      </c>
      <c r="L114">
        <v>1</v>
      </c>
      <c r="M114" t="s">
        <v>1</v>
      </c>
      <c r="N114" s="141">
        <v>45122.343842592592</v>
      </c>
      <c r="O114" t="s">
        <v>49</v>
      </c>
      <c r="P114" t="s">
        <v>603</v>
      </c>
      <c r="Q114" t="s">
        <v>677</v>
      </c>
    </row>
    <row r="115" spans="1:17" x14ac:dyDescent="0.25">
      <c r="A115">
        <v>13</v>
      </c>
      <c r="B115" s="140">
        <v>44857</v>
      </c>
      <c r="C115" s="141">
        <v>44857.375</v>
      </c>
      <c r="D115" s="141">
        <v>44857.583333333336</v>
      </c>
      <c r="E115" s="141">
        <v>44857.625</v>
      </c>
      <c r="F115" s="141">
        <v>44857.666666666664</v>
      </c>
      <c r="G115" s="141">
        <v>44857.666666666664</v>
      </c>
      <c r="H115" t="s">
        <v>351</v>
      </c>
      <c r="I115" t="s">
        <v>63</v>
      </c>
      <c r="J115" t="s">
        <v>16</v>
      </c>
      <c r="K115">
        <v>0</v>
      </c>
      <c r="L115">
        <v>4</v>
      </c>
      <c r="M115" t="s">
        <v>8</v>
      </c>
      <c r="N115" s="141">
        <v>45122.343842592592</v>
      </c>
      <c r="O115" t="s">
        <v>49</v>
      </c>
      <c r="P115" t="s">
        <v>603</v>
      </c>
      <c r="Q115" t="s">
        <v>677</v>
      </c>
    </row>
    <row r="116" spans="1:17" x14ac:dyDescent="0.25">
      <c r="A116">
        <v>13</v>
      </c>
      <c r="B116" s="140">
        <v>44857</v>
      </c>
      <c r="C116" s="141">
        <v>44857.479166666664</v>
      </c>
      <c r="D116" s="141">
        <v>44857.6875</v>
      </c>
      <c r="E116" s="141">
        <v>44857.729166666664</v>
      </c>
      <c r="F116" s="141">
        <v>44857.770833333336</v>
      </c>
      <c r="G116" s="141">
        <v>44857.770833333336</v>
      </c>
      <c r="H116" t="s">
        <v>379</v>
      </c>
      <c r="I116" t="s">
        <v>53</v>
      </c>
      <c r="J116" t="s">
        <v>14</v>
      </c>
      <c r="K116">
        <v>1</v>
      </c>
      <c r="L116">
        <v>2</v>
      </c>
      <c r="M116" t="s">
        <v>12</v>
      </c>
      <c r="N116" s="141">
        <v>45122.343842592592</v>
      </c>
      <c r="O116" t="s">
        <v>49</v>
      </c>
      <c r="P116" t="s">
        <v>603</v>
      </c>
      <c r="Q116" t="s">
        <v>677</v>
      </c>
    </row>
    <row r="117" spans="1:17" x14ac:dyDescent="0.25">
      <c r="A117">
        <v>13</v>
      </c>
      <c r="B117" s="140">
        <v>44858</v>
      </c>
      <c r="C117" s="141">
        <v>44858.625</v>
      </c>
      <c r="D117" s="141">
        <v>44858.833333333336</v>
      </c>
      <c r="E117" s="141">
        <v>44858.875</v>
      </c>
      <c r="F117" s="141">
        <v>44858.916666666664</v>
      </c>
      <c r="G117" s="141">
        <v>44858.916666666664</v>
      </c>
      <c r="H117" t="s">
        <v>467</v>
      </c>
      <c r="I117" t="s">
        <v>50</v>
      </c>
      <c r="J117" t="s">
        <v>15</v>
      </c>
      <c r="K117">
        <v>2</v>
      </c>
      <c r="L117">
        <v>0</v>
      </c>
      <c r="M117" t="s">
        <v>3</v>
      </c>
      <c r="N117" s="141">
        <v>45122.343842592592</v>
      </c>
      <c r="O117" t="s">
        <v>49</v>
      </c>
      <c r="P117" t="s">
        <v>603</v>
      </c>
      <c r="Q117" t="s">
        <v>677</v>
      </c>
    </row>
    <row r="118" spans="1:17" x14ac:dyDescent="0.25">
      <c r="A118">
        <v>14</v>
      </c>
      <c r="B118" s="140">
        <v>44863</v>
      </c>
      <c r="C118" s="141">
        <v>44863.3125</v>
      </c>
      <c r="D118" s="141">
        <v>44863.520833333336</v>
      </c>
      <c r="E118" s="141">
        <v>44863.5625</v>
      </c>
      <c r="F118" s="141">
        <v>44863.604166666664</v>
      </c>
      <c r="G118" s="141">
        <v>44863.604166666664</v>
      </c>
      <c r="H118" t="s">
        <v>222</v>
      </c>
      <c r="I118" t="s">
        <v>54</v>
      </c>
      <c r="J118" t="s">
        <v>8</v>
      </c>
      <c r="K118">
        <v>0</v>
      </c>
      <c r="L118">
        <v>1</v>
      </c>
      <c r="M118" t="s">
        <v>10</v>
      </c>
      <c r="N118" s="141">
        <v>45122.343842592592</v>
      </c>
      <c r="O118" t="s">
        <v>49</v>
      </c>
      <c r="P118" t="s">
        <v>603</v>
      </c>
      <c r="Q118" t="s">
        <v>677</v>
      </c>
    </row>
    <row r="119" spans="1:17" x14ac:dyDescent="0.25">
      <c r="A119">
        <v>14</v>
      </c>
      <c r="B119" s="140">
        <v>44863</v>
      </c>
      <c r="C119" s="141">
        <v>44863.416666666664</v>
      </c>
      <c r="D119" s="141">
        <v>44863.625</v>
      </c>
      <c r="E119" s="141">
        <v>44863.666666666664</v>
      </c>
      <c r="F119" s="141">
        <v>44863.708333333336</v>
      </c>
      <c r="G119" s="141">
        <v>44863.708333333336</v>
      </c>
      <c r="H119" t="s">
        <v>469</v>
      </c>
      <c r="I119" t="s">
        <v>51</v>
      </c>
      <c r="J119" t="s">
        <v>3</v>
      </c>
      <c r="K119">
        <v>2</v>
      </c>
      <c r="L119">
        <v>3</v>
      </c>
      <c r="M119" t="s">
        <v>14</v>
      </c>
      <c r="N119" s="141">
        <v>45122.343842592592</v>
      </c>
      <c r="O119" t="s">
        <v>49</v>
      </c>
      <c r="P119" t="s">
        <v>603</v>
      </c>
      <c r="Q119" t="s">
        <v>677</v>
      </c>
    </row>
    <row r="120" spans="1:17" x14ac:dyDescent="0.25">
      <c r="A120">
        <v>14</v>
      </c>
      <c r="B120" s="140">
        <v>44863</v>
      </c>
      <c r="C120" s="141">
        <v>44863.416666666664</v>
      </c>
      <c r="D120" s="141">
        <v>44863.625</v>
      </c>
      <c r="E120" s="141">
        <v>44863.666666666664</v>
      </c>
      <c r="F120" s="141">
        <v>44863.708333333336</v>
      </c>
      <c r="G120" s="141">
        <v>44863.708333333336</v>
      </c>
      <c r="H120" t="s">
        <v>330</v>
      </c>
      <c r="I120" t="s">
        <v>593</v>
      </c>
      <c r="J120" t="s">
        <v>125</v>
      </c>
      <c r="K120">
        <v>1</v>
      </c>
      <c r="L120">
        <v>1</v>
      </c>
      <c r="M120" t="s">
        <v>16</v>
      </c>
      <c r="N120" s="141">
        <v>45122.343842592592</v>
      </c>
      <c r="O120" t="s">
        <v>49</v>
      </c>
      <c r="P120" t="s">
        <v>603</v>
      </c>
      <c r="Q120" t="s">
        <v>677</v>
      </c>
    </row>
    <row r="121" spans="1:17" x14ac:dyDescent="0.25">
      <c r="A121">
        <v>14</v>
      </c>
      <c r="B121" s="140">
        <v>44863</v>
      </c>
      <c r="C121" s="141">
        <v>44863.416666666664</v>
      </c>
      <c r="D121" s="141">
        <v>44863.625</v>
      </c>
      <c r="E121" s="141">
        <v>44863.666666666664</v>
      </c>
      <c r="F121" s="141">
        <v>44863.708333333336</v>
      </c>
      <c r="G121" s="141">
        <v>44863.708333333336</v>
      </c>
      <c r="H121" t="s">
        <v>337</v>
      </c>
      <c r="I121" t="s">
        <v>151</v>
      </c>
      <c r="J121" t="s">
        <v>4</v>
      </c>
      <c r="K121">
        <v>4</v>
      </c>
      <c r="L121">
        <v>1</v>
      </c>
      <c r="M121" t="s">
        <v>5</v>
      </c>
      <c r="N121" s="141">
        <v>45122.343842592592</v>
      </c>
      <c r="O121" t="s">
        <v>49</v>
      </c>
      <c r="P121" t="s">
        <v>603</v>
      </c>
      <c r="Q121" t="s">
        <v>677</v>
      </c>
    </row>
    <row r="122" spans="1:17" x14ac:dyDescent="0.25">
      <c r="A122">
        <v>14</v>
      </c>
      <c r="B122" s="140">
        <v>44863</v>
      </c>
      <c r="C122" s="141">
        <v>44863.416666666664</v>
      </c>
      <c r="D122" s="141">
        <v>44863.625</v>
      </c>
      <c r="E122" s="141">
        <v>44863.666666666664</v>
      </c>
      <c r="F122" s="141">
        <v>44863.708333333336</v>
      </c>
      <c r="G122" s="141">
        <v>44863.708333333336</v>
      </c>
      <c r="H122" t="s">
        <v>173</v>
      </c>
      <c r="I122" t="s">
        <v>52</v>
      </c>
      <c r="J122" t="s">
        <v>6</v>
      </c>
      <c r="K122">
        <v>1</v>
      </c>
      <c r="L122">
        <v>0</v>
      </c>
      <c r="M122" t="s">
        <v>13</v>
      </c>
      <c r="N122" s="141">
        <v>45122.343842592592</v>
      </c>
      <c r="O122" t="s">
        <v>49</v>
      </c>
      <c r="P122" t="s">
        <v>603</v>
      </c>
      <c r="Q122" t="s">
        <v>677</v>
      </c>
    </row>
    <row r="123" spans="1:17" x14ac:dyDescent="0.25">
      <c r="A123">
        <v>14</v>
      </c>
      <c r="B123" s="140">
        <v>44863</v>
      </c>
      <c r="C123" s="141">
        <v>44863.416666666664</v>
      </c>
      <c r="D123" s="141">
        <v>44863.625</v>
      </c>
      <c r="E123" s="141">
        <v>44863.666666666664</v>
      </c>
      <c r="F123" s="141">
        <v>44863.708333333336</v>
      </c>
      <c r="G123" s="141">
        <v>44863.708333333336</v>
      </c>
      <c r="H123" t="s">
        <v>346</v>
      </c>
      <c r="I123" t="s">
        <v>55</v>
      </c>
      <c r="J123" t="s">
        <v>12</v>
      </c>
      <c r="K123">
        <v>4</v>
      </c>
      <c r="L123">
        <v>0</v>
      </c>
      <c r="M123" t="s">
        <v>2</v>
      </c>
      <c r="N123" s="141">
        <v>45122.343842592592</v>
      </c>
      <c r="O123" t="s">
        <v>49</v>
      </c>
      <c r="P123" t="s">
        <v>603</v>
      </c>
      <c r="Q123" t="s">
        <v>677</v>
      </c>
    </row>
    <row r="124" spans="1:17" x14ac:dyDescent="0.25">
      <c r="A124">
        <v>14</v>
      </c>
      <c r="B124" s="140">
        <v>44863</v>
      </c>
      <c r="C124" s="141">
        <v>44863.520833333336</v>
      </c>
      <c r="D124" s="141">
        <v>44863.729166666664</v>
      </c>
      <c r="E124" s="141">
        <v>44863.770833333336</v>
      </c>
      <c r="F124" s="141">
        <v>44863.8125</v>
      </c>
      <c r="G124" s="141">
        <v>44863.8125</v>
      </c>
      <c r="H124" t="s">
        <v>470</v>
      </c>
      <c r="I124" t="s">
        <v>431</v>
      </c>
      <c r="J124" t="s">
        <v>126</v>
      </c>
      <c r="K124">
        <v>0</v>
      </c>
      <c r="L124">
        <v>0</v>
      </c>
      <c r="M124" t="s">
        <v>7</v>
      </c>
      <c r="N124" s="141">
        <v>45122.343842592592</v>
      </c>
      <c r="O124" t="s">
        <v>49</v>
      </c>
      <c r="P124" t="s">
        <v>603</v>
      </c>
      <c r="Q124" t="s">
        <v>677</v>
      </c>
    </row>
    <row r="125" spans="1:17" x14ac:dyDescent="0.25">
      <c r="A125">
        <v>14</v>
      </c>
      <c r="B125" s="140">
        <v>44863</v>
      </c>
      <c r="C125" s="141">
        <v>44863.614583333336</v>
      </c>
      <c r="D125" s="141">
        <v>44863.822916666664</v>
      </c>
      <c r="E125" s="141">
        <v>44863.864583333336</v>
      </c>
      <c r="F125" s="141">
        <v>44863.90625</v>
      </c>
      <c r="G125" s="141">
        <v>44863.90625</v>
      </c>
      <c r="H125" t="s">
        <v>307</v>
      </c>
      <c r="I125" t="s">
        <v>48</v>
      </c>
      <c r="J125" t="s">
        <v>9</v>
      </c>
      <c r="K125">
        <v>1</v>
      </c>
      <c r="L125">
        <v>2</v>
      </c>
      <c r="M125" t="s">
        <v>139</v>
      </c>
      <c r="N125" s="141">
        <v>45122.343842592592</v>
      </c>
      <c r="O125" t="s">
        <v>49</v>
      </c>
      <c r="P125" t="s">
        <v>603</v>
      </c>
      <c r="Q125" t="s">
        <v>677</v>
      </c>
    </row>
    <row r="126" spans="1:17" x14ac:dyDescent="0.25">
      <c r="A126">
        <v>14</v>
      </c>
      <c r="B126" s="140">
        <v>44864</v>
      </c>
      <c r="C126" s="141">
        <v>44864.416666666664</v>
      </c>
      <c r="D126" s="141">
        <v>44864.583333333336</v>
      </c>
      <c r="E126" s="141">
        <v>44864.625</v>
      </c>
      <c r="F126" s="141">
        <v>44864.666666666664</v>
      </c>
      <c r="G126" s="141">
        <v>44864.708333333336</v>
      </c>
      <c r="H126" t="s">
        <v>468</v>
      </c>
      <c r="I126" t="s">
        <v>57</v>
      </c>
      <c r="J126" t="s">
        <v>1</v>
      </c>
      <c r="K126">
        <v>5</v>
      </c>
      <c r="L126">
        <v>0</v>
      </c>
      <c r="M126" t="s">
        <v>204</v>
      </c>
      <c r="N126" s="141">
        <v>45122.343842592592</v>
      </c>
      <c r="O126" t="s">
        <v>49</v>
      </c>
      <c r="P126" t="s">
        <v>603</v>
      </c>
      <c r="Q126" t="s">
        <v>677</v>
      </c>
    </row>
    <row r="127" spans="1:17" x14ac:dyDescent="0.25">
      <c r="A127">
        <v>14</v>
      </c>
      <c r="B127" s="140">
        <v>44864</v>
      </c>
      <c r="C127" s="141">
        <v>44864.510416666664</v>
      </c>
      <c r="D127" s="141">
        <v>44864.677083333336</v>
      </c>
      <c r="E127" s="141">
        <v>44864.71875</v>
      </c>
      <c r="F127" s="141">
        <v>44864.760416666664</v>
      </c>
      <c r="G127" s="141">
        <v>44864.802083333336</v>
      </c>
      <c r="H127" t="s">
        <v>334</v>
      </c>
      <c r="I127" t="s">
        <v>56</v>
      </c>
      <c r="J127" t="s">
        <v>11</v>
      </c>
      <c r="K127">
        <v>1</v>
      </c>
      <c r="L127">
        <v>0</v>
      </c>
      <c r="M127" t="s">
        <v>15</v>
      </c>
      <c r="N127" s="141">
        <v>45122.343842592592</v>
      </c>
      <c r="O127" t="s">
        <v>49</v>
      </c>
      <c r="P127" t="s">
        <v>603</v>
      </c>
      <c r="Q127" t="s">
        <v>677</v>
      </c>
    </row>
    <row r="128" spans="1:17" x14ac:dyDescent="0.25">
      <c r="A128">
        <v>15</v>
      </c>
      <c r="B128" s="140">
        <v>44870</v>
      </c>
      <c r="C128" s="141">
        <v>44870.458333333336</v>
      </c>
      <c r="D128" s="141">
        <v>44870.625</v>
      </c>
      <c r="E128" s="141">
        <v>44870.666666666664</v>
      </c>
      <c r="F128" s="141">
        <v>44870.708333333336</v>
      </c>
      <c r="G128" s="141">
        <v>44870.75</v>
      </c>
      <c r="H128" t="s">
        <v>471</v>
      </c>
      <c r="I128" t="s">
        <v>140</v>
      </c>
      <c r="J128" t="s">
        <v>139</v>
      </c>
      <c r="K128">
        <v>4</v>
      </c>
      <c r="L128">
        <v>3</v>
      </c>
      <c r="M128" t="s">
        <v>3</v>
      </c>
      <c r="N128" s="141">
        <v>45122.343842592592</v>
      </c>
      <c r="O128" t="s">
        <v>49</v>
      </c>
      <c r="P128" t="s">
        <v>603</v>
      </c>
      <c r="Q128" t="s">
        <v>677</v>
      </c>
    </row>
    <row r="129" spans="1:17" x14ac:dyDescent="0.25">
      <c r="A129">
        <v>15</v>
      </c>
      <c r="B129" s="140">
        <v>44870</v>
      </c>
      <c r="C129" s="141">
        <v>44870.458333333336</v>
      </c>
      <c r="D129" s="141">
        <v>44870.625</v>
      </c>
      <c r="E129" s="141">
        <v>44870.666666666664</v>
      </c>
      <c r="F129" s="141">
        <v>44870.708333333336</v>
      </c>
      <c r="G129" s="141">
        <v>44870.75</v>
      </c>
      <c r="H129" t="s">
        <v>472</v>
      </c>
      <c r="I129" t="s">
        <v>61</v>
      </c>
      <c r="J129" t="s">
        <v>10</v>
      </c>
      <c r="K129">
        <v>2</v>
      </c>
      <c r="L129">
        <v>1</v>
      </c>
      <c r="M129" t="s">
        <v>126</v>
      </c>
      <c r="N129" s="141">
        <v>45122.343842592592</v>
      </c>
      <c r="O129" t="s">
        <v>49</v>
      </c>
      <c r="P129" t="s">
        <v>603</v>
      </c>
      <c r="Q129" t="s">
        <v>677</v>
      </c>
    </row>
    <row r="130" spans="1:17" x14ac:dyDescent="0.25">
      <c r="A130">
        <v>15</v>
      </c>
      <c r="B130" s="140">
        <v>44870</v>
      </c>
      <c r="C130" s="141">
        <v>44870.458333333336</v>
      </c>
      <c r="D130" s="141">
        <v>44870.625</v>
      </c>
      <c r="E130" s="141">
        <v>44870.666666666664</v>
      </c>
      <c r="F130" s="141">
        <v>44870.708333333336</v>
      </c>
      <c r="G130" s="141">
        <v>44870.75</v>
      </c>
      <c r="H130" t="s">
        <v>473</v>
      </c>
      <c r="I130" t="s">
        <v>436</v>
      </c>
      <c r="J130" t="s">
        <v>204</v>
      </c>
      <c r="K130">
        <v>2</v>
      </c>
      <c r="L130">
        <v>2</v>
      </c>
      <c r="M130" t="s">
        <v>125</v>
      </c>
      <c r="N130" s="141">
        <v>45122.343842592592</v>
      </c>
      <c r="O130" t="s">
        <v>49</v>
      </c>
      <c r="P130" t="s">
        <v>603</v>
      </c>
      <c r="Q130" t="s">
        <v>677</v>
      </c>
    </row>
    <row r="131" spans="1:17" x14ac:dyDescent="0.25">
      <c r="A131">
        <v>15</v>
      </c>
      <c r="B131" s="140">
        <v>44870</v>
      </c>
      <c r="C131" s="141">
        <v>44870.458333333336</v>
      </c>
      <c r="D131" s="141">
        <v>44870.625</v>
      </c>
      <c r="E131" s="141">
        <v>44870.666666666664</v>
      </c>
      <c r="F131" s="141">
        <v>44870.708333333336</v>
      </c>
      <c r="G131" s="141">
        <v>44870.75</v>
      </c>
      <c r="H131" t="s">
        <v>404</v>
      </c>
      <c r="I131" t="s">
        <v>63</v>
      </c>
      <c r="J131" t="s">
        <v>16</v>
      </c>
      <c r="K131">
        <v>2</v>
      </c>
      <c r="L131">
        <v>3</v>
      </c>
      <c r="M131" t="s">
        <v>4</v>
      </c>
      <c r="N131" s="141">
        <v>45122.343842592592</v>
      </c>
      <c r="O131" t="s">
        <v>49</v>
      </c>
      <c r="P131" t="s">
        <v>603</v>
      </c>
      <c r="Q131" t="s">
        <v>677</v>
      </c>
    </row>
    <row r="132" spans="1:17" x14ac:dyDescent="0.25">
      <c r="A132">
        <v>15</v>
      </c>
      <c r="B132" s="140">
        <v>44870</v>
      </c>
      <c r="C132" s="141">
        <v>44870.5625</v>
      </c>
      <c r="D132" s="141">
        <v>44870.729166666664</v>
      </c>
      <c r="E132" s="141">
        <v>44870.770833333336</v>
      </c>
      <c r="F132" s="141">
        <v>44870.8125</v>
      </c>
      <c r="G132" s="141">
        <v>44870.854166666664</v>
      </c>
      <c r="H132" t="s">
        <v>300</v>
      </c>
      <c r="I132" t="s">
        <v>59</v>
      </c>
      <c r="J132" t="s">
        <v>7</v>
      </c>
      <c r="K132">
        <v>0</v>
      </c>
      <c r="L132">
        <v>2</v>
      </c>
      <c r="M132" t="s">
        <v>8</v>
      </c>
      <c r="N132" s="141">
        <v>45122.343842592592</v>
      </c>
      <c r="O132" t="s">
        <v>49</v>
      </c>
      <c r="P132" t="s">
        <v>603</v>
      </c>
      <c r="Q132" t="s">
        <v>677</v>
      </c>
    </row>
    <row r="133" spans="1:17" x14ac:dyDescent="0.25">
      <c r="A133">
        <v>15</v>
      </c>
      <c r="B133" s="140">
        <v>44871</v>
      </c>
      <c r="C133" s="141">
        <v>44871.291666666664</v>
      </c>
      <c r="D133" s="141">
        <v>44871.5</v>
      </c>
      <c r="E133" s="141">
        <v>44871.541666666664</v>
      </c>
      <c r="F133" s="141">
        <v>44871.583333333336</v>
      </c>
      <c r="G133" s="141">
        <v>44871.625</v>
      </c>
      <c r="H133" t="s">
        <v>183</v>
      </c>
      <c r="I133" t="s">
        <v>62</v>
      </c>
      <c r="J133" t="s">
        <v>5</v>
      </c>
      <c r="K133">
        <v>0</v>
      </c>
      <c r="L133">
        <v>1</v>
      </c>
      <c r="M133" t="s">
        <v>1</v>
      </c>
      <c r="N133" s="141">
        <v>45122.343842592592</v>
      </c>
      <c r="O133" t="s">
        <v>49</v>
      </c>
      <c r="P133" t="s">
        <v>603</v>
      </c>
      <c r="Q133" t="s">
        <v>677</v>
      </c>
    </row>
    <row r="134" spans="1:17" x14ac:dyDescent="0.25">
      <c r="A134">
        <v>15</v>
      </c>
      <c r="B134" s="140">
        <v>44871</v>
      </c>
      <c r="C134" s="141">
        <v>44871.375</v>
      </c>
      <c r="D134" s="141">
        <v>44871.583333333336</v>
      </c>
      <c r="E134" s="141">
        <v>44871.625</v>
      </c>
      <c r="F134" s="141">
        <v>44871.666666666664</v>
      </c>
      <c r="G134" s="141">
        <v>44871.708333333336</v>
      </c>
      <c r="H134" t="s">
        <v>324</v>
      </c>
      <c r="I134" t="s">
        <v>58</v>
      </c>
      <c r="J134" t="s">
        <v>2</v>
      </c>
      <c r="K134">
        <v>3</v>
      </c>
      <c r="L134">
        <v>1</v>
      </c>
      <c r="M134" t="s">
        <v>11</v>
      </c>
      <c r="N134" s="141">
        <v>45122.343842592592</v>
      </c>
      <c r="O134" t="s">
        <v>49</v>
      </c>
      <c r="P134" t="s">
        <v>603</v>
      </c>
      <c r="Q134" t="s">
        <v>677</v>
      </c>
    </row>
    <row r="135" spans="1:17" x14ac:dyDescent="0.25">
      <c r="A135">
        <v>15</v>
      </c>
      <c r="B135" s="140">
        <v>44871</v>
      </c>
      <c r="C135" s="141">
        <v>44871.375</v>
      </c>
      <c r="D135" s="141">
        <v>44871.583333333336</v>
      </c>
      <c r="E135" s="141">
        <v>44871.625</v>
      </c>
      <c r="F135" s="141">
        <v>44871.666666666664</v>
      </c>
      <c r="G135" s="141">
        <v>44871.708333333336</v>
      </c>
      <c r="H135" t="s">
        <v>323</v>
      </c>
      <c r="I135" t="s">
        <v>60</v>
      </c>
      <c r="J135" t="s">
        <v>13</v>
      </c>
      <c r="K135">
        <v>1</v>
      </c>
      <c r="L135">
        <v>4</v>
      </c>
      <c r="M135" t="s">
        <v>12</v>
      </c>
      <c r="N135" s="141">
        <v>45122.343842592592</v>
      </c>
      <c r="O135" t="s">
        <v>49</v>
      </c>
      <c r="P135" t="s">
        <v>603</v>
      </c>
      <c r="Q135" t="s">
        <v>677</v>
      </c>
    </row>
    <row r="136" spans="1:17" x14ac:dyDescent="0.25">
      <c r="A136">
        <v>15</v>
      </c>
      <c r="B136" s="140">
        <v>44871</v>
      </c>
      <c r="C136" s="141">
        <v>44871.375</v>
      </c>
      <c r="D136" s="141">
        <v>44871.583333333336</v>
      </c>
      <c r="E136" s="141">
        <v>44871.625</v>
      </c>
      <c r="F136" s="141">
        <v>44871.666666666664</v>
      </c>
      <c r="G136" s="141">
        <v>44871.708333333336</v>
      </c>
      <c r="H136" t="s">
        <v>217</v>
      </c>
      <c r="I136" t="s">
        <v>50</v>
      </c>
      <c r="J136" t="s">
        <v>15</v>
      </c>
      <c r="K136">
        <v>1</v>
      </c>
      <c r="L136">
        <v>2</v>
      </c>
      <c r="M136" t="s">
        <v>6</v>
      </c>
      <c r="N136" s="141">
        <v>45122.343842592592</v>
      </c>
      <c r="O136" t="s">
        <v>49</v>
      </c>
      <c r="P136" t="s">
        <v>603</v>
      </c>
      <c r="Q136" t="s">
        <v>677</v>
      </c>
    </row>
    <row r="137" spans="1:17" x14ac:dyDescent="0.25">
      <c r="A137">
        <v>15</v>
      </c>
      <c r="B137" s="140">
        <v>44871</v>
      </c>
      <c r="C137" s="141">
        <v>44871.479166666664</v>
      </c>
      <c r="D137" s="141">
        <v>44871.6875</v>
      </c>
      <c r="E137" s="141">
        <v>44871.729166666664</v>
      </c>
      <c r="F137" s="141">
        <v>44871.770833333336</v>
      </c>
      <c r="G137" s="141">
        <v>44871.8125</v>
      </c>
      <c r="H137" t="s">
        <v>304</v>
      </c>
      <c r="I137" t="s">
        <v>53</v>
      </c>
      <c r="J137" t="s">
        <v>14</v>
      </c>
      <c r="K137">
        <v>1</v>
      </c>
      <c r="L137">
        <v>2</v>
      </c>
      <c r="M137" t="s">
        <v>9</v>
      </c>
      <c r="N137" s="141">
        <v>45122.343842592592</v>
      </c>
      <c r="O137" t="s">
        <v>49</v>
      </c>
      <c r="P137" t="s">
        <v>603</v>
      </c>
      <c r="Q137" t="s">
        <v>677</v>
      </c>
    </row>
    <row r="138" spans="1:17" x14ac:dyDescent="0.25">
      <c r="A138">
        <v>16</v>
      </c>
      <c r="B138" s="140">
        <v>44877</v>
      </c>
      <c r="C138" s="141">
        <v>44877.3125</v>
      </c>
      <c r="D138" s="141">
        <v>44877.520833333336</v>
      </c>
      <c r="E138" s="141">
        <v>44877.5625</v>
      </c>
      <c r="F138" s="141">
        <v>44877.604166666664</v>
      </c>
      <c r="G138" s="141">
        <v>44877.645833333336</v>
      </c>
      <c r="H138" t="s">
        <v>342</v>
      </c>
      <c r="I138" t="s">
        <v>61</v>
      </c>
      <c r="J138" t="s">
        <v>10</v>
      </c>
      <c r="K138">
        <v>1</v>
      </c>
      <c r="L138">
        <v>2</v>
      </c>
      <c r="M138" t="s">
        <v>125</v>
      </c>
      <c r="N138" s="141">
        <v>45122.343842592592</v>
      </c>
      <c r="O138" t="s">
        <v>49</v>
      </c>
      <c r="P138" t="s">
        <v>603</v>
      </c>
      <c r="Q138" t="s">
        <v>677</v>
      </c>
    </row>
    <row r="139" spans="1:17" x14ac:dyDescent="0.25">
      <c r="A139">
        <v>16</v>
      </c>
      <c r="B139" s="140">
        <v>44877</v>
      </c>
      <c r="C139" s="141">
        <v>44877.416666666664</v>
      </c>
      <c r="D139" s="141">
        <v>44877.625</v>
      </c>
      <c r="E139" s="141">
        <v>44877.666666666664</v>
      </c>
      <c r="F139" s="141">
        <v>44877.708333333336</v>
      </c>
      <c r="G139" s="141">
        <v>44877.75</v>
      </c>
      <c r="H139" t="s">
        <v>474</v>
      </c>
      <c r="I139" t="s">
        <v>51</v>
      </c>
      <c r="J139" t="s">
        <v>3</v>
      </c>
      <c r="K139">
        <v>3</v>
      </c>
      <c r="L139">
        <v>0</v>
      </c>
      <c r="M139" t="s">
        <v>7</v>
      </c>
      <c r="N139" s="141">
        <v>45122.343842592592</v>
      </c>
      <c r="O139" t="s">
        <v>49</v>
      </c>
      <c r="P139" t="s">
        <v>603</v>
      </c>
      <c r="Q139" t="s">
        <v>677</v>
      </c>
    </row>
    <row r="140" spans="1:17" x14ac:dyDescent="0.25">
      <c r="A140">
        <v>16</v>
      </c>
      <c r="B140" s="140">
        <v>44877</v>
      </c>
      <c r="C140" s="141">
        <v>44877.416666666664</v>
      </c>
      <c r="D140" s="141">
        <v>44877.625</v>
      </c>
      <c r="E140" s="141">
        <v>44877.666666666664</v>
      </c>
      <c r="F140" s="141">
        <v>44877.708333333336</v>
      </c>
      <c r="G140" s="141">
        <v>44877.75</v>
      </c>
      <c r="H140" t="s">
        <v>167</v>
      </c>
      <c r="I140" t="s">
        <v>48</v>
      </c>
      <c r="J140" t="s">
        <v>9</v>
      </c>
      <c r="K140">
        <v>3</v>
      </c>
      <c r="L140">
        <v>1</v>
      </c>
      <c r="M140" t="s">
        <v>13</v>
      </c>
      <c r="N140" s="141">
        <v>45122.343842592592</v>
      </c>
      <c r="O140" t="s">
        <v>49</v>
      </c>
      <c r="P140" t="s">
        <v>603</v>
      </c>
      <c r="Q140" t="s">
        <v>677</v>
      </c>
    </row>
    <row r="141" spans="1:17" x14ac:dyDescent="0.25">
      <c r="A141">
        <v>16</v>
      </c>
      <c r="B141" s="140">
        <v>44877</v>
      </c>
      <c r="C141" s="141">
        <v>44877.416666666664</v>
      </c>
      <c r="D141" s="141">
        <v>44877.625</v>
      </c>
      <c r="E141" s="141">
        <v>44877.666666666664</v>
      </c>
      <c r="F141" s="141">
        <v>44877.708333333336</v>
      </c>
      <c r="G141" s="141">
        <v>44877.75</v>
      </c>
      <c r="H141" t="s">
        <v>476</v>
      </c>
      <c r="I141" t="s">
        <v>436</v>
      </c>
      <c r="J141" t="s">
        <v>204</v>
      </c>
      <c r="K141">
        <v>1</v>
      </c>
      <c r="L141">
        <v>0</v>
      </c>
      <c r="M141" t="s">
        <v>6</v>
      </c>
      <c r="N141" s="141">
        <v>45122.343842592592</v>
      </c>
      <c r="O141" t="s">
        <v>49</v>
      </c>
      <c r="P141" t="s">
        <v>603</v>
      </c>
      <c r="Q141" t="s">
        <v>677</v>
      </c>
    </row>
    <row r="142" spans="1:17" x14ac:dyDescent="0.25">
      <c r="A142">
        <v>16</v>
      </c>
      <c r="B142" s="140">
        <v>44877</v>
      </c>
      <c r="C142" s="141">
        <v>44877.416666666664</v>
      </c>
      <c r="D142" s="141">
        <v>44877.625</v>
      </c>
      <c r="E142" s="141">
        <v>44877.666666666664</v>
      </c>
      <c r="F142" s="141">
        <v>44877.708333333336</v>
      </c>
      <c r="G142" s="141">
        <v>44877.75</v>
      </c>
      <c r="H142" t="s">
        <v>272</v>
      </c>
      <c r="I142" t="s">
        <v>53</v>
      </c>
      <c r="J142" t="s">
        <v>14</v>
      </c>
      <c r="K142">
        <v>4</v>
      </c>
      <c r="L142">
        <v>3</v>
      </c>
      <c r="M142" t="s">
        <v>139</v>
      </c>
      <c r="N142" s="141">
        <v>45122.343842592592</v>
      </c>
      <c r="O142" t="s">
        <v>49</v>
      </c>
      <c r="P142" t="s">
        <v>603</v>
      </c>
      <c r="Q142" t="s">
        <v>677</v>
      </c>
    </row>
    <row r="143" spans="1:17" x14ac:dyDescent="0.25">
      <c r="A143">
        <v>16</v>
      </c>
      <c r="B143" s="140">
        <v>44877</v>
      </c>
      <c r="C143" s="141">
        <v>44877.416666666664</v>
      </c>
      <c r="D143" s="141">
        <v>44877.625</v>
      </c>
      <c r="E143" s="141">
        <v>44877.666666666664</v>
      </c>
      <c r="F143" s="141">
        <v>44877.708333333336</v>
      </c>
      <c r="G143" s="141">
        <v>44877.75</v>
      </c>
      <c r="H143" t="s">
        <v>213</v>
      </c>
      <c r="I143" t="s">
        <v>50</v>
      </c>
      <c r="J143" t="s">
        <v>15</v>
      </c>
      <c r="K143">
        <v>0</v>
      </c>
      <c r="L143">
        <v>2</v>
      </c>
      <c r="M143" t="s">
        <v>8</v>
      </c>
      <c r="N143" s="141">
        <v>45122.343842592592</v>
      </c>
      <c r="O143" t="s">
        <v>49</v>
      </c>
      <c r="P143" t="s">
        <v>603</v>
      </c>
      <c r="Q143" t="s">
        <v>677</v>
      </c>
    </row>
    <row r="144" spans="1:17" x14ac:dyDescent="0.25">
      <c r="A144">
        <v>16</v>
      </c>
      <c r="B144" s="140">
        <v>44877</v>
      </c>
      <c r="C144" s="141">
        <v>44877.520833333336</v>
      </c>
      <c r="D144" s="141">
        <v>44877.729166666664</v>
      </c>
      <c r="E144" s="141">
        <v>44877.770833333336</v>
      </c>
      <c r="F144" s="141">
        <v>44877.8125</v>
      </c>
      <c r="G144" s="141">
        <v>44877.854166666664</v>
      </c>
      <c r="H144" t="s">
        <v>259</v>
      </c>
      <c r="I144" t="s">
        <v>55</v>
      </c>
      <c r="J144" t="s">
        <v>12</v>
      </c>
      <c r="K144">
        <v>1</v>
      </c>
      <c r="L144">
        <v>0</v>
      </c>
      <c r="M144" t="s">
        <v>5</v>
      </c>
      <c r="N144" s="141">
        <v>45122.343842592592</v>
      </c>
      <c r="O144" t="s">
        <v>49</v>
      </c>
      <c r="P144" t="s">
        <v>603</v>
      </c>
      <c r="Q144" t="s">
        <v>677</v>
      </c>
    </row>
    <row r="145" spans="1:17" x14ac:dyDescent="0.25">
      <c r="A145">
        <v>16</v>
      </c>
      <c r="B145" s="140">
        <v>44877</v>
      </c>
      <c r="C145" s="141">
        <v>44877.614583333336</v>
      </c>
      <c r="D145" s="141">
        <v>44877.822916666664</v>
      </c>
      <c r="E145" s="141">
        <v>44877.864583333336</v>
      </c>
      <c r="F145" s="141">
        <v>44877.90625</v>
      </c>
      <c r="G145" s="141">
        <v>44877.947916666664</v>
      </c>
      <c r="H145" t="s">
        <v>338</v>
      </c>
      <c r="I145" t="s">
        <v>63</v>
      </c>
      <c r="J145" t="s">
        <v>16</v>
      </c>
      <c r="K145">
        <v>0</v>
      </c>
      <c r="L145">
        <v>2</v>
      </c>
      <c r="M145" t="s">
        <v>1</v>
      </c>
      <c r="N145" s="141">
        <v>45122.343842592592</v>
      </c>
      <c r="O145" t="s">
        <v>49</v>
      </c>
      <c r="P145" t="s">
        <v>603</v>
      </c>
      <c r="Q145" t="s">
        <v>677</v>
      </c>
    </row>
    <row r="146" spans="1:17" x14ac:dyDescent="0.25">
      <c r="A146">
        <v>16</v>
      </c>
      <c r="B146" s="140">
        <v>44878</v>
      </c>
      <c r="C146" s="141">
        <v>44878.375</v>
      </c>
      <c r="D146" s="141">
        <v>44878.583333333336</v>
      </c>
      <c r="E146" s="141">
        <v>44878.625</v>
      </c>
      <c r="F146" s="141">
        <v>44878.666666666664</v>
      </c>
      <c r="G146" s="141">
        <v>44878.708333333336</v>
      </c>
      <c r="H146" t="s">
        <v>353</v>
      </c>
      <c r="I146" t="s">
        <v>151</v>
      </c>
      <c r="J146" t="s">
        <v>4</v>
      </c>
      <c r="K146">
        <v>1</v>
      </c>
      <c r="L146">
        <v>2</v>
      </c>
      <c r="M146" t="s">
        <v>2</v>
      </c>
      <c r="N146" s="141">
        <v>45122.343842592592</v>
      </c>
      <c r="O146" t="s">
        <v>49</v>
      </c>
      <c r="P146" t="s">
        <v>603</v>
      </c>
      <c r="Q146" t="s">
        <v>677</v>
      </c>
    </row>
    <row r="147" spans="1:17" x14ac:dyDescent="0.25">
      <c r="A147">
        <v>16</v>
      </c>
      <c r="B147" s="140">
        <v>44878</v>
      </c>
      <c r="C147" s="141">
        <v>44878.479166666664</v>
      </c>
      <c r="D147" s="141">
        <v>44878.6875</v>
      </c>
      <c r="E147" s="141">
        <v>44878.729166666664</v>
      </c>
      <c r="F147" s="141">
        <v>44878.770833333336</v>
      </c>
      <c r="G147" s="141">
        <v>44878.8125</v>
      </c>
      <c r="H147" t="s">
        <v>475</v>
      </c>
      <c r="I147" t="s">
        <v>431</v>
      </c>
      <c r="J147" t="s">
        <v>126</v>
      </c>
      <c r="K147">
        <v>1</v>
      </c>
      <c r="L147">
        <v>2</v>
      </c>
      <c r="M147" t="s">
        <v>11</v>
      </c>
      <c r="N147" s="141">
        <v>45122.343842592592</v>
      </c>
      <c r="O147" t="s">
        <v>49</v>
      </c>
      <c r="P147" t="s">
        <v>603</v>
      </c>
      <c r="Q147" t="s">
        <v>677</v>
      </c>
    </row>
    <row r="148" spans="1:17" x14ac:dyDescent="0.25">
      <c r="A148">
        <v>17</v>
      </c>
      <c r="B148" s="140">
        <v>44921</v>
      </c>
      <c r="C148" s="141">
        <v>44921.3125</v>
      </c>
      <c r="D148" s="141">
        <v>44921.520833333336</v>
      </c>
      <c r="E148" s="141">
        <v>44921.5625</v>
      </c>
      <c r="F148" s="141">
        <v>44921.604166666664</v>
      </c>
      <c r="G148" s="141">
        <v>44921.645833333336</v>
      </c>
      <c r="H148" t="s">
        <v>394</v>
      </c>
      <c r="I148" t="s">
        <v>593</v>
      </c>
      <c r="J148" t="s">
        <v>125</v>
      </c>
      <c r="K148">
        <v>2</v>
      </c>
      <c r="L148">
        <v>2</v>
      </c>
      <c r="M148" t="s">
        <v>14</v>
      </c>
      <c r="N148" s="141">
        <v>45122.343842592592</v>
      </c>
      <c r="O148" t="s">
        <v>49</v>
      </c>
      <c r="P148" t="s">
        <v>603</v>
      </c>
      <c r="Q148" t="s">
        <v>677</v>
      </c>
    </row>
    <row r="149" spans="1:17" x14ac:dyDescent="0.25">
      <c r="A149">
        <v>17</v>
      </c>
      <c r="B149" s="140">
        <v>44921</v>
      </c>
      <c r="C149" s="141">
        <v>44921.416666666664</v>
      </c>
      <c r="D149" s="141">
        <v>44921.625</v>
      </c>
      <c r="E149" s="141">
        <v>44921.666666666664</v>
      </c>
      <c r="F149" s="141">
        <v>44921.708333333336</v>
      </c>
      <c r="G149" s="141">
        <v>44921.75</v>
      </c>
      <c r="H149" t="s">
        <v>478</v>
      </c>
      <c r="I149" t="s">
        <v>52</v>
      </c>
      <c r="J149" t="s">
        <v>6</v>
      </c>
      <c r="K149">
        <v>0</v>
      </c>
      <c r="L149">
        <v>3</v>
      </c>
      <c r="M149" t="s">
        <v>126</v>
      </c>
      <c r="N149" s="141">
        <v>45122.343842592592</v>
      </c>
      <c r="O149" t="s">
        <v>49</v>
      </c>
      <c r="P149" t="s">
        <v>603</v>
      </c>
      <c r="Q149" t="s">
        <v>677</v>
      </c>
    </row>
    <row r="150" spans="1:17" x14ac:dyDescent="0.25">
      <c r="A150">
        <v>17</v>
      </c>
      <c r="B150" s="140">
        <v>44921</v>
      </c>
      <c r="C150" s="141">
        <v>44921.416666666664</v>
      </c>
      <c r="D150" s="141">
        <v>44921.625</v>
      </c>
      <c r="E150" s="141">
        <v>44921.666666666664</v>
      </c>
      <c r="F150" s="141">
        <v>44921.708333333336</v>
      </c>
      <c r="G150" s="141">
        <v>44921.75</v>
      </c>
      <c r="H150" t="s">
        <v>368</v>
      </c>
      <c r="I150" t="s">
        <v>59</v>
      </c>
      <c r="J150" t="s">
        <v>7</v>
      </c>
      <c r="K150">
        <v>1</v>
      </c>
      <c r="L150">
        <v>2</v>
      </c>
      <c r="M150" t="s">
        <v>16</v>
      </c>
      <c r="N150" s="141">
        <v>45122.343842592592</v>
      </c>
      <c r="O150" t="s">
        <v>49</v>
      </c>
      <c r="P150" t="s">
        <v>603</v>
      </c>
      <c r="Q150" t="s">
        <v>677</v>
      </c>
    </row>
    <row r="151" spans="1:17" x14ac:dyDescent="0.25">
      <c r="A151">
        <v>17</v>
      </c>
      <c r="B151" s="140">
        <v>44921</v>
      </c>
      <c r="C151" s="141">
        <v>44921.416666666664</v>
      </c>
      <c r="D151" s="141">
        <v>44921.625</v>
      </c>
      <c r="E151" s="141">
        <v>44921.666666666664</v>
      </c>
      <c r="F151" s="141">
        <v>44921.708333333336</v>
      </c>
      <c r="G151" s="141">
        <v>44921.75</v>
      </c>
      <c r="H151" t="s">
        <v>292</v>
      </c>
      <c r="I151" t="s">
        <v>54</v>
      </c>
      <c r="J151" t="s">
        <v>8</v>
      </c>
      <c r="K151">
        <v>0</v>
      </c>
      <c r="L151">
        <v>3</v>
      </c>
      <c r="M151" t="s">
        <v>12</v>
      </c>
      <c r="N151" s="141">
        <v>45122.343842592592</v>
      </c>
      <c r="O151" t="s">
        <v>49</v>
      </c>
      <c r="P151" t="s">
        <v>603</v>
      </c>
      <c r="Q151" t="s">
        <v>677</v>
      </c>
    </row>
    <row r="152" spans="1:17" x14ac:dyDescent="0.25">
      <c r="A152">
        <v>17</v>
      </c>
      <c r="B152" s="140">
        <v>44921</v>
      </c>
      <c r="C152" s="141">
        <v>44921.416666666664</v>
      </c>
      <c r="D152" s="141">
        <v>44921.625</v>
      </c>
      <c r="E152" s="141">
        <v>44921.666666666664</v>
      </c>
      <c r="F152" s="141">
        <v>44921.708333333336</v>
      </c>
      <c r="G152" s="141">
        <v>44921.75</v>
      </c>
      <c r="H152" t="s">
        <v>287</v>
      </c>
      <c r="I152" t="s">
        <v>60</v>
      </c>
      <c r="J152" t="s">
        <v>13</v>
      </c>
      <c r="K152">
        <v>1</v>
      </c>
      <c r="L152">
        <v>3</v>
      </c>
      <c r="M152" t="s">
        <v>4</v>
      </c>
      <c r="N152" s="141">
        <v>45122.343842592592</v>
      </c>
      <c r="O152" t="s">
        <v>49</v>
      </c>
      <c r="P152" t="s">
        <v>603</v>
      </c>
      <c r="Q152" t="s">
        <v>677</v>
      </c>
    </row>
    <row r="153" spans="1:17" x14ac:dyDescent="0.25">
      <c r="A153">
        <v>17</v>
      </c>
      <c r="B153" s="140">
        <v>44921</v>
      </c>
      <c r="C153" s="141">
        <v>44921.520833333336</v>
      </c>
      <c r="D153" s="141">
        <v>44921.729166666664</v>
      </c>
      <c r="E153" s="141">
        <v>44921.770833333336</v>
      </c>
      <c r="F153" s="141">
        <v>44921.8125</v>
      </c>
      <c r="G153" s="141">
        <v>44921.854166666664</v>
      </c>
      <c r="H153" t="s">
        <v>193</v>
      </c>
      <c r="I153" t="s">
        <v>58</v>
      </c>
      <c r="J153" t="s">
        <v>2</v>
      </c>
      <c r="K153">
        <v>1</v>
      </c>
      <c r="L153">
        <v>3</v>
      </c>
      <c r="M153" t="s">
        <v>9</v>
      </c>
      <c r="N153" s="141">
        <v>45122.343842592592</v>
      </c>
      <c r="O153" t="s">
        <v>49</v>
      </c>
      <c r="P153" t="s">
        <v>603</v>
      </c>
      <c r="Q153" t="s">
        <v>677</v>
      </c>
    </row>
    <row r="154" spans="1:17" x14ac:dyDescent="0.25">
      <c r="A154">
        <v>17</v>
      </c>
      <c r="B154" s="140">
        <v>44921</v>
      </c>
      <c r="C154" s="141">
        <v>44921.625</v>
      </c>
      <c r="D154" s="141">
        <v>44921.833333333336</v>
      </c>
      <c r="E154" s="141">
        <v>44921.875</v>
      </c>
      <c r="F154" s="141">
        <v>44921.916666666664</v>
      </c>
      <c r="G154" s="141">
        <v>44921.958333333336</v>
      </c>
      <c r="H154" t="s">
        <v>294</v>
      </c>
      <c r="I154" t="s">
        <v>57</v>
      </c>
      <c r="J154" t="s">
        <v>1</v>
      </c>
      <c r="K154">
        <v>3</v>
      </c>
      <c r="L154">
        <v>1</v>
      </c>
      <c r="M154" t="s">
        <v>15</v>
      </c>
      <c r="N154" s="141">
        <v>45122.343842592592</v>
      </c>
      <c r="O154" t="s">
        <v>49</v>
      </c>
      <c r="P154" t="s">
        <v>603</v>
      </c>
      <c r="Q154" t="s">
        <v>677</v>
      </c>
    </row>
    <row r="155" spans="1:17" x14ac:dyDescent="0.25">
      <c r="A155">
        <v>17</v>
      </c>
      <c r="B155" s="140">
        <v>44922</v>
      </c>
      <c r="C155" s="141">
        <v>44922.520833333336</v>
      </c>
      <c r="D155" s="141">
        <v>44922.729166666664</v>
      </c>
      <c r="E155" s="141">
        <v>44922.770833333336</v>
      </c>
      <c r="F155" s="141">
        <v>44922.8125</v>
      </c>
      <c r="G155" s="141">
        <v>44922.854166666664</v>
      </c>
      <c r="H155" t="s">
        <v>477</v>
      </c>
      <c r="I155" t="s">
        <v>62</v>
      </c>
      <c r="J155" t="s">
        <v>5</v>
      </c>
      <c r="K155">
        <v>2</v>
      </c>
      <c r="L155">
        <v>0</v>
      </c>
      <c r="M155" t="s">
        <v>3</v>
      </c>
      <c r="N155" s="141">
        <v>45122.343842592592</v>
      </c>
      <c r="O155" t="s">
        <v>49</v>
      </c>
      <c r="P155" t="s">
        <v>603</v>
      </c>
      <c r="Q155" t="s">
        <v>677</v>
      </c>
    </row>
    <row r="156" spans="1:17" x14ac:dyDescent="0.25">
      <c r="A156">
        <v>17</v>
      </c>
      <c r="B156" s="140">
        <v>44922</v>
      </c>
      <c r="C156" s="141">
        <v>44922.625</v>
      </c>
      <c r="D156" s="141">
        <v>44922.833333333336</v>
      </c>
      <c r="E156" s="141">
        <v>44922.875</v>
      </c>
      <c r="F156" s="141">
        <v>44922.916666666664</v>
      </c>
      <c r="G156" s="141">
        <v>44922.958333333336</v>
      </c>
      <c r="H156" t="s">
        <v>479</v>
      </c>
      <c r="I156" t="s">
        <v>56</v>
      </c>
      <c r="J156" t="s">
        <v>11</v>
      </c>
      <c r="K156">
        <v>3</v>
      </c>
      <c r="L156">
        <v>0</v>
      </c>
      <c r="M156" t="s">
        <v>204</v>
      </c>
      <c r="N156" s="141">
        <v>45122.343842592592</v>
      </c>
      <c r="O156" t="s">
        <v>49</v>
      </c>
      <c r="P156" t="s">
        <v>603</v>
      </c>
      <c r="Q156" t="s">
        <v>677</v>
      </c>
    </row>
    <row r="157" spans="1:17" x14ac:dyDescent="0.25">
      <c r="A157">
        <v>17</v>
      </c>
      <c r="B157" s="140">
        <v>44923</v>
      </c>
      <c r="C157" s="141">
        <v>44923.625</v>
      </c>
      <c r="D157" s="141">
        <v>44923.833333333336</v>
      </c>
      <c r="E157" s="141">
        <v>44923.875</v>
      </c>
      <c r="F157" s="141">
        <v>44923.916666666664</v>
      </c>
      <c r="G157" s="141">
        <v>44923.958333333336</v>
      </c>
      <c r="H157" t="s">
        <v>399</v>
      </c>
      <c r="I157" t="s">
        <v>140</v>
      </c>
      <c r="J157" t="s">
        <v>139</v>
      </c>
      <c r="K157">
        <v>1</v>
      </c>
      <c r="L157">
        <v>3</v>
      </c>
      <c r="M157" t="s">
        <v>10</v>
      </c>
      <c r="N157" s="141">
        <v>45122.343842592592</v>
      </c>
      <c r="O157" t="s">
        <v>49</v>
      </c>
      <c r="P157" t="s">
        <v>603</v>
      </c>
      <c r="Q157" t="s">
        <v>677</v>
      </c>
    </row>
    <row r="158" spans="1:17" x14ac:dyDescent="0.25">
      <c r="A158">
        <v>18</v>
      </c>
      <c r="B158" s="140">
        <v>44925</v>
      </c>
      <c r="C158" s="141">
        <v>44925.614583333336</v>
      </c>
      <c r="D158" s="141">
        <v>44925.822916666664</v>
      </c>
      <c r="E158" s="141">
        <v>44925.864583333336</v>
      </c>
      <c r="F158" s="141">
        <v>44925.90625</v>
      </c>
      <c r="G158" s="141">
        <v>44925.947916666664</v>
      </c>
      <c r="H158" t="s">
        <v>242</v>
      </c>
      <c r="I158" t="s">
        <v>50</v>
      </c>
      <c r="J158" t="s">
        <v>15</v>
      </c>
      <c r="K158">
        <v>0</v>
      </c>
      <c r="L158">
        <v>2</v>
      </c>
      <c r="M158" t="s">
        <v>125</v>
      </c>
      <c r="N158" s="141">
        <v>45122.343842592592</v>
      </c>
      <c r="O158" t="s">
        <v>49</v>
      </c>
      <c r="P158" t="s">
        <v>603</v>
      </c>
      <c r="Q158" t="s">
        <v>677</v>
      </c>
    </row>
    <row r="159" spans="1:17" x14ac:dyDescent="0.25">
      <c r="A159">
        <v>18</v>
      </c>
      <c r="B159" s="140">
        <v>44925</v>
      </c>
      <c r="C159" s="141">
        <v>44925.625</v>
      </c>
      <c r="D159" s="141">
        <v>44925.833333333336</v>
      </c>
      <c r="E159" s="141">
        <v>44925.875</v>
      </c>
      <c r="F159" s="141">
        <v>44925.916666666664</v>
      </c>
      <c r="G159" s="141">
        <v>44925.958333333336</v>
      </c>
      <c r="H159" t="s">
        <v>341</v>
      </c>
      <c r="I159" t="s">
        <v>48</v>
      </c>
      <c r="J159" t="s">
        <v>9</v>
      </c>
      <c r="K159">
        <v>2</v>
      </c>
      <c r="L159">
        <v>1</v>
      </c>
      <c r="M159" t="s">
        <v>8</v>
      </c>
      <c r="N159" s="141">
        <v>45122.343842592592</v>
      </c>
      <c r="O159" t="s">
        <v>49</v>
      </c>
      <c r="P159" t="s">
        <v>603</v>
      </c>
      <c r="Q159" t="s">
        <v>677</v>
      </c>
    </row>
    <row r="160" spans="1:17" x14ac:dyDescent="0.25">
      <c r="A160">
        <v>18</v>
      </c>
      <c r="B160" s="140">
        <v>44926</v>
      </c>
      <c r="C160" s="141">
        <v>44926.3125</v>
      </c>
      <c r="D160" s="141">
        <v>44926.520833333336</v>
      </c>
      <c r="E160" s="141">
        <v>44926.5625</v>
      </c>
      <c r="F160" s="141">
        <v>44926.604166666664</v>
      </c>
      <c r="G160" s="141">
        <v>44926.645833333336</v>
      </c>
      <c r="H160" t="s">
        <v>218</v>
      </c>
      <c r="I160" t="s">
        <v>63</v>
      </c>
      <c r="J160" t="s">
        <v>16</v>
      </c>
      <c r="K160">
        <v>0</v>
      </c>
      <c r="L160">
        <v>1</v>
      </c>
      <c r="M160" t="s">
        <v>11</v>
      </c>
      <c r="N160" s="141">
        <v>45122.343842592592</v>
      </c>
      <c r="O160" t="s">
        <v>49</v>
      </c>
      <c r="P160" t="s">
        <v>603</v>
      </c>
      <c r="Q160" t="s">
        <v>677</v>
      </c>
    </row>
    <row r="161" spans="1:17" x14ac:dyDescent="0.25">
      <c r="A161">
        <v>18</v>
      </c>
      <c r="B161" s="140">
        <v>44926</v>
      </c>
      <c r="C161" s="141">
        <v>44926.416666666664</v>
      </c>
      <c r="D161" s="141">
        <v>44926.625</v>
      </c>
      <c r="E161" s="141">
        <v>44926.666666666664</v>
      </c>
      <c r="F161" s="141">
        <v>44926.708333333336</v>
      </c>
      <c r="G161" s="141">
        <v>44926.75</v>
      </c>
      <c r="H161" t="s">
        <v>480</v>
      </c>
      <c r="I161" t="s">
        <v>51</v>
      </c>
      <c r="J161" t="s">
        <v>3</v>
      </c>
      <c r="K161">
        <v>0</v>
      </c>
      <c r="L161">
        <v>2</v>
      </c>
      <c r="M161" t="s">
        <v>6</v>
      </c>
      <c r="N161" s="141">
        <v>45122.343842592592</v>
      </c>
      <c r="O161" t="s">
        <v>49</v>
      </c>
      <c r="P161" t="s">
        <v>603</v>
      </c>
      <c r="Q161" t="s">
        <v>677</v>
      </c>
    </row>
    <row r="162" spans="1:17" x14ac:dyDescent="0.25">
      <c r="A162">
        <v>18</v>
      </c>
      <c r="B162" s="140">
        <v>44926</v>
      </c>
      <c r="C162" s="141">
        <v>44926.416666666664</v>
      </c>
      <c r="D162" s="141">
        <v>44926.625</v>
      </c>
      <c r="E162" s="141">
        <v>44926.666666666664</v>
      </c>
      <c r="F162" s="141">
        <v>44926.708333333336</v>
      </c>
      <c r="G162" s="141">
        <v>44926.75</v>
      </c>
      <c r="H162" t="s">
        <v>481</v>
      </c>
      <c r="I162" t="s">
        <v>431</v>
      </c>
      <c r="J162" t="s">
        <v>126</v>
      </c>
      <c r="K162">
        <v>2</v>
      </c>
      <c r="L162">
        <v>1</v>
      </c>
      <c r="M162" t="s">
        <v>13</v>
      </c>
      <c r="N162" s="141">
        <v>45122.343842592592</v>
      </c>
      <c r="O162" t="s">
        <v>49</v>
      </c>
      <c r="P162" t="s">
        <v>603</v>
      </c>
      <c r="Q162" t="s">
        <v>677</v>
      </c>
    </row>
    <row r="163" spans="1:17" x14ac:dyDescent="0.25">
      <c r="A163">
        <v>18</v>
      </c>
      <c r="B163" s="140">
        <v>44926</v>
      </c>
      <c r="C163" s="141">
        <v>44926.416666666664</v>
      </c>
      <c r="D163" s="141">
        <v>44926.625</v>
      </c>
      <c r="E163" s="141">
        <v>44926.666666666664</v>
      </c>
      <c r="F163" s="141">
        <v>44926.708333333336</v>
      </c>
      <c r="G163" s="141">
        <v>44926.75</v>
      </c>
      <c r="H163" t="s">
        <v>270</v>
      </c>
      <c r="I163" t="s">
        <v>61</v>
      </c>
      <c r="J163" t="s">
        <v>10</v>
      </c>
      <c r="K163">
        <v>1</v>
      </c>
      <c r="L163">
        <v>1</v>
      </c>
      <c r="M163" t="s">
        <v>7</v>
      </c>
      <c r="N163" s="141">
        <v>45122.343842592592</v>
      </c>
      <c r="O163" t="s">
        <v>49</v>
      </c>
      <c r="P163" t="s">
        <v>603</v>
      </c>
      <c r="Q163" t="s">
        <v>677</v>
      </c>
    </row>
    <row r="164" spans="1:17" x14ac:dyDescent="0.25">
      <c r="A164">
        <v>18</v>
      </c>
      <c r="B164" s="140">
        <v>44926</v>
      </c>
      <c r="C164" s="141">
        <v>44926.416666666664</v>
      </c>
      <c r="D164" s="141">
        <v>44926.625</v>
      </c>
      <c r="E164" s="141">
        <v>44926.666666666664</v>
      </c>
      <c r="F164" s="141">
        <v>44926.708333333336</v>
      </c>
      <c r="G164" s="141">
        <v>44926.75</v>
      </c>
      <c r="H164" t="s">
        <v>227</v>
      </c>
      <c r="I164" t="s">
        <v>55</v>
      </c>
      <c r="J164" t="s">
        <v>12</v>
      </c>
      <c r="K164">
        <v>0</v>
      </c>
      <c r="L164">
        <v>0</v>
      </c>
      <c r="M164" t="s">
        <v>139</v>
      </c>
      <c r="N164" s="141">
        <v>45122.343842592592</v>
      </c>
      <c r="O164" t="s">
        <v>49</v>
      </c>
      <c r="P164" t="s">
        <v>603</v>
      </c>
      <c r="Q164" t="s">
        <v>677</v>
      </c>
    </row>
    <row r="165" spans="1:17" x14ac:dyDescent="0.25">
      <c r="A165">
        <v>18</v>
      </c>
      <c r="B165" s="140">
        <v>44926</v>
      </c>
      <c r="C165" s="141">
        <v>44926.520833333336</v>
      </c>
      <c r="D165" s="141">
        <v>44926.729166666664</v>
      </c>
      <c r="E165" s="141">
        <v>44926.770833333336</v>
      </c>
      <c r="F165" s="141">
        <v>44926.8125</v>
      </c>
      <c r="G165" s="141">
        <v>44926.854166666664</v>
      </c>
      <c r="H165" t="s">
        <v>237</v>
      </c>
      <c r="I165" t="s">
        <v>151</v>
      </c>
      <c r="J165" t="s">
        <v>4</v>
      </c>
      <c r="K165">
        <v>2</v>
      </c>
      <c r="L165">
        <v>4</v>
      </c>
      <c r="M165" t="s">
        <v>1</v>
      </c>
      <c r="N165" s="141">
        <v>45122.343842592592</v>
      </c>
      <c r="O165" t="s">
        <v>49</v>
      </c>
      <c r="P165" t="s">
        <v>603</v>
      </c>
      <c r="Q165" t="s">
        <v>677</v>
      </c>
    </row>
    <row r="166" spans="1:17" x14ac:dyDescent="0.25">
      <c r="A166">
        <v>18</v>
      </c>
      <c r="B166" s="140">
        <v>44927</v>
      </c>
      <c r="C166" s="141">
        <v>44927.375</v>
      </c>
      <c r="D166" s="141">
        <v>44927.583333333336</v>
      </c>
      <c r="E166" s="141">
        <v>44927.625</v>
      </c>
      <c r="F166" s="141">
        <v>44927.666666666664</v>
      </c>
      <c r="G166" s="141">
        <v>44927.708333333336</v>
      </c>
      <c r="H166" t="s">
        <v>241</v>
      </c>
      <c r="I166" t="s">
        <v>53</v>
      </c>
      <c r="J166" t="s">
        <v>14</v>
      </c>
      <c r="K166">
        <v>0</v>
      </c>
      <c r="L166">
        <v>2</v>
      </c>
      <c r="M166" t="s">
        <v>2</v>
      </c>
      <c r="N166" s="141">
        <v>45122.343842592592</v>
      </c>
      <c r="O166" t="s">
        <v>49</v>
      </c>
      <c r="P166" t="s">
        <v>603</v>
      </c>
      <c r="Q166" t="s">
        <v>677</v>
      </c>
    </row>
    <row r="167" spans="1:17" x14ac:dyDescent="0.25">
      <c r="A167">
        <v>18</v>
      </c>
      <c r="B167" s="140">
        <v>44927</v>
      </c>
      <c r="C167" s="141">
        <v>44927.479166666664</v>
      </c>
      <c r="D167" s="141">
        <v>44927.6875</v>
      </c>
      <c r="E167" s="141">
        <v>44927.729166666664</v>
      </c>
      <c r="F167" s="141">
        <v>44927.770833333336</v>
      </c>
      <c r="G167" s="141">
        <v>44927.8125</v>
      </c>
      <c r="H167" t="s">
        <v>482</v>
      </c>
      <c r="I167" t="s">
        <v>436</v>
      </c>
      <c r="J167" t="s">
        <v>204</v>
      </c>
      <c r="K167">
        <v>1</v>
      </c>
      <c r="L167">
        <v>1</v>
      </c>
      <c r="M167" t="s">
        <v>5</v>
      </c>
      <c r="N167" s="141">
        <v>45122.343842592592</v>
      </c>
      <c r="O167" t="s">
        <v>49</v>
      </c>
      <c r="P167" t="s">
        <v>603</v>
      </c>
      <c r="Q167" t="s">
        <v>677</v>
      </c>
    </row>
    <row r="168" spans="1:17" x14ac:dyDescent="0.25">
      <c r="A168">
        <v>19</v>
      </c>
      <c r="B168" s="140">
        <v>44928</v>
      </c>
      <c r="C168" s="141">
        <v>44928.520833333336</v>
      </c>
      <c r="D168" s="141">
        <v>44928.729166666664</v>
      </c>
      <c r="E168" s="141">
        <v>44928.770833333336</v>
      </c>
      <c r="F168" s="141">
        <v>44928.8125</v>
      </c>
      <c r="G168" s="141">
        <v>44928.854166666664</v>
      </c>
      <c r="H168" t="s">
        <v>158</v>
      </c>
      <c r="I168" t="s">
        <v>593</v>
      </c>
      <c r="J168" t="s">
        <v>125</v>
      </c>
      <c r="K168">
        <v>3</v>
      </c>
      <c r="L168">
        <v>1</v>
      </c>
      <c r="M168" t="s">
        <v>9</v>
      </c>
      <c r="N168" s="141">
        <v>45122.343842592592</v>
      </c>
      <c r="O168" t="s">
        <v>49</v>
      </c>
      <c r="P168" t="s">
        <v>603</v>
      </c>
      <c r="Q168" t="s">
        <v>677</v>
      </c>
    </row>
    <row r="169" spans="1:17" x14ac:dyDescent="0.25">
      <c r="A169">
        <v>19</v>
      </c>
      <c r="B169" s="140">
        <v>44929</v>
      </c>
      <c r="C169" s="141">
        <v>44929.614583333336</v>
      </c>
      <c r="D169" s="141">
        <v>44929.822916666664</v>
      </c>
      <c r="E169" s="141">
        <v>44929.864583333336</v>
      </c>
      <c r="F169" s="141">
        <v>44929.90625</v>
      </c>
      <c r="G169" s="141">
        <v>44929.947916666664</v>
      </c>
      <c r="H169" t="s">
        <v>274</v>
      </c>
      <c r="I169" t="s">
        <v>57</v>
      </c>
      <c r="J169" t="s">
        <v>1</v>
      </c>
      <c r="K169">
        <v>0</v>
      </c>
      <c r="L169">
        <v>0</v>
      </c>
      <c r="M169" t="s">
        <v>12</v>
      </c>
      <c r="N169" s="141">
        <v>45122.343842592592</v>
      </c>
      <c r="O169" t="s">
        <v>49</v>
      </c>
      <c r="P169" t="s">
        <v>603</v>
      </c>
      <c r="Q169" t="s">
        <v>677</v>
      </c>
    </row>
    <row r="170" spans="1:17" x14ac:dyDescent="0.25">
      <c r="A170">
        <v>19</v>
      </c>
      <c r="B170" s="140">
        <v>44929</v>
      </c>
      <c r="C170" s="141">
        <v>44929.614583333336</v>
      </c>
      <c r="D170" s="141">
        <v>44929.822916666664</v>
      </c>
      <c r="E170" s="141">
        <v>44929.864583333336</v>
      </c>
      <c r="F170" s="141">
        <v>44929.90625</v>
      </c>
      <c r="G170" s="141">
        <v>44929.947916666664</v>
      </c>
      <c r="H170" t="s">
        <v>321</v>
      </c>
      <c r="I170" t="s">
        <v>59</v>
      </c>
      <c r="J170" t="s">
        <v>7</v>
      </c>
      <c r="K170">
        <v>1</v>
      </c>
      <c r="L170">
        <v>4</v>
      </c>
      <c r="M170" t="s">
        <v>4</v>
      </c>
      <c r="N170" s="141">
        <v>45122.343842592592</v>
      </c>
      <c r="O170" t="s">
        <v>49</v>
      </c>
      <c r="P170" t="s">
        <v>603</v>
      </c>
      <c r="Q170" t="s">
        <v>677</v>
      </c>
    </row>
    <row r="171" spans="1:17" x14ac:dyDescent="0.25">
      <c r="A171">
        <v>19</v>
      </c>
      <c r="B171" s="140">
        <v>44929</v>
      </c>
      <c r="C171" s="141">
        <v>44929.614583333336</v>
      </c>
      <c r="D171" s="141">
        <v>44929.822916666664</v>
      </c>
      <c r="E171" s="141">
        <v>44929.864583333336</v>
      </c>
      <c r="F171" s="141">
        <v>44929.90625</v>
      </c>
      <c r="G171" s="141">
        <v>44929.947916666664</v>
      </c>
      <c r="H171" t="s">
        <v>483</v>
      </c>
      <c r="I171" t="s">
        <v>54</v>
      </c>
      <c r="J171" t="s">
        <v>8</v>
      </c>
      <c r="K171">
        <v>0</v>
      </c>
      <c r="L171">
        <v>1</v>
      </c>
      <c r="M171" t="s">
        <v>126</v>
      </c>
      <c r="N171" s="141">
        <v>45122.343842592592</v>
      </c>
      <c r="O171" t="s">
        <v>49</v>
      </c>
      <c r="P171" t="s">
        <v>603</v>
      </c>
      <c r="Q171" t="s">
        <v>677</v>
      </c>
    </row>
    <row r="172" spans="1:17" x14ac:dyDescent="0.25">
      <c r="A172">
        <v>19</v>
      </c>
      <c r="B172" s="140">
        <v>44929</v>
      </c>
      <c r="C172" s="141">
        <v>44929.625</v>
      </c>
      <c r="D172" s="141">
        <v>44929.833333333336</v>
      </c>
      <c r="E172" s="141">
        <v>44929.875</v>
      </c>
      <c r="F172" s="141">
        <v>44929.916666666664</v>
      </c>
      <c r="G172" s="141">
        <v>44929.958333333336</v>
      </c>
      <c r="H172" t="s">
        <v>484</v>
      </c>
      <c r="I172" t="s">
        <v>56</v>
      </c>
      <c r="J172" t="s">
        <v>11</v>
      </c>
      <c r="K172">
        <v>3</v>
      </c>
      <c r="L172">
        <v>0</v>
      </c>
      <c r="M172" t="s">
        <v>3</v>
      </c>
      <c r="N172" s="141">
        <v>45122.343842592592</v>
      </c>
      <c r="O172" t="s">
        <v>49</v>
      </c>
      <c r="P172" t="s">
        <v>603</v>
      </c>
      <c r="Q172" t="s">
        <v>677</v>
      </c>
    </row>
    <row r="173" spans="1:17" x14ac:dyDescent="0.25">
      <c r="A173">
        <v>19</v>
      </c>
      <c r="B173" s="140">
        <v>44930</v>
      </c>
      <c r="C173" s="141">
        <v>44930.604166666664</v>
      </c>
      <c r="D173" s="141">
        <v>44930.8125</v>
      </c>
      <c r="E173" s="141">
        <v>44930.854166666664</v>
      </c>
      <c r="F173" s="141">
        <v>44930.895833333336</v>
      </c>
      <c r="G173" s="141">
        <v>44930.9375</v>
      </c>
      <c r="H173" t="s">
        <v>485</v>
      </c>
      <c r="I173" t="s">
        <v>60</v>
      </c>
      <c r="J173" t="s">
        <v>13</v>
      </c>
      <c r="K173">
        <v>0</v>
      </c>
      <c r="L173">
        <v>1</v>
      </c>
      <c r="M173" t="s">
        <v>204</v>
      </c>
      <c r="N173" s="141">
        <v>45122.343842592592</v>
      </c>
      <c r="O173" t="s">
        <v>49</v>
      </c>
      <c r="P173" t="s">
        <v>603</v>
      </c>
      <c r="Q173" t="s">
        <v>677</v>
      </c>
    </row>
    <row r="174" spans="1:17" x14ac:dyDescent="0.25">
      <c r="A174">
        <v>19</v>
      </c>
      <c r="B174" s="140">
        <v>44930</v>
      </c>
      <c r="C174" s="141">
        <v>44930.614583333336</v>
      </c>
      <c r="D174" s="141">
        <v>44930.822916666664</v>
      </c>
      <c r="E174" s="141">
        <v>44930.864583333336</v>
      </c>
      <c r="F174" s="141">
        <v>44930.90625</v>
      </c>
      <c r="G174" s="141">
        <v>44930.947916666664</v>
      </c>
      <c r="H174" t="s">
        <v>234</v>
      </c>
      <c r="I174" t="s">
        <v>140</v>
      </c>
      <c r="J174" t="s">
        <v>139</v>
      </c>
      <c r="K174">
        <v>2</v>
      </c>
      <c r="L174">
        <v>2</v>
      </c>
      <c r="M174" t="s">
        <v>15</v>
      </c>
      <c r="N174" s="141">
        <v>45122.343842592592</v>
      </c>
      <c r="O174" t="s">
        <v>49</v>
      </c>
      <c r="P174" t="s">
        <v>603</v>
      </c>
      <c r="Q174" t="s">
        <v>677</v>
      </c>
    </row>
    <row r="175" spans="1:17" x14ac:dyDescent="0.25">
      <c r="A175">
        <v>19</v>
      </c>
      <c r="B175" s="140">
        <v>44930</v>
      </c>
      <c r="C175" s="141">
        <v>44930.625</v>
      </c>
      <c r="D175" s="141">
        <v>44930.833333333336</v>
      </c>
      <c r="E175" s="141">
        <v>44930.875</v>
      </c>
      <c r="F175" s="141">
        <v>44930.916666666664</v>
      </c>
      <c r="G175" s="141">
        <v>44930.958333333336</v>
      </c>
      <c r="H175" t="s">
        <v>244</v>
      </c>
      <c r="I175" t="s">
        <v>58</v>
      </c>
      <c r="J175" t="s">
        <v>2</v>
      </c>
      <c r="K175">
        <v>1</v>
      </c>
      <c r="L175">
        <v>1</v>
      </c>
      <c r="M175" t="s">
        <v>16</v>
      </c>
      <c r="N175" s="141">
        <v>45122.343842592592</v>
      </c>
      <c r="O175" t="s">
        <v>49</v>
      </c>
      <c r="P175" t="s">
        <v>603</v>
      </c>
      <c r="Q175" t="s">
        <v>677</v>
      </c>
    </row>
    <row r="176" spans="1:17" x14ac:dyDescent="0.25">
      <c r="A176">
        <v>19</v>
      </c>
      <c r="B176" s="140">
        <v>44930</v>
      </c>
      <c r="C176" s="141">
        <v>44930.625</v>
      </c>
      <c r="D176" s="141">
        <v>44930.833333333336</v>
      </c>
      <c r="E176" s="141">
        <v>44930.875</v>
      </c>
      <c r="F176" s="141">
        <v>44930.916666666664</v>
      </c>
      <c r="G176" s="141">
        <v>44930.958333333336</v>
      </c>
      <c r="H176" t="s">
        <v>220</v>
      </c>
      <c r="I176" t="s">
        <v>52</v>
      </c>
      <c r="J176" t="s">
        <v>6</v>
      </c>
      <c r="K176">
        <v>0</v>
      </c>
      <c r="L176">
        <v>4</v>
      </c>
      <c r="M176" t="s">
        <v>14</v>
      </c>
      <c r="N176" s="141">
        <v>45122.343842592592</v>
      </c>
      <c r="O176" t="s">
        <v>49</v>
      </c>
      <c r="P176" t="s">
        <v>603</v>
      </c>
      <c r="Q176" t="s">
        <v>677</v>
      </c>
    </row>
    <row r="177" spans="1:17" x14ac:dyDescent="0.25">
      <c r="A177">
        <v>19</v>
      </c>
      <c r="B177" s="140">
        <v>44931</v>
      </c>
      <c r="C177" s="141">
        <v>44931.625</v>
      </c>
      <c r="D177" s="141">
        <v>44931.833333333336</v>
      </c>
      <c r="E177" s="141">
        <v>44931.875</v>
      </c>
      <c r="F177" s="141">
        <v>44931.916666666664</v>
      </c>
      <c r="G177" s="141">
        <v>44931.958333333336</v>
      </c>
      <c r="H177" t="s">
        <v>232</v>
      </c>
      <c r="I177" t="s">
        <v>62</v>
      </c>
      <c r="J177" t="s">
        <v>5</v>
      </c>
      <c r="K177">
        <v>0</v>
      </c>
      <c r="L177">
        <v>1</v>
      </c>
      <c r="M177" t="s">
        <v>10</v>
      </c>
      <c r="N177" s="141">
        <v>45122.343842592592</v>
      </c>
      <c r="O177" t="s">
        <v>49</v>
      </c>
      <c r="P177" t="s">
        <v>603</v>
      </c>
      <c r="Q177" t="s">
        <v>677</v>
      </c>
    </row>
    <row r="178" spans="1:17" x14ac:dyDescent="0.25">
      <c r="A178">
        <v>7</v>
      </c>
      <c r="B178" s="140">
        <v>44938</v>
      </c>
      <c r="C178" s="141">
        <v>44938.625</v>
      </c>
      <c r="D178" s="141">
        <v>44938.833333333336</v>
      </c>
      <c r="E178" s="141">
        <v>44938.875</v>
      </c>
      <c r="F178" s="141">
        <v>44938.916666666664</v>
      </c>
      <c r="G178" s="141">
        <v>44938.958333333336</v>
      </c>
      <c r="H178" t="s">
        <v>450</v>
      </c>
      <c r="I178" t="s">
        <v>431</v>
      </c>
      <c r="J178" t="s">
        <v>126</v>
      </c>
      <c r="K178">
        <v>2</v>
      </c>
      <c r="L178">
        <v>1</v>
      </c>
      <c r="M178" t="s">
        <v>5</v>
      </c>
      <c r="N178" s="141">
        <v>45122.343842592592</v>
      </c>
      <c r="O178" t="s">
        <v>49</v>
      </c>
      <c r="P178" t="s">
        <v>603</v>
      </c>
      <c r="Q178" t="s">
        <v>677</v>
      </c>
    </row>
    <row r="179" spans="1:17" x14ac:dyDescent="0.25">
      <c r="A179">
        <v>20</v>
      </c>
      <c r="B179" s="140">
        <v>44939</v>
      </c>
      <c r="C179" s="141">
        <v>44939.625</v>
      </c>
      <c r="D179" s="141">
        <v>44939.833333333336</v>
      </c>
      <c r="E179" s="141">
        <v>44939.875</v>
      </c>
      <c r="F179" s="141">
        <v>44939.916666666664</v>
      </c>
      <c r="G179" s="141">
        <v>44939.958333333336</v>
      </c>
      <c r="H179" t="s">
        <v>336</v>
      </c>
      <c r="I179" t="s">
        <v>58</v>
      </c>
      <c r="J179" t="s">
        <v>2</v>
      </c>
      <c r="K179">
        <v>2</v>
      </c>
      <c r="L179">
        <v>1</v>
      </c>
      <c r="M179" t="s">
        <v>139</v>
      </c>
      <c r="N179" s="141">
        <v>45122.343842592592</v>
      </c>
      <c r="O179" t="s">
        <v>49</v>
      </c>
      <c r="P179" t="s">
        <v>603</v>
      </c>
      <c r="Q179" t="s">
        <v>677</v>
      </c>
    </row>
    <row r="180" spans="1:17" x14ac:dyDescent="0.25">
      <c r="A180">
        <v>20</v>
      </c>
      <c r="B180" s="140">
        <v>44940</v>
      </c>
      <c r="C180" s="141">
        <v>44940.3125</v>
      </c>
      <c r="D180" s="141">
        <v>44940.520833333336</v>
      </c>
      <c r="E180" s="141">
        <v>44940.5625</v>
      </c>
      <c r="F180" s="141">
        <v>44940.604166666664</v>
      </c>
      <c r="G180" s="141">
        <v>44940.645833333336</v>
      </c>
      <c r="H180" t="s">
        <v>266</v>
      </c>
      <c r="I180" t="s">
        <v>56</v>
      </c>
      <c r="J180" t="s">
        <v>11</v>
      </c>
      <c r="K180">
        <v>2</v>
      </c>
      <c r="L180">
        <v>1</v>
      </c>
      <c r="M180" t="s">
        <v>10</v>
      </c>
      <c r="N180" s="141">
        <v>45122.343842592592</v>
      </c>
      <c r="O180" t="s">
        <v>49</v>
      </c>
      <c r="P180" t="s">
        <v>603</v>
      </c>
      <c r="Q180" t="s">
        <v>677</v>
      </c>
    </row>
    <row r="181" spans="1:17" x14ac:dyDescent="0.25">
      <c r="A181">
        <v>20</v>
      </c>
      <c r="B181" s="140">
        <v>44940</v>
      </c>
      <c r="C181" s="141">
        <v>44940.416666666664</v>
      </c>
      <c r="D181" s="141">
        <v>44940.625</v>
      </c>
      <c r="E181" s="141">
        <v>44940.666666666664</v>
      </c>
      <c r="F181" s="141">
        <v>44940.708333333336</v>
      </c>
      <c r="G181" s="141">
        <v>44940.75</v>
      </c>
      <c r="H181" t="s">
        <v>365</v>
      </c>
      <c r="I181" t="s">
        <v>151</v>
      </c>
      <c r="J181" t="s">
        <v>4</v>
      </c>
      <c r="K181">
        <v>3</v>
      </c>
      <c r="L181">
        <v>0</v>
      </c>
      <c r="M181" t="s">
        <v>9</v>
      </c>
      <c r="N181" s="141">
        <v>45122.343842592592</v>
      </c>
      <c r="O181" t="s">
        <v>49</v>
      </c>
      <c r="P181" t="s">
        <v>603</v>
      </c>
      <c r="Q181" t="s">
        <v>677</v>
      </c>
    </row>
    <row r="182" spans="1:17" x14ac:dyDescent="0.25">
      <c r="A182">
        <v>20</v>
      </c>
      <c r="B182" s="140">
        <v>44940</v>
      </c>
      <c r="C182" s="141">
        <v>44940.416666666664</v>
      </c>
      <c r="D182" s="141">
        <v>44940.625</v>
      </c>
      <c r="E182" s="141">
        <v>44940.666666666664</v>
      </c>
      <c r="F182" s="141">
        <v>44940.708333333336</v>
      </c>
      <c r="G182" s="141">
        <v>44940.75</v>
      </c>
      <c r="H182" t="s">
        <v>149</v>
      </c>
      <c r="I182" t="s">
        <v>59</v>
      </c>
      <c r="J182" t="s">
        <v>7</v>
      </c>
      <c r="K182">
        <v>1</v>
      </c>
      <c r="L182">
        <v>2</v>
      </c>
      <c r="M182" t="s">
        <v>13</v>
      </c>
      <c r="N182" s="141">
        <v>45122.343842592592</v>
      </c>
      <c r="O182" t="s">
        <v>49</v>
      </c>
      <c r="P182" t="s">
        <v>603</v>
      </c>
      <c r="Q182" t="s">
        <v>677</v>
      </c>
    </row>
    <row r="183" spans="1:17" x14ac:dyDescent="0.25">
      <c r="A183">
        <v>20</v>
      </c>
      <c r="B183" s="140">
        <v>44940</v>
      </c>
      <c r="C183" s="141">
        <v>44940.416666666664</v>
      </c>
      <c r="D183" s="141">
        <v>44940.625</v>
      </c>
      <c r="E183" s="141">
        <v>44940.666666666664</v>
      </c>
      <c r="F183" s="141">
        <v>44940.708333333336</v>
      </c>
      <c r="G183" s="141">
        <v>44940.75</v>
      </c>
      <c r="H183" t="s">
        <v>488</v>
      </c>
      <c r="I183" t="s">
        <v>436</v>
      </c>
      <c r="J183" t="s">
        <v>204</v>
      </c>
      <c r="K183">
        <v>2</v>
      </c>
      <c r="L183">
        <v>0</v>
      </c>
      <c r="M183" t="s">
        <v>8</v>
      </c>
      <c r="N183" s="141">
        <v>45122.343842592592</v>
      </c>
      <c r="O183" t="s">
        <v>49</v>
      </c>
      <c r="P183" t="s">
        <v>603</v>
      </c>
      <c r="Q183" t="s">
        <v>677</v>
      </c>
    </row>
    <row r="184" spans="1:17" x14ac:dyDescent="0.25">
      <c r="A184">
        <v>20</v>
      </c>
      <c r="B184" s="140">
        <v>44940</v>
      </c>
      <c r="C184" s="141">
        <v>44940.416666666664</v>
      </c>
      <c r="D184" s="141">
        <v>44940.625</v>
      </c>
      <c r="E184" s="141">
        <v>44940.666666666664</v>
      </c>
      <c r="F184" s="141">
        <v>44940.708333333336</v>
      </c>
      <c r="G184" s="141">
        <v>44940.75</v>
      </c>
      <c r="H184" t="s">
        <v>273</v>
      </c>
      <c r="I184" t="s">
        <v>63</v>
      </c>
      <c r="J184" t="s">
        <v>16</v>
      </c>
      <c r="K184">
        <v>1</v>
      </c>
      <c r="L184">
        <v>0</v>
      </c>
      <c r="M184" t="s">
        <v>15</v>
      </c>
      <c r="N184" s="141">
        <v>45122.343842592592</v>
      </c>
      <c r="O184" t="s">
        <v>49</v>
      </c>
      <c r="P184" t="s">
        <v>603</v>
      </c>
      <c r="Q184" t="s">
        <v>677</v>
      </c>
    </row>
    <row r="185" spans="1:17" x14ac:dyDescent="0.25">
      <c r="A185">
        <v>20</v>
      </c>
      <c r="B185" s="140">
        <v>44940</v>
      </c>
      <c r="C185" s="141">
        <v>44940.520833333336</v>
      </c>
      <c r="D185" s="141">
        <v>44940.729166666664</v>
      </c>
      <c r="E185" s="141">
        <v>44940.770833333336</v>
      </c>
      <c r="F185" s="141">
        <v>44940.8125</v>
      </c>
      <c r="G185" s="141">
        <v>44940.854166666664</v>
      </c>
      <c r="H185" t="s">
        <v>486</v>
      </c>
      <c r="I185" t="s">
        <v>593</v>
      </c>
      <c r="J185" t="s">
        <v>125</v>
      </c>
      <c r="K185">
        <v>2</v>
      </c>
      <c r="L185">
        <v>0</v>
      </c>
      <c r="M185" t="s">
        <v>3</v>
      </c>
      <c r="N185" s="141">
        <v>45122.343842592592</v>
      </c>
      <c r="O185" t="s">
        <v>49</v>
      </c>
      <c r="P185" t="s">
        <v>603</v>
      </c>
      <c r="Q185" t="s">
        <v>677</v>
      </c>
    </row>
    <row r="186" spans="1:17" x14ac:dyDescent="0.25">
      <c r="A186">
        <v>20</v>
      </c>
      <c r="B186" s="140">
        <v>44941</v>
      </c>
      <c r="C186" s="141">
        <v>44941.375</v>
      </c>
      <c r="D186" s="141">
        <v>44941.583333333336</v>
      </c>
      <c r="E186" s="141">
        <v>44941.625</v>
      </c>
      <c r="F186" s="141">
        <v>44941.666666666664</v>
      </c>
      <c r="G186" s="141">
        <v>44941.708333333336</v>
      </c>
      <c r="H186" t="s">
        <v>148</v>
      </c>
      <c r="I186" t="s">
        <v>62</v>
      </c>
      <c r="J186" t="s">
        <v>5</v>
      </c>
      <c r="K186">
        <v>1</v>
      </c>
      <c r="L186">
        <v>0</v>
      </c>
      <c r="M186" t="s">
        <v>6</v>
      </c>
      <c r="N186" s="141">
        <v>45122.343842592592</v>
      </c>
      <c r="O186" t="s">
        <v>49</v>
      </c>
      <c r="P186" t="s">
        <v>603</v>
      </c>
      <c r="Q186" t="s">
        <v>677</v>
      </c>
    </row>
    <row r="187" spans="1:17" x14ac:dyDescent="0.25">
      <c r="A187">
        <v>20</v>
      </c>
      <c r="B187" s="140">
        <v>44941</v>
      </c>
      <c r="C187" s="141">
        <v>44941.375</v>
      </c>
      <c r="D187" s="141">
        <v>44941.583333333336</v>
      </c>
      <c r="E187" s="141">
        <v>44941.625</v>
      </c>
      <c r="F187" s="141">
        <v>44941.666666666664</v>
      </c>
      <c r="G187" s="141">
        <v>44941.708333333336</v>
      </c>
      <c r="H187" t="s">
        <v>487</v>
      </c>
      <c r="I187" t="s">
        <v>55</v>
      </c>
      <c r="J187" t="s">
        <v>12</v>
      </c>
      <c r="K187">
        <v>1</v>
      </c>
      <c r="L187">
        <v>0</v>
      </c>
      <c r="M187" t="s">
        <v>126</v>
      </c>
      <c r="N187" s="141">
        <v>45122.343842592592</v>
      </c>
      <c r="O187" t="s">
        <v>49</v>
      </c>
      <c r="P187" t="s">
        <v>603</v>
      </c>
      <c r="Q187" t="s">
        <v>677</v>
      </c>
    </row>
    <row r="188" spans="1:17" x14ac:dyDescent="0.25">
      <c r="A188">
        <v>20</v>
      </c>
      <c r="B188" s="140">
        <v>44941</v>
      </c>
      <c r="C188" s="141">
        <v>44941.479166666664</v>
      </c>
      <c r="D188" s="141">
        <v>44941.6875</v>
      </c>
      <c r="E188" s="141">
        <v>44941.729166666664</v>
      </c>
      <c r="F188" s="141">
        <v>44941.770833333336</v>
      </c>
      <c r="G188" s="141">
        <v>44941.8125</v>
      </c>
      <c r="H188" t="s">
        <v>327</v>
      </c>
      <c r="I188" t="s">
        <v>53</v>
      </c>
      <c r="J188" t="s">
        <v>14</v>
      </c>
      <c r="K188">
        <v>0</v>
      </c>
      <c r="L188">
        <v>2</v>
      </c>
      <c r="M188" t="s">
        <v>1</v>
      </c>
      <c r="N188" s="141">
        <v>45122.343842592592</v>
      </c>
      <c r="O188" t="s">
        <v>49</v>
      </c>
      <c r="P188" t="s">
        <v>603</v>
      </c>
      <c r="Q188" t="s">
        <v>677</v>
      </c>
    </row>
    <row r="189" spans="1:17" x14ac:dyDescent="0.25">
      <c r="A189">
        <v>7</v>
      </c>
      <c r="B189" s="140">
        <v>44944</v>
      </c>
      <c r="C189" s="141">
        <v>44944.625</v>
      </c>
      <c r="D189" s="141">
        <v>44944.833333333336</v>
      </c>
      <c r="E189" s="141">
        <v>44944.875</v>
      </c>
      <c r="F189" s="141">
        <v>44944.916666666664</v>
      </c>
      <c r="G189" s="141">
        <v>44944.958333333336</v>
      </c>
      <c r="H189" t="s">
        <v>417</v>
      </c>
      <c r="I189" t="s">
        <v>52</v>
      </c>
      <c r="J189" t="s">
        <v>6</v>
      </c>
      <c r="K189">
        <v>1</v>
      </c>
      <c r="L189">
        <v>1</v>
      </c>
      <c r="M189" t="s">
        <v>11</v>
      </c>
      <c r="N189" s="141">
        <v>45122.343842592592</v>
      </c>
      <c r="O189" t="s">
        <v>49</v>
      </c>
      <c r="P189" t="s">
        <v>603</v>
      </c>
      <c r="Q189" t="s">
        <v>677</v>
      </c>
    </row>
    <row r="190" spans="1:17" x14ac:dyDescent="0.25">
      <c r="A190">
        <v>7</v>
      </c>
      <c r="B190" s="140">
        <v>44945</v>
      </c>
      <c r="C190" s="141">
        <v>44945.625</v>
      </c>
      <c r="D190" s="141">
        <v>44945.833333333336</v>
      </c>
      <c r="E190" s="141">
        <v>44945.875</v>
      </c>
      <c r="F190" s="141">
        <v>44945.916666666664</v>
      </c>
      <c r="G190" s="141">
        <v>44945.958333333336</v>
      </c>
      <c r="H190" t="s">
        <v>349</v>
      </c>
      <c r="I190" t="s">
        <v>61</v>
      </c>
      <c r="J190" t="s">
        <v>10</v>
      </c>
      <c r="K190">
        <v>4</v>
      </c>
      <c r="L190">
        <v>2</v>
      </c>
      <c r="M190" t="s">
        <v>14</v>
      </c>
      <c r="N190" s="141">
        <v>45122.343842592592</v>
      </c>
      <c r="O190" t="s">
        <v>49</v>
      </c>
      <c r="P190" t="s">
        <v>603</v>
      </c>
      <c r="Q190" t="s">
        <v>677</v>
      </c>
    </row>
    <row r="191" spans="1:17" x14ac:dyDescent="0.25">
      <c r="A191">
        <v>21</v>
      </c>
      <c r="B191" s="140">
        <v>44947</v>
      </c>
      <c r="C191" s="141">
        <v>44947.3125</v>
      </c>
      <c r="D191" s="141">
        <v>44947.520833333336</v>
      </c>
      <c r="E191" s="141">
        <v>44947.5625</v>
      </c>
      <c r="F191" s="141">
        <v>44947.604166666664</v>
      </c>
      <c r="G191" s="141">
        <v>44947.645833333336</v>
      </c>
      <c r="H191" t="s">
        <v>154</v>
      </c>
      <c r="I191" t="s">
        <v>48</v>
      </c>
      <c r="J191" t="s">
        <v>9</v>
      </c>
      <c r="K191">
        <v>0</v>
      </c>
      <c r="L191">
        <v>0</v>
      </c>
      <c r="M191" t="s">
        <v>5</v>
      </c>
      <c r="N191" s="141">
        <v>45122.343842592592</v>
      </c>
      <c r="O191" t="s">
        <v>49</v>
      </c>
      <c r="P191" t="s">
        <v>603</v>
      </c>
      <c r="Q191" t="s">
        <v>677</v>
      </c>
    </row>
    <row r="192" spans="1:17" x14ac:dyDescent="0.25">
      <c r="A192">
        <v>21</v>
      </c>
      <c r="B192" s="140">
        <v>44947</v>
      </c>
      <c r="C192" s="141">
        <v>44947.416666666664</v>
      </c>
      <c r="D192" s="141">
        <v>44947.625</v>
      </c>
      <c r="E192" s="141">
        <v>44947.666666666664</v>
      </c>
      <c r="F192" s="141">
        <v>44947.708333333336</v>
      </c>
      <c r="G192" s="141">
        <v>44947.75</v>
      </c>
      <c r="H192" t="s">
        <v>489</v>
      </c>
      <c r="I192" t="s">
        <v>51</v>
      </c>
      <c r="J192" t="s">
        <v>3</v>
      </c>
      <c r="K192">
        <v>1</v>
      </c>
      <c r="L192">
        <v>1</v>
      </c>
      <c r="M192" t="s">
        <v>204</v>
      </c>
      <c r="N192" s="141">
        <v>45122.343842592592</v>
      </c>
      <c r="O192" t="s">
        <v>49</v>
      </c>
      <c r="P192" t="s">
        <v>603</v>
      </c>
      <c r="Q192" t="s">
        <v>677</v>
      </c>
    </row>
    <row r="193" spans="1:17" x14ac:dyDescent="0.25">
      <c r="A193">
        <v>21</v>
      </c>
      <c r="B193" s="140">
        <v>44947</v>
      </c>
      <c r="C193" s="141">
        <v>44947.416666666664</v>
      </c>
      <c r="D193" s="141">
        <v>44947.625</v>
      </c>
      <c r="E193" s="141">
        <v>44947.666666666664</v>
      </c>
      <c r="F193" s="141">
        <v>44947.708333333336</v>
      </c>
      <c r="G193" s="141">
        <v>44947.75</v>
      </c>
      <c r="H193" t="s">
        <v>333</v>
      </c>
      <c r="I193" t="s">
        <v>54</v>
      </c>
      <c r="J193" t="s">
        <v>8</v>
      </c>
      <c r="K193">
        <v>2</v>
      </c>
      <c r="L193">
        <v>2</v>
      </c>
      <c r="M193" t="s">
        <v>4</v>
      </c>
      <c r="N193" s="141">
        <v>45122.343842592592</v>
      </c>
      <c r="O193" t="s">
        <v>49</v>
      </c>
      <c r="P193" t="s">
        <v>603</v>
      </c>
      <c r="Q193" t="s">
        <v>677</v>
      </c>
    </row>
    <row r="194" spans="1:17" x14ac:dyDescent="0.25">
      <c r="A194">
        <v>21</v>
      </c>
      <c r="B194" s="140">
        <v>44947</v>
      </c>
      <c r="C194" s="141">
        <v>44947.416666666664</v>
      </c>
      <c r="D194" s="141">
        <v>44947.625</v>
      </c>
      <c r="E194" s="141">
        <v>44947.666666666664</v>
      </c>
      <c r="F194" s="141">
        <v>44947.708333333336</v>
      </c>
      <c r="G194" s="141">
        <v>44947.75</v>
      </c>
      <c r="H194" t="s">
        <v>163</v>
      </c>
      <c r="I194" t="s">
        <v>60</v>
      </c>
      <c r="J194" t="s">
        <v>13</v>
      </c>
      <c r="K194">
        <v>0</v>
      </c>
      <c r="L194">
        <v>1</v>
      </c>
      <c r="M194" t="s">
        <v>2</v>
      </c>
      <c r="N194" s="141">
        <v>45122.343842592592</v>
      </c>
      <c r="O194" t="s">
        <v>49</v>
      </c>
      <c r="P194" t="s">
        <v>603</v>
      </c>
      <c r="Q194" t="s">
        <v>677</v>
      </c>
    </row>
    <row r="195" spans="1:17" x14ac:dyDescent="0.25">
      <c r="A195">
        <v>21</v>
      </c>
      <c r="B195" s="140">
        <v>44947</v>
      </c>
      <c r="C195" s="141">
        <v>44947.416666666664</v>
      </c>
      <c r="D195" s="141">
        <v>44947.625</v>
      </c>
      <c r="E195" s="141">
        <v>44947.666666666664</v>
      </c>
      <c r="F195" s="141">
        <v>44947.708333333336</v>
      </c>
      <c r="G195" s="141">
        <v>44947.75</v>
      </c>
      <c r="H195" t="s">
        <v>380</v>
      </c>
      <c r="I195" t="s">
        <v>50</v>
      </c>
      <c r="J195" t="s">
        <v>15</v>
      </c>
      <c r="K195">
        <v>2</v>
      </c>
      <c r="L195">
        <v>0</v>
      </c>
      <c r="M195" t="s">
        <v>7</v>
      </c>
      <c r="N195" s="141">
        <v>45122.343842592592</v>
      </c>
      <c r="O195" t="s">
        <v>49</v>
      </c>
      <c r="P195" t="s">
        <v>603</v>
      </c>
      <c r="Q195" t="s">
        <v>677</v>
      </c>
    </row>
    <row r="196" spans="1:17" x14ac:dyDescent="0.25">
      <c r="A196">
        <v>21</v>
      </c>
      <c r="B196" s="140">
        <v>44947</v>
      </c>
      <c r="C196" s="141">
        <v>44947.520833333336</v>
      </c>
      <c r="D196" s="141">
        <v>44947.729166666664</v>
      </c>
      <c r="E196" s="141">
        <v>44947.770833333336</v>
      </c>
      <c r="F196" s="141">
        <v>44947.8125</v>
      </c>
      <c r="G196" s="141">
        <v>44947.854166666664</v>
      </c>
      <c r="H196" t="s">
        <v>251</v>
      </c>
      <c r="I196" t="s">
        <v>52</v>
      </c>
      <c r="J196" t="s">
        <v>6</v>
      </c>
      <c r="K196">
        <v>0</v>
      </c>
      <c r="L196">
        <v>0</v>
      </c>
      <c r="M196" t="s">
        <v>12</v>
      </c>
      <c r="N196" s="141">
        <v>45122.343842592592</v>
      </c>
      <c r="O196" t="s">
        <v>49</v>
      </c>
      <c r="P196" t="s">
        <v>603</v>
      </c>
      <c r="Q196" t="s">
        <v>677</v>
      </c>
    </row>
    <row r="197" spans="1:17" x14ac:dyDescent="0.25">
      <c r="A197">
        <v>21</v>
      </c>
      <c r="B197" s="140">
        <v>44948</v>
      </c>
      <c r="C197" s="141">
        <v>44948.375</v>
      </c>
      <c r="D197" s="141">
        <v>44948.583333333336</v>
      </c>
      <c r="E197" s="141">
        <v>44948.625</v>
      </c>
      <c r="F197" s="141">
        <v>44948.666666666664</v>
      </c>
      <c r="G197" s="141">
        <v>44948.708333333336</v>
      </c>
      <c r="H197" t="s">
        <v>285</v>
      </c>
      <c r="I197" t="s">
        <v>140</v>
      </c>
      <c r="J197" t="s">
        <v>139</v>
      </c>
      <c r="K197">
        <v>0</v>
      </c>
      <c r="L197">
        <v>0</v>
      </c>
      <c r="M197" t="s">
        <v>125</v>
      </c>
      <c r="N197" s="141">
        <v>45122.343842592592</v>
      </c>
      <c r="O197" t="s">
        <v>49</v>
      </c>
      <c r="P197" t="s">
        <v>603</v>
      </c>
      <c r="Q197" t="s">
        <v>677</v>
      </c>
    </row>
    <row r="198" spans="1:17" x14ac:dyDescent="0.25">
      <c r="A198">
        <v>21</v>
      </c>
      <c r="B198" s="140">
        <v>44948</v>
      </c>
      <c r="C198" s="141">
        <v>44948.375</v>
      </c>
      <c r="D198" s="141">
        <v>44948.583333333336</v>
      </c>
      <c r="E198" s="141">
        <v>44948.625</v>
      </c>
      <c r="F198" s="141">
        <v>44948.666666666664</v>
      </c>
      <c r="G198" s="141">
        <v>44948.708333333336</v>
      </c>
      <c r="H198" t="s">
        <v>293</v>
      </c>
      <c r="I198" t="s">
        <v>61</v>
      </c>
      <c r="J198" t="s">
        <v>10</v>
      </c>
      <c r="K198">
        <v>3</v>
      </c>
      <c r="L198">
        <v>0</v>
      </c>
      <c r="M198" t="s">
        <v>16</v>
      </c>
      <c r="N198" s="141">
        <v>45122.343842592592</v>
      </c>
      <c r="O198" t="s">
        <v>49</v>
      </c>
      <c r="P198" t="s">
        <v>603</v>
      </c>
      <c r="Q198" t="s">
        <v>677</v>
      </c>
    </row>
    <row r="199" spans="1:17" x14ac:dyDescent="0.25">
      <c r="A199">
        <v>21</v>
      </c>
      <c r="B199" s="140">
        <v>44948</v>
      </c>
      <c r="C199" s="141">
        <v>44948.479166666664</v>
      </c>
      <c r="D199" s="141">
        <v>44948.6875</v>
      </c>
      <c r="E199" s="141">
        <v>44948.729166666664</v>
      </c>
      <c r="F199" s="141">
        <v>44948.770833333336</v>
      </c>
      <c r="G199" s="141">
        <v>44948.8125</v>
      </c>
      <c r="H199" t="s">
        <v>393</v>
      </c>
      <c r="I199" t="s">
        <v>57</v>
      </c>
      <c r="J199" t="s">
        <v>1</v>
      </c>
      <c r="K199">
        <v>3</v>
      </c>
      <c r="L199">
        <v>2</v>
      </c>
      <c r="M199" t="s">
        <v>11</v>
      </c>
      <c r="N199" s="141">
        <v>45122.343842592592</v>
      </c>
      <c r="O199" t="s">
        <v>49</v>
      </c>
      <c r="P199" t="s">
        <v>603</v>
      </c>
      <c r="Q199" t="s">
        <v>677</v>
      </c>
    </row>
    <row r="200" spans="1:17" x14ac:dyDescent="0.25">
      <c r="A200">
        <v>21</v>
      </c>
      <c r="B200" s="140">
        <v>44949</v>
      </c>
      <c r="C200" s="141">
        <v>44949.635416666664</v>
      </c>
      <c r="D200" s="141">
        <v>44949.84375</v>
      </c>
      <c r="E200" s="141">
        <v>44949.885416666664</v>
      </c>
      <c r="F200" s="141">
        <v>44949.927083333336</v>
      </c>
      <c r="G200" s="141">
        <v>44949.96875</v>
      </c>
      <c r="H200" t="s">
        <v>490</v>
      </c>
      <c r="I200" t="s">
        <v>431</v>
      </c>
      <c r="J200" t="s">
        <v>126</v>
      </c>
      <c r="K200">
        <v>0</v>
      </c>
      <c r="L200">
        <v>1</v>
      </c>
      <c r="M200" t="s">
        <v>14</v>
      </c>
      <c r="N200" s="141">
        <v>45122.343842592592</v>
      </c>
      <c r="O200" t="s">
        <v>49</v>
      </c>
      <c r="P200" t="s">
        <v>603</v>
      </c>
      <c r="Q200" t="s">
        <v>677</v>
      </c>
    </row>
    <row r="201" spans="1:17" x14ac:dyDescent="0.25">
      <c r="A201">
        <v>22</v>
      </c>
      <c r="B201" s="140">
        <v>44960</v>
      </c>
      <c r="C201" s="141">
        <v>44960.625</v>
      </c>
      <c r="D201" s="141">
        <v>44960.833333333336</v>
      </c>
      <c r="E201" s="141">
        <v>44960.875</v>
      </c>
      <c r="F201" s="141">
        <v>44960.916666666664</v>
      </c>
      <c r="G201" s="141">
        <v>44960.958333333336</v>
      </c>
      <c r="H201" t="s">
        <v>492</v>
      </c>
      <c r="I201" t="s">
        <v>62</v>
      </c>
      <c r="J201" t="s">
        <v>5</v>
      </c>
      <c r="K201">
        <v>0</v>
      </c>
      <c r="L201">
        <v>0</v>
      </c>
      <c r="M201" t="s">
        <v>126</v>
      </c>
      <c r="N201" s="141">
        <v>45122.343842592592</v>
      </c>
      <c r="O201" t="s">
        <v>49</v>
      </c>
      <c r="P201" t="s">
        <v>603</v>
      </c>
      <c r="Q201" t="s">
        <v>677</v>
      </c>
    </row>
    <row r="202" spans="1:17" x14ac:dyDescent="0.25">
      <c r="A202">
        <v>22</v>
      </c>
      <c r="B202" s="140">
        <v>44961</v>
      </c>
      <c r="C202" s="141">
        <v>44961.3125</v>
      </c>
      <c r="D202" s="141">
        <v>44961.520833333336</v>
      </c>
      <c r="E202" s="141">
        <v>44961.5625</v>
      </c>
      <c r="F202" s="141">
        <v>44961.604166666664</v>
      </c>
      <c r="G202" s="141">
        <v>44961.645833333336</v>
      </c>
      <c r="H202" t="s">
        <v>169</v>
      </c>
      <c r="I202" t="s">
        <v>59</v>
      </c>
      <c r="J202" t="s">
        <v>7</v>
      </c>
      <c r="K202">
        <v>1</v>
      </c>
      <c r="L202">
        <v>0</v>
      </c>
      <c r="M202" t="s">
        <v>1</v>
      </c>
      <c r="N202" s="141">
        <v>45122.343842592592</v>
      </c>
      <c r="O202" t="s">
        <v>49</v>
      </c>
      <c r="P202" t="s">
        <v>603</v>
      </c>
      <c r="Q202" t="s">
        <v>677</v>
      </c>
    </row>
    <row r="203" spans="1:17" x14ac:dyDescent="0.25">
      <c r="A203">
        <v>22</v>
      </c>
      <c r="B203" s="140">
        <v>44961</v>
      </c>
      <c r="C203" s="141">
        <v>44961.416666666664</v>
      </c>
      <c r="D203" s="141">
        <v>44961.625</v>
      </c>
      <c r="E203" s="141">
        <v>44961.666666666664</v>
      </c>
      <c r="F203" s="141">
        <v>44961.708333333336</v>
      </c>
      <c r="G203" s="141">
        <v>44961.75</v>
      </c>
      <c r="H203" t="s">
        <v>284</v>
      </c>
      <c r="I203" t="s">
        <v>58</v>
      </c>
      <c r="J203" t="s">
        <v>2</v>
      </c>
      <c r="K203">
        <v>2</v>
      </c>
      <c r="L203">
        <v>4</v>
      </c>
      <c r="M203" t="s">
        <v>8</v>
      </c>
      <c r="N203" s="141">
        <v>45122.343842592592</v>
      </c>
      <c r="O203" t="s">
        <v>49</v>
      </c>
      <c r="P203" t="s">
        <v>603</v>
      </c>
      <c r="Q203" t="s">
        <v>677</v>
      </c>
    </row>
    <row r="204" spans="1:17" x14ac:dyDescent="0.25">
      <c r="A204">
        <v>22</v>
      </c>
      <c r="B204" s="140">
        <v>44961</v>
      </c>
      <c r="C204" s="141">
        <v>44961.416666666664</v>
      </c>
      <c r="D204" s="141">
        <v>44961.625</v>
      </c>
      <c r="E204" s="141">
        <v>44961.666666666664</v>
      </c>
      <c r="F204" s="141">
        <v>44961.708333333336</v>
      </c>
      <c r="G204" s="141">
        <v>44961.75</v>
      </c>
      <c r="H204" t="s">
        <v>199</v>
      </c>
      <c r="I204" t="s">
        <v>593</v>
      </c>
      <c r="J204" t="s">
        <v>125</v>
      </c>
      <c r="K204">
        <v>3</v>
      </c>
      <c r="L204">
        <v>0</v>
      </c>
      <c r="M204" t="s">
        <v>13</v>
      </c>
      <c r="N204" s="141">
        <v>45122.343842592592</v>
      </c>
      <c r="O204" t="s">
        <v>49</v>
      </c>
      <c r="P204" t="s">
        <v>603</v>
      </c>
      <c r="Q204" t="s">
        <v>677</v>
      </c>
    </row>
    <row r="205" spans="1:17" x14ac:dyDescent="0.25">
      <c r="A205">
        <v>22</v>
      </c>
      <c r="B205" s="140">
        <v>44961</v>
      </c>
      <c r="C205" s="141">
        <v>44961.416666666664</v>
      </c>
      <c r="D205" s="141">
        <v>44961.625</v>
      </c>
      <c r="E205" s="141">
        <v>44961.666666666664</v>
      </c>
      <c r="F205" s="141">
        <v>44961.708333333336</v>
      </c>
      <c r="G205" s="141">
        <v>44961.75</v>
      </c>
      <c r="H205" t="s">
        <v>491</v>
      </c>
      <c r="I205" t="s">
        <v>151</v>
      </c>
      <c r="J205" t="s">
        <v>4</v>
      </c>
      <c r="K205">
        <v>1</v>
      </c>
      <c r="L205">
        <v>0</v>
      </c>
      <c r="M205" t="s">
        <v>3</v>
      </c>
      <c r="N205" s="141">
        <v>45122.343842592592</v>
      </c>
      <c r="O205" t="s">
        <v>49</v>
      </c>
      <c r="P205" t="s">
        <v>603</v>
      </c>
      <c r="Q205" t="s">
        <v>677</v>
      </c>
    </row>
    <row r="206" spans="1:17" x14ac:dyDescent="0.25">
      <c r="A206">
        <v>22</v>
      </c>
      <c r="B206" s="140">
        <v>44961</v>
      </c>
      <c r="C206" s="141">
        <v>44961.416666666664</v>
      </c>
      <c r="D206" s="141">
        <v>44961.625</v>
      </c>
      <c r="E206" s="141">
        <v>44961.666666666664</v>
      </c>
      <c r="F206" s="141">
        <v>44961.708333333336</v>
      </c>
      <c r="G206" s="141">
        <v>44961.75</v>
      </c>
      <c r="H206" t="s">
        <v>286</v>
      </c>
      <c r="I206" t="s">
        <v>56</v>
      </c>
      <c r="J206" t="s">
        <v>11</v>
      </c>
      <c r="K206">
        <v>2</v>
      </c>
      <c r="L206">
        <v>1</v>
      </c>
      <c r="M206" t="s">
        <v>6</v>
      </c>
      <c r="N206" s="141">
        <v>45122.343842592592</v>
      </c>
      <c r="O206" t="s">
        <v>49</v>
      </c>
      <c r="P206" t="s">
        <v>603</v>
      </c>
      <c r="Q206" t="s">
        <v>677</v>
      </c>
    </row>
    <row r="207" spans="1:17" x14ac:dyDescent="0.25">
      <c r="A207">
        <v>22</v>
      </c>
      <c r="B207" s="140">
        <v>44961</v>
      </c>
      <c r="C207" s="141">
        <v>44961.416666666664</v>
      </c>
      <c r="D207" s="141">
        <v>44961.625</v>
      </c>
      <c r="E207" s="141">
        <v>44961.666666666664</v>
      </c>
      <c r="F207" s="141">
        <v>44961.708333333336</v>
      </c>
      <c r="G207" s="141">
        <v>44961.75</v>
      </c>
      <c r="H207" t="s">
        <v>289</v>
      </c>
      <c r="I207" t="s">
        <v>63</v>
      </c>
      <c r="J207" t="s">
        <v>16</v>
      </c>
      <c r="K207">
        <v>3</v>
      </c>
      <c r="L207">
        <v>0</v>
      </c>
      <c r="M207" t="s">
        <v>9</v>
      </c>
      <c r="N207" s="141">
        <v>45122.343842592592</v>
      </c>
      <c r="O207" t="s">
        <v>49</v>
      </c>
      <c r="P207" t="s">
        <v>603</v>
      </c>
      <c r="Q207" t="s">
        <v>677</v>
      </c>
    </row>
    <row r="208" spans="1:17" x14ac:dyDescent="0.25">
      <c r="A208">
        <v>22</v>
      </c>
      <c r="B208" s="140">
        <v>44961</v>
      </c>
      <c r="C208" s="141">
        <v>44961.520833333336</v>
      </c>
      <c r="D208" s="141">
        <v>44961.729166666664</v>
      </c>
      <c r="E208" s="141">
        <v>44961.770833333336</v>
      </c>
      <c r="F208" s="141">
        <v>44961.8125</v>
      </c>
      <c r="G208" s="141">
        <v>44961.854166666664</v>
      </c>
      <c r="H208" t="s">
        <v>207</v>
      </c>
      <c r="I208" t="s">
        <v>55</v>
      </c>
      <c r="J208" t="s">
        <v>12</v>
      </c>
      <c r="K208">
        <v>1</v>
      </c>
      <c r="L208">
        <v>1</v>
      </c>
      <c r="M208" t="s">
        <v>15</v>
      </c>
      <c r="N208" s="141">
        <v>45122.343842592592</v>
      </c>
      <c r="O208" t="s">
        <v>49</v>
      </c>
      <c r="P208" t="s">
        <v>603</v>
      </c>
      <c r="Q208" t="s">
        <v>677</v>
      </c>
    </row>
    <row r="209" spans="1:17" x14ac:dyDescent="0.25">
      <c r="A209">
        <v>22</v>
      </c>
      <c r="B209" s="140">
        <v>44962</v>
      </c>
      <c r="C209" s="141">
        <v>44962.375</v>
      </c>
      <c r="D209" s="141">
        <v>44962.583333333336</v>
      </c>
      <c r="E209" s="141">
        <v>44962.625</v>
      </c>
      <c r="F209" s="141">
        <v>44962.666666666664</v>
      </c>
      <c r="G209" s="141">
        <v>44962.708333333336</v>
      </c>
      <c r="H209" t="s">
        <v>493</v>
      </c>
      <c r="I209" t="s">
        <v>436</v>
      </c>
      <c r="J209" t="s">
        <v>204</v>
      </c>
      <c r="K209">
        <v>1</v>
      </c>
      <c r="L209">
        <v>0</v>
      </c>
      <c r="M209" t="s">
        <v>139</v>
      </c>
      <c r="N209" s="141">
        <v>45122.343842592592</v>
      </c>
      <c r="O209" t="s">
        <v>49</v>
      </c>
      <c r="P209" t="s">
        <v>603</v>
      </c>
      <c r="Q209" t="s">
        <v>677</v>
      </c>
    </row>
    <row r="210" spans="1:17" x14ac:dyDescent="0.25">
      <c r="A210">
        <v>22</v>
      </c>
      <c r="B210" s="140">
        <v>44962</v>
      </c>
      <c r="C210" s="141">
        <v>44962.479166666664</v>
      </c>
      <c r="D210" s="141">
        <v>44962.6875</v>
      </c>
      <c r="E210" s="141">
        <v>44962.729166666664</v>
      </c>
      <c r="F210" s="141">
        <v>44962.770833333336</v>
      </c>
      <c r="G210" s="141">
        <v>44962.8125</v>
      </c>
      <c r="H210" t="s">
        <v>208</v>
      </c>
      <c r="I210" t="s">
        <v>53</v>
      </c>
      <c r="J210" t="s">
        <v>14</v>
      </c>
      <c r="K210">
        <v>1</v>
      </c>
      <c r="L210">
        <v>0</v>
      </c>
      <c r="M210" t="s">
        <v>10</v>
      </c>
      <c r="N210" s="141">
        <v>45122.343842592592</v>
      </c>
      <c r="O210" t="s">
        <v>49</v>
      </c>
      <c r="P210" t="s">
        <v>603</v>
      </c>
      <c r="Q210" t="s">
        <v>677</v>
      </c>
    </row>
    <row r="211" spans="1:17" x14ac:dyDescent="0.25">
      <c r="A211">
        <v>8</v>
      </c>
      <c r="B211" s="140">
        <v>44965</v>
      </c>
      <c r="C211" s="141">
        <v>44965.625</v>
      </c>
      <c r="D211" s="141">
        <v>44965.833333333336</v>
      </c>
      <c r="E211" s="141">
        <v>44965.875</v>
      </c>
      <c r="F211" s="141">
        <v>44965.916666666664</v>
      </c>
      <c r="G211" s="141">
        <v>44965.958333333336</v>
      </c>
      <c r="H211" t="s">
        <v>205</v>
      </c>
      <c r="I211" t="s">
        <v>56</v>
      </c>
      <c r="J211" t="s">
        <v>11</v>
      </c>
      <c r="K211">
        <v>2</v>
      </c>
      <c r="L211">
        <v>2</v>
      </c>
      <c r="M211" t="s">
        <v>139</v>
      </c>
      <c r="N211" s="141">
        <v>45122.343842592592</v>
      </c>
      <c r="O211" t="s">
        <v>49</v>
      </c>
      <c r="P211" t="s">
        <v>603</v>
      </c>
      <c r="Q211" t="s">
        <v>677</v>
      </c>
    </row>
    <row r="212" spans="1:17" x14ac:dyDescent="0.25">
      <c r="A212">
        <v>23</v>
      </c>
      <c r="B212" s="140">
        <v>44968</v>
      </c>
      <c r="C212" s="141">
        <v>44968.3125</v>
      </c>
      <c r="D212" s="141">
        <v>44968.520833333336</v>
      </c>
      <c r="E212" s="141">
        <v>44968.5625</v>
      </c>
      <c r="F212" s="141">
        <v>44968.604166666664</v>
      </c>
      <c r="G212" s="141">
        <v>44968.645833333336</v>
      </c>
      <c r="H212" t="s">
        <v>288</v>
      </c>
      <c r="I212" t="s">
        <v>50</v>
      </c>
      <c r="J212" t="s">
        <v>15</v>
      </c>
      <c r="K212">
        <v>1</v>
      </c>
      <c r="L212">
        <v>1</v>
      </c>
      <c r="M212" t="s">
        <v>5</v>
      </c>
      <c r="N212" s="141">
        <v>45122.343842592592</v>
      </c>
      <c r="O212" t="s">
        <v>49</v>
      </c>
      <c r="P212" t="s">
        <v>603</v>
      </c>
      <c r="Q212" t="s">
        <v>677</v>
      </c>
    </row>
    <row r="213" spans="1:17" x14ac:dyDescent="0.25">
      <c r="A213">
        <v>23</v>
      </c>
      <c r="B213" s="140">
        <v>44968</v>
      </c>
      <c r="C213" s="141">
        <v>44968.416666666664</v>
      </c>
      <c r="D213" s="141">
        <v>44968.625</v>
      </c>
      <c r="E213" s="141">
        <v>44968.666666666664</v>
      </c>
      <c r="F213" s="141">
        <v>44968.708333333336</v>
      </c>
      <c r="G213" s="141">
        <v>44968.75</v>
      </c>
      <c r="H213" t="s">
        <v>184</v>
      </c>
      <c r="I213" t="s">
        <v>57</v>
      </c>
      <c r="J213" t="s">
        <v>1</v>
      </c>
      <c r="K213">
        <v>1</v>
      </c>
      <c r="L213">
        <v>1</v>
      </c>
      <c r="M213" t="s">
        <v>125</v>
      </c>
      <c r="N213" s="141">
        <v>45122.343842592592</v>
      </c>
      <c r="O213" t="s">
        <v>49</v>
      </c>
      <c r="P213" t="s">
        <v>603</v>
      </c>
      <c r="Q213" t="s">
        <v>677</v>
      </c>
    </row>
    <row r="214" spans="1:17" x14ac:dyDescent="0.25">
      <c r="A214">
        <v>23</v>
      </c>
      <c r="B214" s="140">
        <v>44968</v>
      </c>
      <c r="C214" s="141">
        <v>44968.416666666664</v>
      </c>
      <c r="D214" s="141">
        <v>44968.625</v>
      </c>
      <c r="E214" s="141">
        <v>44968.666666666664</v>
      </c>
      <c r="F214" s="141">
        <v>44968.708333333336</v>
      </c>
      <c r="G214" s="141">
        <v>44968.75</v>
      </c>
      <c r="H214" t="s">
        <v>233</v>
      </c>
      <c r="I214" t="s">
        <v>52</v>
      </c>
      <c r="J214" t="s">
        <v>6</v>
      </c>
      <c r="K214">
        <v>1</v>
      </c>
      <c r="L214">
        <v>1</v>
      </c>
      <c r="M214" t="s">
        <v>4</v>
      </c>
      <c r="N214" s="141">
        <v>45122.343842592592</v>
      </c>
      <c r="O214" t="s">
        <v>49</v>
      </c>
      <c r="P214" t="s">
        <v>603</v>
      </c>
      <c r="Q214" t="s">
        <v>677</v>
      </c>
    </row>
    <row r="215" spans="1:17" x14ac:dyDescent="0.25">
      <c r="A215">
        <v>23</v>
      </c>
      <c r="B215" s="140">
        <v>44968</v>
      </c>
      <c r="C215" s="141">
        <v>44968.416666666664</v>
      </c>
      <c r="D215" s="141">
        <v>44968.625</v>
      </c>
      <c r="E215" s="141">
        <v>44968.666666666664</v>
      </c>
      <c r="F215" s="141">
        <v>44968.708333333336</v>
      </c>
      <c r="G215" s="141">
        <v>44968.75</v>
      </c>
      <c r="H215" t="s">
        <v>495</v>
      </c>
      <c r="I215" t="s">
        <v>431</v>
      </c>
      <c r="J215" t="s">
        <v>126</v>
      </c>
      <c r="K215">
        <v>2</v>
      </c>
      <c r="L215">
        <v>0</v>
      </c>
      <c r="M215" t="s">
        <v>204</v>
      </c>
      <c r="N215" s="141">
        <v>45122.343842592592</v>
      </c>
      <c r="O215" t="s">
        <v>49</v>
      </c>
      <c r="P215" t="s">
        <v>603</v>
      </c>
      <c r="Q215" t="s">
        <v>677</v>
      </c>
    </row>
    <row r="216" spans="1:17" x14ac:dyDescent="0.25">
      <c r="A216">
        <v>23</v>
      </c>
      <c r="B216" s="140">
        <v>44968</v>
      </c>
      <c r="C216" s="141">
        <v>44968.416666666664</v>
      </c>
      <c r="D216" s="141">
        <v>44968.625</v>
      </c>
      <c r="E216" s="141">
        <v>44968.666666666664</v>
      </c>
      <c r="F216" s="141">
        <v>44968.708333333336</v>
      </c>
      <c r="G216" s="141">
        <v>44968.75</v>
      </c>
      <c r="H216" t="s">
        <v>297</v>
      </c>
      <c r="I216" t="s">
        <v>54</v>
      </c>
      <c r="J216" t="s">
        <v>8</v>
      </c>
      <c r="K216">
        <v>4</v>
      </c>
      <c r="L216">
        <v>1</v>
      </c>
      <c r="M216" t="s">
        <v>14</v>
      </c>
      <c r="N216" s="141">
        <v>45122.343842592592</v>
      </c>
      <c r="O216" t="s">
        <v>49</v>
      </c>
      <c r="P216" t="s">
        <v>603</v>
      </c>
      <c r="Q216" t="s">
        <v>677</v>
      </c>
    </row>
    <row r="217" spans="1:17" x14ac:dyDescent="0.25">
      <c r="A217">
        <v>23</v>
      </c>
      <c r="B217" s="140">
        <v>44968</v>
      </c>
      <c r="C217" s="141">
        <v>44968.416666666664</v>
      </c>
      <c r="D217" s="141">
        <v>44968.625</v>
      </c>
      <c r="E217" s="141">
        <v>44968.666666666664</v>
      </c>
      <c r="F217" s="141">
        <v>44968.708333333336</v>
      </c>
      <c r="G217" s="141">
        <v>44968.75</v>
      </c>
      <c r="H217" t="s">
        <v>236</v>
      </c>
      <c r="I217" t="s">
        <v>60</v>
      </c>
      <c r="J217" t="s">
        <v>13</v>
      </c>
      <c r="K217">
        <v>1</v>
      </c>
      <c r="L217">
        <v>2</v>
      </c>
      <c r="M217" t="s">
        <v>16</v>
      </c>
      <c r="N217" s="141">
        <v>45122.343842592592</v>
      </c>
      <c r="O217" t="s">
        <v>49</v>
      </c>
      <c r="P217" t="s">
        <v>603</v>
      </c>
      <c r="Q217" t="s">
        <v>677</v>
      </c>
    </row>
    <row r="218" spans="1:17" x14ac:dyDescent="0.25">
      <c r="A218">
        <v>23</v>
      </c>
      <c r="B218" s="140">
        <v>44968</v>
      </c>
      <c r="C218" s="141">
        <v>44968.520833333336</v>
      </c>
      <c r="D218" s="141">
        <v>44968.729166666664</v>
      </c>
      <c r="E218" s="141">
        <v>44968.770833333336</v>
      </c>
      <c r="F218" s="141">
        <v>44968.8125</v>
      </c>
      <c r="G218" s="141">
        <v>44968.854166666664</v>
      </c>
      <c r="H218" t="s">
        <v>494</v>
      </c>
      <c r="I218" t="s">
        <v>51</v>
      </c>
      <c r="J218" t="s">
        <v>3</v>
      </c>
      <c r="K218">
        <v>1</v>
      </c>
      <c r="L218">
        <v>1</v>
      </c>
      <c r="M218" t="s">
        <v>12</v>
      </c>
      <c r="N218" s="141">
        <v>45122.343842592592</v>
      </c>
      <c r="O218" t="s">
        <v>49</v>
      </c>
      <c r="P218" t="s">
        <v>603</v>
      </c>
      <c r="Q218" t="s">
        <v>677</v>
      </c>
    </row>
    <row r="219" spans="1:17" x14ac:dyDescent="0.25">
      <c r="A219">
        <v>23</v>
      </c>
      <c r="B219" s="140">
        <v>44969</v>
      </c>
      <c r="C219" s="141">
        <v>44969.375</v>
      </c>
      <c r="D219" s="141">
        <v>44969.583333333336</v>
      </c>
      <c r="E219" s="141">
        <v>44969.625</v>
      </c>
      <c r="F219" s="141">
        <v>44969.666666666664</v>
      </c>
      <c r="G219" s="141">
        <v>44969.708333333336</v>
      </c>
      <c r="H219" t="s">
        <v>348</v>
      </c>
      <c r="I219" t="s">
        <v>140</v>
      </c>
      <c r="J219" t="s">
        <v>139</v>
      </c>
      <c r="K219">
        <v>0</v>
      </c>
      <c r="L219">
        <v>2</v>
      </c>
      <c r="M219" t="s">
        <v>11</v>
      </c>
      <c r="N219" s="141">
        <v>45122.343842592592</v>
      </c>
      <c r="O219" t="s">
        <v>49</v>
      </c>
      <c r="P219" t="s">
        <v>603</v>
      </c>
      <c r="Q219" t="s">
        <v>677</v>
      </c>
    </row>
    <row r="220" spans="1:17" x14ac:dyDescent="0.25">
      <c r="A220">
        <v>23</v>
      </c>
      <c r="B220" s="140">
        <v>44969</v>
      </c>
      <c r="C220" s="141">
        <v>44969.479166666664</v>
      </c>
      <c r="D220" s="141">
        <v>44969.6875</v>
      </c>
      <c r="E220" s="141">
        <v>44969.729166666664</v>
      </c>
      <c r="F220" s="141">
        <v>44969.770833333336</v>
      </c>
      <c r="G220" s="141">
        <v>44969.8125</v>
      </c>
      <c r="H220" t="s">
        <v>420</v>
      </c>
      <c r="I220" t="s">
        <v>61</v>
      </c>
      <c r="J220" t="s">
        <v>10</v>
      </c>
      <c r="K220">
        <v>3</v>
      </c>
      <c r="L220">
        <v>1</v>
      </c>
      <c r="M220" t="s">
        <v>2</v>
      </c>
      <c r="N220" s="141">
        <v>45122.343842592592</v>
      </c>
      <c r="O220" t="s">
        <v>49</v>
      </c>
      <c r="P220" t="s">
        <v>603</v>
      </c>
      <c r="Q220" t="s">
        <v>677</v>
      </c>
    </row>
    <row r="221" spans="1:17" x14ac:dyDescent="0.25">
      <c r="A221">
        <v>23</v>
      </c>
      <c r="B221" s="140">
        <v>44970</v>
      </c>
      <c r="C221" s="141">
        <v>44970.625</v>
      </c>
      <c r="D221" s="141">
        <v>44970.833333333336</v>
      </c>
      <c r="E221" s="141">
        <v>44970.875</v>
      </c>
      <c r="F221" s="141">
        <v>44970.916666666664</v>
      </c>
      <c r="G221" s="141">
        <v>44970.958333333336</v>
      </c>
      <c r="H221" t="s">
        <v>196</v>
      </c>
      <c r="I221" t="s">
        <v>48</v>
      </c>
      <c r="J221" t="s">
        <v>9</v>
      </c>
      <c r="K221">
        <v>2</v>
      </c>
      <c r="L221">
        <v>0</v>
      </c>
      <c r="M221" t="s">
        <v>7</v>
      </c>
      <c r="N221" s="141">
        <v>45122.343842592592</v>
      </c>
      <c r="O221" t="s">
        <v>49</v>
      </c>
      <c r="P221" t="s">
        <v>603</v>
      </c>
      <c r="Q221" t="s">
        <v>677</v>
      </c>
    </row>
    <row r="222" spans="1:17" x14ac:dyDescent="0.25">
      <c r="A222">
        <v>12</v>
      </c>
      <c r="B222" s="140">
        <v>44972</v>
      </c>
      <c r="C222" s="141">
        <v>44972.604166666664</v>
      </c>
      <c r="D222" s="141">
        <v>44972.8125</v>
      </c>
      <c r="E222" s="141">
        <v>44972.854166666664</v>
      </c>
      <c r="F222" s="141">
        <v>44972.895833333336</v>
      </c>
      <c r="G222" s="141">
        <v>44972.9375</v>
      </c>
      <c r="H222" t="s">
        <v>319</v>
      </c>
      <c r="I222" t="s">
        <v>57</v>
      </c>
      <c r="J222" t="s">
        <v>1</v>
      </c>
      <c r="K222">
        <v>1</v>
      </c>
      <c r="L222">
        <v>3</v>
      </c>
      <c r="M222" t="s">
        <v>10</v>
      </c>
      <c r="N222" s="141">
        <v>45122.343842592592</v>
      </c>
      <c r="O222" t="s">
        <v>49</v>
      </c>
      <c r="P222" t="s">
        <v>603</v>
      </c>
      <c r="Q222" t="s">
        <v>677</v>
      </c>
    </row>
    <row r="223" spans="1:17" x14ac:dyDescent="0.25">
      <c r="A223">
        <v>24</v>
      </c>
      <c r="B223" s="140">
        <v>44975</v>
      </c>
      <c r="C223" s="141">
        <v>44975.3125</v>
      </c>
      <c r="D223" s="141">
        <v>44975.520833333336</v>
      </c>
      <c r="E223" s="141">
        <v>44975.5625</v>
      </c>
      <c r="F223" s="141">
        <v>44975.604166666664</v>
      </c>
      <c r="G223" s="141">
        <v>44975.645833333336</v>
      </c>
      <c r="H223" t="s">
        <v>189</v>
      </c>
      <c r="I223" t="s">
        <v>58</v>
      </c>
      <c r="J223" t="s">
        <v>2</v>
      </c>
      <c r="K223">
        <v>2</v>
      </c>
      <c r="L223">
        <v>4</v>
      </c>
      <c r="M223" t="s">
        <v>1</v>
      </c>
      <c r="N223" s="141">
        <v>45122.343842592592</v>
      </c>
      <c r="O223" t="s">
        <v>49</v>
      </c>
      <c r="P223" t="s">
        <v>603</v>
      </c>
      <c r="Q223" t="s">
        <v>677</v>
      </c>
    </row>
    <row r="224" spans="1:17" x14ac:dyDescent="0.25">
      <c r="A224">
        <v>24</v>
      </c>
      <c r="B224" s="140">
        <v>44975</v>
      </c>
      <c r="C224" s="141">
        <v>44975.416666666664</v>
      </c>
      <c r="D224" s="141">
        <v>44975.625</v>
      </c>
      <c r="E224" s="141">
        <v>44975.666666666664</v>
      </c>
      <c r="F224" s="141">
        <v>44975.708333333336</v>
      </c>
      <c r="G224" s="141">
        <v>44975.75</v>
      </c>
      <c r="H224" t="s">
        <v>182</v>
      </c>
      <c r="I224" t="s">
        <v>593</v>
      </c>
      <c r="J224" t="s">
        <v>125</v>
      </c>
      <c r="K224">
        <v>1</v>
      </c>
      <c r="L224">
        <v>1</v>
      </c>
      <c r="M224" t="s">
        <v>6</v>
      </c>
      <c r="N224" s="141">
        <v>45122.343842592592</v>
      </c>
      <c r="O224" t="s">
        <v>49</v>
      </c>
      <c r="P224" t="s">
        <v>603</v>
      </c>
      <c r="Q224" t="s">
        <v>677</v>
      </c>
    </row>
    <row r="225" spans="1:17" x14ac:dyDescent="0.25">
      <c r="A225">
        <v>24</v>
      </c>
      <c r="B225" s="140">
        <v>44975</v>
      </c>
      <c r="C225" s="141">
        <v>44975.416666666664</v>
      </c>
      <c r="D225" s="141">
        <v>44975.625</v>
      </c>
      <c r="E225" s="141">
        <v>44975.666666666664</v>
      </c>
      <c r="F225" s="141">
        <v>44975.708333333336</v>
      </c>
      <c r="G225" s="141">
        <v>44975.75</v>
      </c>
      <c r="H225" t="s">
        <v>496</v>
      </c>
      <c r="I225" t="s">
        <v>151</v>
      </c>
      <c r="J225" t="s">
        <v>4</v>
      </c>
      <c r="K225">
        <v>0</v>
      </c>
      <c r="L225">
        <v>1</v>
      </c>
      <c r="M225" t="s">
        <v>126</v>
      </c>
      <c r="N225" s="141">
        <v>45122.343842592592</v>
      </c>
      <c r="O225" t="s">
        <v>49</v>
      </c>
      <c r="P225" t="s">
        <v>603</v>
      </c>
      <c r="Q225" t="s">
        <v>677</v>
      </c>
    </row>
    <row r="226" spans="1:17" x14ac:dyDescent="0.25">
      <c r="A226">
        <v>24</v>
      </c>
      <c r="B226" s="140">
        <v>44975</v>
      </c>
      <c r="C226" s="141">
        <v>44975.416666666664</v>
      </c>
      <c r="D226" s="141">
        <v>44975.625</v>
      </c>
      <c r="E226" s="141">
        <v>44975.666666666664</v>
      </c>
      <c r="F226" s="141">
        <v>44975.708333333336</v>
      </c>
      <c r="G226" s="141">
        <v>44975.75</v>
      </c>
      <c r="H226" t="s">
        <v>159</v>
      </c>
      <c r="I226" t="s">
        <v>62</v>
      </c>
      <c r="J226" t="s">
        <v>5</v>
      </c>
      <c r="K226">
        <v>0</v>
      </c>
      <c r="L226">
        <v>1</v>
      </c>
      <c r="M226" t="s">
        <v>13</v>
      </c>
      <c r="N226" s="141">
        <v>45122.343842592592</v>
      </c>
      <c r="O226" t="s">
        <v>49</v>
      </c>
      <c r="P226" t="s">
        <v>603</v>
      </c>
      <c r="Q226" t="s">
        <v>677</v>
      </c>
    </row>
    <row r="227" spans="1:17" x14ac:dyDescent="0.25">
      <c r="A227">
        <v>24</v>
      </c>
      <c r="B227" s="140">
        <v>44975</v>
      </c>
      <c r="C227" s="141">
        <v>44975.416666666664</v>
      </c>
      <c r="D227" s="141">
        <v>44975.625</v>
      </c>
      <c r="E227" s="141">
        <v>44975.666666666664</v>
      </c>
      <c r="F227" s="141">
        <v>44975.708333333336</v>
      </c>
      <c r="G227" s="141">
        <v>44975.75</v>
      </c>
      <c r="H227" t="s">
        <v>343</v>
      </c>
      <c r="I227" t="s">
        <v>59</v>
      </c>
      <c r="J227" t="s">
        <v>7</v>
      </c>
      <c r="K227">
        <v>1</v>
      </c>
      <c r="L227">
        <v>0</v>
      </c>
      <c r="M227" t="s">
        <v>139</v>
      </c>
      <c r="N227" s="141">
        <v>45122.343842592592</v>
      </c>
      <c r="O227" t="s">
        <v>49</v>
      </c>
      <c r="P227" t="s">
        <v>603</v>
      </c>
      <c r="Q227" t="s">
        <v>677</v>
      </c>
    </row>
    <row r="228" spans="1:17" x14ac:dyDescent="0.25">
      <c r="A228">
        <v>24</v>
      </c>
      <c r="B228" s="140">
        <v>44975</v>
      </c>
      <c r="C228" s="141">
        <v>44975.416666666664</v>
      </c>
      <c r="D228" s="141">
        <v>44975.625</v>
      </c>
      <c r="E228" s="141">
        <v>44975.666666666664</v>
      </c>
      <c r="F228" s="141">
        <v>44975.708333333336</v>
      </c>
      <c r="G228" s="141">
        <v>44975.75</v>
      </c>
      <c r="H228" t="s">
        <v>497</v>
      </c>
      <c r="I228" t="s">
        <v>436</v>
      </c>
      <c r="J228" t="s">
        <v>204</v>
      </c>
      <c r="K228">
        <v>1</v>
      </c>
      <c r="L228">
        <v>1</v>
      </c>
      <c r="M228" t="s">
        <v>10</v>
      </c>
      <c r="N228" s="141">
        <v>45122.343842592592</v>
      </c>
      <c r="O228" t="s">
        <v>49</v>
      </c>
      <c r="P228" t="s">
        <v>603</v>
      </c>
      <c r="Q228" t="s">
        <v>677</v>
      </c>
    </row>
    <row r="229" spans="1:17" x14ac:dyDescent="0.25">
      <c r="A229">
        <v>24</v>
      </c>
      <c r="B229" s="140">
        <v>44975</v>
      </c>
      <c r="C229" s="141">
        <v>44975.416666666664</v>
      </c>
      <c r="D229" s="141">
        <v>44975.625</v>
      </c>
      <c r="E229" s="141">
        <v>44975.666666666664</v>
      </c>
      <c r="F229" s="141">
        <v>44975.708333333336</v>
      </c>
      <c r="G229" s="141">
        <v>44975.75</v>
      </c>
      <c r="H229" t="s">
        <v>498</v>
      </c>
      <c r="I229" t="s">
        <v>63</v>
      </c>
      <c r="J229" t="s">
        <v>16</v>
      </c>
      <c r="K229">
        <v>0</v>
      </c>
      <c r="L229">
        <v>1</v>
      </c>
      <c r="M229" t="s">
        <v>3</v>
      </c>
      <c r="N229" s="141">
        <v>45122.343842592592</v>
      </c>
      <c r="O229" t="s">
        <v>49</v>
      </c>
      <c r="P229" t="s">
        <v>603</v>
      </c>
      <c r="Q229" t="s">
        <v>677</v>
      </c>
    </row>
    <row r="230" spans="1:17" x14ac:dyDescent="0.25">
      <c r="A230">
        <v>24</v>
      </c>
      <c r="B230" s="140">
        <v>44975</v>
      </c>
      <c r="C230" s="141">
        <v>44975.520833333336</v>
      </c>
      <c r="D230" s="141">
        <v>44975.729166666664</v>
      </c>
      <c r="E230" s="141">
        <v>44975.770833333336</v>
      </c>
      <c r="F230" s="141">
        <v>44975.8125</v>
      </c>
      <c r="G230" s="141">
        <v>44975.854166666664</v>
      </c>
      <c r="H230" t="s">
        <v>401</v>
      </c>
      <c r="I230" t="s">
        <v>55</v>
      </c>
      <c r="J230" t="s">
        <v>12</v>
      </c>
      <c r="K230">
        <v>0</v>
      </c>
      <c r="L230">
        <v>2</v>
      </c>
      <c r="M230" t="s">
        <v>9</v>
      </c>
      <c r="N230" s="141">
        <v>45122.343842592592</v>
      </c>
      <c r="O230" t="s">
        <v>49</v>
      </c>
      <c r="P230" t="s">
        <v>603</v>
      </c>
      <c r="Q230" t="s">
        <v>677</v>
      </c>
    </row>
    <row r="231" spans="1:17" x14ac:dyDescent="0.25">
      <c r="A231">
        <v>24</v>
      </c>
      <c r="B231" s="140">
        <v>44976</v>
      </c>
      <c r="C231" s="141">
        <v>44976.375</v>
      </c>
      <c r="D231" s="141">
        <v>44976.583333333336</v>
      </c>
      <c r="E231" s="141">
        <v>44976.625</v>
      </c>
      <c r="F231" s="141">
        <v>44976.666666666664</v>
      </c>
      <c r="G231" s="141">
        <v>44976.708333333336</v>
      </c>
      <c r="H231" t="s">
        <v>378</v>
      </c>
      <c r="I231" t="s">
        <v>56</v>
      </c>
      <c r="J231" t="s">
        <v>11</v>
      </c>
      <c r="K231">
        <v>3</v>
      </c>
      <c r="L231">
        <v>0</v>
      </c>
      <c r="M231" t="s">
        <v>8</v>
      </c>
      <c r="N231" s="141">
        <v>45122.343842592592</v>
      </c>
      <c r="O231" t="s">
        <v>49</v>
      </c>
      <c r="P231" t="s">
        <v>603</v>
      </c>
      <c r="Q231" t="s">
        <v>677</v>
      </c>
    </row>
    <row r="232" spans="1:17" x14ac:dyDescent="0.25">
      <c r="A232">
        <v>24</v>
      </c>
      <c r="B232" s="140">
        <v>44976</v>
      </c>
      <c r="C232" s="141">
        <v>44976.479166666664</v>
      </c>
      <c r="D232" s="141">
        <v>44976.6875</v>
      </c>
      <c r="E232" s="141">
        <v>44976.729166666664</v>
      </c>
      <c r="F232" s="141">
        <v>44976.770833333336</v>
      </c>
      <c r="G232" s="141">
        <v>44976.8125</v>
      </c>
      <c r="H232" t="s">
        <v>375</v>
      </c>
      <c r="I232" t="s">
        <v>53</v>
      </c>
      <c r="J232" t="s">
        <v>14</v>
      </c>
      <c r="K232">
        <v>2</v>
      </c>
      <c r="L232">
        <v>0</v>
      </c>
      <c r="M232" t="s">
        <v>15</v>
      </c>
      <c r="N232" s="141">
        <v>45122.343842592592</v>
      </c>
      <c r="O232" t="s">
        <v>49</v>
      </c>
      <c r="P232" t="s">
        <v>603</v>
      </c>
      <c r="Q232" t="s">
        <v>677</v>
      </c>
    </row>
    <row r="233" spans="1:17" x14ac:dyDescent="0.25">
      <c r="A233">
        <v>25</v>
      </c>
      <c r="B233" s="140">
        <v>44981</v>
      </c>
      <c r="C233" s="141">
        <v>44981.625</v>
      </c>
      <c r="D233" s="141">
        <v>44981.833333333336</v>
      </c>
      <c r="E233" s="141">
        <v>44981.875</v>
      </c>
      <c r="F233" s="141">
        <v>44981.916666666664</v>
      </c>
      <c r="G233" s="141">
        <v>44981.958333333336</v>
      </c>
      <c r="H233" t="s">
        <v>500</v>
      </c>
      <c r="I233" t="s">
        <v>431</v>
      </c>
      <c r="J233" t="s">
        <v>126</v>
      </c>
      <c r="K233">
        <v>1</v>
      </c>
      <c r="L233">
        <v>1</v>
      </c>
      <c r="M233" t="s">
        <v>16</v>
      </c>
      <c r="N233" s="141">
        <v>45122.343842592592</v>
      </c>
      <c r="O233" t="s">
        <v>49</v>
      </c>
      <c r="P233" t="s">
        <v>603</v>
      </c>
      <c r="Q233" t="s">
        <v>677</v>
      </c>
    </row>
    <row r="234" spans="1:17" x14ac:dyDescent="0.25">
      <c r="A234">
        <v>25</v>
      </c>
      <c r="B234" s="140">
        <v>44982</v>
      </c>
      <c r="C234" s="141">
        <v>44982.416666666664</v>
      </c>
      <c r="D234" s="141">
        <v>44982.625</v>
      </c>
      <c r="E234" s="141">
        <v>44982.666666666664</v>
      </c>
      <c r="F234" s="141">
        <v>44982.708333333336</v>
      </c>
      <c r="G234" s="141">
        <v>44982.75</v>
      </c>
      <c r="H234" t="s">
        <v>181</v>
      </c>
      <c r="I234" t="s">
        <v>59</v>
      </c>
      <c r="J234" t="s">
        <v>7</v>
      </c>
      <c r="K234">
        <v>0</v>
      </c>
      <c r="L234">
        <v>2</v>
      </c>
      <c r="M234" t="s">
        <v>2</v>
      </c>
      <c r="N234" s="141">
        <v>45122.343842592592</v>
      </c>
      <c r="O234" t="s">
        <v>49</v>
      </c>
      <c r="P234" t="s">
        <v>603</v>
      </c>
      <c r="Q234" t="s">
        <v>677</v>
      </c>
    </row>
    <row r="235" spans="1:17" x14ac:dyDescent="0.25">
      <c r="A235">
        <v>25</v>
      </c>
      <c r="B235" s="140">
        <v>44982</v>
      </c>
      <c r="C235" s="141">
        <v>44982.416666666664</v>
      </c>
      <c r="D235" s="141">
        <v>44982.625</v>
      </c>
      <c r="E235" s="141">
        <v>44982.666666666664</v>
      </c>
      <c r="F235" s="141">
        <v>44982.708333333336</v>
      </c>
      <c r="G235" s="141">
        <v>44982.75</v>
      </c>
      <c r="H235" t="s">
        <v>377</v>
      </c>
      <c r="I235" t="s">
        <v>140</v>
      </c>
      <c r="J235" t="s">
        <v>139</v>
      </c>
      <c r="K235">
        <v>1</v>
      </c>
      <c r="L235">
        <v>0</v>
      </c>
      <c r="M235" t="s">
        <v>13</v>
      </c>
      <c r="N235" s="141">
        <v>45122.343842592592</v>
      </c>
      <c r="O235" t="s">
        <v>49</v>
      </c>
      <c r="P235" t="s">
        <v>603</v>
      </c>
      <c r="Q235" t="s">
        <v>677</v>
      </c>
    </row>
    <row r="236" spans="1:17" x14ac:dyDescent="0.25">
      <c r="A236">
        <v>25</v>
      </c>
      <c r="B236" s="140">
        <v>44982</v>
      </c>
      <c r="C236" s="141">
        <v>44982.416666666664</v>
      </c>
      <c r="D236" s="141">
        <v>44982.625</v>
      </c>
      <c r="E236" s="141">
        <v>44982.666666666664</v>
      </c>
      <c r="F236" s="141">
        <v>44982.708333333336</v>
      </c>
      <c r="G236" s="141">
        <v>44982.75</v>
      </c>
      <c r="H236" t="s">
        <v>256</v>
      </c>
      <c r="I236" t="s">
        <v>54</v>
      </c>
      <c r="J236" t="s">
        <v>8</v>
      </c>
      <c r="K236">
        <v>0</v>
      </c>
      <c r="L236">
        <v>1</v>
      </c>
      <c r="M236" t="s">
        <v>1</v>
      </c>
      <c r="N236" s="141">
        <v>45122.343842592592</v>
      </c>
      <c r="O236" t="s">
        <v>49</v>
      </c>
      <c r="P236" t="s">
        <v>603</v>
      </c>
      <c r="Q236" t="s">
        <v>677</v>
      </c>
    </row>
    <row r="237" spans="1:17" x14ac:dyDescent="0.25">
      <c r="A237">
        <v>25</v>
      </c>
      <c r="B237" s="140">
        <v>44982</v>
      </c>
      <c r="C237" s="141">
        <v>44982.416666666664</v>
      </c>
      <c r="D237" s="141">
        <v>44982.625</v>
      </c>
      <c r="E237" s="141">
        <v>44982.666666666664</v>
      </c>
      <c r="F237" s="141">
        <v>44982.708333333336</v>
      </c>
      <c r="G237" s="141">
        <v>44982.75</v>
      </c>
      <c r="H237" t="s">
        <v>501</v>
      </c>
      <c r="I237" t="s">
        <v>50</v>
      </c>
      <c r="J237" t="s">
        <v>15</v>
      </c>
      <c r="K237">
        <v>4</v>
      </c>
      <c r="L237">
        <v>0</v>
      </c>
      <c r="M237" t="s">
        <v>204</v>
      </c>
      <c r="N237" s="141">
        <v>45122.343842592592</v>
      </c>
      <c r="O237" t="s">
        <v>49</v>
      </c>
      <c r="P237" t="s">
        <v>603</v>
      </c>
      <c r="Q237" t="s">
        <v>677</v>
      </c>
    </row>
    <row r="238" spans="1:17" x14ac:dyDescent="0.25">
      <c r="A238">
        <v>25</v>
      </c>
      <c r="B238" s="140">
        <v>44982</v>
      </c>
      <c r="C238" s="141">
        <v>44982.520833333336</v>
      </c>
      <c r="D238" s="141">
        <v>44982.729166666664</v>
      </c>
      <c r="E238" s="141">
        <v>44982.770833333336</v>
      </c>
      <c r="F238" s="141">
        <v>44982.8125</v>
      </c>
      <c r="G238" s="141">
        <v>44982.854166666664</v>
      </c>
      <c r="H238" t="s">
        <v>499</v>
      </c>
      <c r="I238" t="s">
        <v>51</v>
      </c>
      <c r="J238" t="s">
        <v>3</v>
      </c>
      <c r="K238">
        <v>1</v>
      </c>
      <c r="L238">
        <v>4</v>
      </c>
      <c r="M238" t="s">
        <v>10</v>
      </c>
      <c r="N238" s="141">
        <v>45122.343842592592</v>
      </c>
      <c r="O238" t="s">
        <v>49</v>
      </c>
      <c r="P238" t="s">
        <v>603</v>
      </c>
      <c r="Q238" t="s">
        <v>677</v>
      </c>
    </row>
    <row r="239" spans="1:17" x14ac:dyDescent="0.25">
      <c r="A239">
        <v>25</v>
      </c>
      <c r="B239" s="140">
        <v>44982</v>
      </c>
      <c r="C239" s="141">
        <v>44982.614583333336</v>
      </c>
      <c r="D239" s="141">
        <v>44982.822916666664</v>
      </c>
      <c r="E239" s="141">
        <v>44982.864583333336</v>
      </c>
      <c r="F239" s="141">
        <v>44982.90625</v>
      </c>
      <c r="G239" s="141">
        <v>44982.947916666664</v>
      </c>
      <c r="H239" t="s">
        <v>180</v>
      </c>
      <c r="I239" t="s">
        <v>52</v>
      </c>
      <c r="J239" t="s">
        <v>6</v>
      </c>
      <c r="K239">
        <v>0</v>
      </c>
      <c r="L239">
        <v>0</v>
      </c>
      <c r="M239" t="s">
        <v>9</v>
      </c>
      <c r="N239" s="141">
        <v>45122.343842592592</v>
      </c>
      <c r="O239" t="s">
        <v>49</v>
      </c>
      <c r="P239" t="s">
        <v>603</v>
      </c>
      <c r="Q239" t="s">
        <v>677</v>
      </c>
    </row>
    <row r="240" spans="1:17" x14ac:dyDescent="0.25">
      <c r="A240">
        <v>25</v>
      </c>
      <c r="B240" s="140">
        <v>44983</v>
      </c>
      <c r="C240" s="141">
        <v>44983.354166666664</v>
      </c>
      <c r="D240" s="141">
        <v>44983.5625</v>
      </c>
      <c r="E240" s="141">
        <v>44983.604166666664</v>
      </c>
      <c r="F240" s="141">
        <v>44983.645833333336</v>
      </c>
      <c r="G240" s="141">
        <v>44983.6875</v>
      </c>
      <c r="H240" t="s">
        <v>228</v>
      </c>
      <c r="I240" t="s">
        <v>53</v>
      </c>
      <c r="J240" t="s">
        <v>14</v>
      </c>
      <c r="K240">
        <v>2</v>
      </c>
      <c r="L240">
        <v>0</v>
      </c>
      <c r="M240" t="s">
        <v>5</v>
      </c>
      <c r="N240" s="141">
        <v>45122.343842592592</v>
      </c>
      <c r="O240" t="s">
        <v>49</v>
      </c>
      <c r="P240" t="s">
        <v>603</v>
      </c>
      <c r="Q240" t="s">
        <v>677</v>
      </c>
    </row>
    <row r="241" spans="1:17" x14ac:dyDescent="0.25">
      <c r="A241">
        <v>7</v>
      </c>
      <c r="B241" s="140">
        <v>44986</v>
      </c>
      <c r="C241" s="141">
        <v>44986.614583333336</v>
      </c>
      <c r="D241" s="141">
        <v>44986.822916666664</v>
      </c>
      <c r="E241" s="141">
        <v>44986.864583333336</v>
      </c>
      <c r="F241" s="141">
        <v>44986.90625</v>
      </c>
      <c r="G241" s="141">
        <v>44986.947916666664</v>
      </c>
      <c r="H241" t="s">
        <v>203</v>
      </c>
      <c r="I241" t="s">
        <v>57</v>
      </c>
      <c r="J241" t="s">
        <v>1</v>
      </c>
      <c r="K241">
        <v>4</v>
      </c>
      <c r="L241">
        <v>0</v>
      </c>
      <c r="M241" t="s">
        <v>7</v>
      </c>
      <c r="N241" s="141">
        <v>45122.343842592592</v>
      </c>
      <c r="O241" t="s">
        <v>49</v>
      </c>
      <c r="P241" t="s">
        <v>603</v>
      </c>
      <c r="Q241" t="s">
        <v>677</v>
      </c>
    </row>
    <row r="242" spans="1:17" x14ac:dyDescent="0.25">
      <c r="A242">
        <v>7</v>
      </c>
      <c r="B242" s="140">
        <v>44986</v>
      </c>
      <c r="C242" s="141">
        <v>44986.625</v>
      </c>
      <c r="D242" s="141">
        <v>44986.833333333336</v>
      </c>
      <c r="E242" s="141">
        <v>44986.875</v>
      </c>
      <c r="F242" s="141">
        <v>44986.916666666664</v>
      </c>
      <c r="G242" s="141">
        <v>44986.958333333336</v>
      </c>
      <c r="H242" t="s">
        <v>419</v>
      </c>
      <c r="I242" t="s">
        <v>48</v>
      </c>
      <c r="J242" t="s">
        <v>9</v>
      </c>
      <c r="K242">
        <v>2</v>
      </c>
      <c r="L242">
        <v>0</v>
      </c>
      <c r="M242" t="s">
        <v>16</v>
      </c>
      <c r="N242" s="141">
        <v>45122.343842592592</v>
      </c>
      <c r="O242" t="s">
        <v>49</v>
      </c>
      <c r="P242" t="s">
        <v>603</v>
      </c>
      <c r="Q242" t="s">
        <v>677</v>
      </c>
    </row>
    <row r="243" spans="1:17" x14ac:dyDescent="0.25">
      <c r="A243">
        <v>26</v>
      </c>
      <c r="B243" s="140">
        <v>44989</v>
      </c>
      <c r="C243" s="141">
        <v>44989.3125</v>
      </c>
      <c r="D243" s="141">
        <v>44989.520833333336</v>
      </c>
      <c r="E243" s="141">
        <v>44989.5625</v>
      </c>
      <c r="F243" s="141">
        <v>44989.604166666664</v>
      </c>
      <c r="G243" s="141">
        <v>44989.645833333336</v>
      </c>
      <c r="H243" t="s">
        <v>410</v>
      </c>
      <c r="I243" t="s">
        <v>61</v>
      </c>
      <c r="J243" t="s">
        <v>10</v>
      </c>
      <c r="K243">
        <v>2</v>
      </c>
      <c r="L243">
        <v>0</v>
      </c>
      <c r="M243" t="s">
        <v>12</v>
      </c>
      <c r="N243" s="141">
        <v>45122.343842592592</v>
      </c>
      <c r="O243" t="s">
        <v>49</v>
      </c>
      <c r="P243" t="s">
        <v>603</v>
      </c>
      <c r="Q243" t="s">
        <v>677</v>
      </c>
    </row>
    <row r="244" spans="1:17" x14ac:dyDescent="0.25">
      <c r="A244">
        <v>26</v>
      </c>
      <c r="B244" s="140">
        <v>44989</v>
      </c>
      <c r="C244" s="141">
        <v>44989.416666666664</v>
      </c>
      <c r="D244" s="141">
        <v>44989.625</v>
      </c>
      <c r="E244" s="141">
        <v>44989.666666666664</v>
      </c>
      <c r="F244" s="141">
        <v>44989.708333333336</v>
      </c>
      <c r="G244" s="141">
        <v>44989.75</v>
      </c>
      <c r="H244" t="s">
        <v>502</v>
      </c>
      <c r="I244" t="s">
        <v>57</v>
      </c>
      <c r="J244" t="s">
        <v>1</v>
      </c>
      <c r="K244">
        <v>3</v>
      </c>
      <c r="L244">
        <v>2</v>
      </c>
      <c r="M244" t="s">
        <v>3</v>
      </c>
      <c r="N244" s="141">
        <v>45122.343842592592</v>
      </c>
      <c r="O244" t="s">
        <v>49</v>
      </c>
      <c r="P244" t="s">
        <v>603</v>
      </c>
      <c r="Q244" t="s">
        <v>677</v>
      </c>
    </row>
    <row r="245" spans="1:17" x14ac:dyDescent="0.25">
      <c r="A245">
        <v>26</v>
      </c>
      <c r="B245" s="140">
        <v>44989</v>
      </c>
      <c r="C245" s="141">
        <v>44989.416666666664</v>
      </c>
      <c r="D245" s="141">
        <v>44989.625</v>
      </c>
      <c r="E245" s="141">
        <v>44989.666666666664</v>
      </c>
      <c r="F245" s="141">
        <v>44989.708333333336</v>
      </c>
      <c r="G245" s="141">
        <v>44989.75</v>
      </c>
      <c r="H245" t="s">
        <v>200</v>
      </c>
      <c r="I245" t="s">
        <v>58</v>
      </c>
      <c r="J245" t="s">
        <v>2</v>
      </c>
      <c r="K245">
        <v>1</v>
      </c>
      <c r="L245">
        <v>0</v>
      </c>
      <c r="M245" t="s">
        <v>6</v>
      </c>
      <c r="N245" s="141">
        <v>45122.343842592592</v>
      </c>
      <c r="O245" t="s">
        <v>49</v>
      </c>
      <c r="P245" t="s">
        <v>603</v>
      </c>
      <c r="Q245" t="s">
        <v>677</v>
      </c>
    </row>
    <row r="246" spans="1:17" x14ac:dyDescent="0.25">
      <c r="A246">
        <v>26</v>
      </c>
      <c r="B246" s="140">
        <v>44989</v>
      </c>
      <c r="C246" s="141">
        <v>44989.416666666664</v>
      </c>
      <c r="D246" s="141">
        <v>44989.625</v>
      </c>
      <c r="E246" s="141">
        <v>44989.666666666664</v>
      </c>
      <c r="F246" s="141">
        <v>44989.708333333336</v>
      </c>
      <c r="G246" s="141">
        <v>44989.75</v>
      </c>
      <c r="H246" t="s">
        <v>416</v>
      </c>
      <c r="I246" t="s">
        <v>151</v>
      </c>
      <c r="J246" t="s">
        <v>4</v>
      </c>
      <c r="K246">
        <v>4</v>
      </c>
      <c r="L246">
        <v>0</v>
      </c>
      <c r="M246" t="s">
        <v>15</v>
      </c>
      <c r="N246" s="141">
        <v>45122.343842592592</v>
      </c>
      <c r="O246" t="s">
        <v>49</v>
      </c>
      <c r="P246" t="s">
        <v>603</v>
      </c>
      <c r="Q246" t="s">
        <v>677</v>
      </c>
    </row>
    <row r="247" spans="1:17" x14ac:dyDescent="0.25">
      <c r="A247">
        <v>26</v>
      </c>
      <c r="B247" s="140">
        <v>44989</v>
      </c>
      <c r="C247" s="141">
        <v>44989.416666666664</v>
      </c>
      <c r="D247" s="141">
        <v>44989.625</v>
      </c>
      <c r="E247" s="141">
        <v>44989.666666666664</v>
      </c>
      <c r="F247" s="141">
        <v>44989.708333333336</v>
      </c>
      <c r="G247" s="141">
        <v>44989.75</v>
      </c>
      <c r="H247" t="s">
        <v>291</v>
      </c>
      <c r="I247" t="s">
        <v>62</v>
      </c>
      <c r="J247" t="s">
        <v>5</v>
      </c>
      <c r="K247">
        <v>1</v>
      </c>
      <c r="L247">
        <v>0</v>
      </c>
      <c r="M247" t="s">
        <v>139</v>
      </c>
      <c r="N247" s="141">
        <v>45122.343842592592</v>
      </c>
      <c r="O247" t="s">
        <v>49</v>
      </c>
      <c r="P247" t="s">
        <v>603</v>
      </c>
      <c r="Q247" t="s">
        <v>677</v>
      </c>
    </row>
    <row r="248" spans="1:17" x14ac:dyDescent="0.25">
      <c r="A248">
        <v>26</v>
      </c>
      <c r="B248" s="140">
        <v>44989</v>
      </c>
      <c r="C248" s="141">
        <v>44989.416666666664</v>
      </c>
      <c r="D248" s="141">
        <v>44989.625</v>
      </c>
      <c r="E248" s="141">
        <v>44989.666666666664</v>
      </c>
      <c r="F248" s="141">
        <v>44989.708333333336</v>
      </c>
      <c r="G248" s="141">
        <v>44989.75</v>
      </c>
      <c r="H248" t="s">
        <v>211</v>
      </c>
      <c r="I248" t="s">
        <v>63</v>
      </c>
      <c r="J248" t="s">
        <v>16</v>
      </c>
      <c r="K248">
        <v>1</v>
      </c>
      <c r="L248">
        <v>0</v>
      </c>
      <c r="M248" t="s">
        <v>14</v>
      </c>
      <c r="N248" s="141">
        <v>45122.343842592592</v>
      </c>
      <c r="O248" t="s">
        <v>49</v>
      </c>
      <c r="P248" t="s">
        <v>603</v>
      </c>
      <c r="Q248" t="s">
        <v>677</v>
      </c>
    </row>
    <row r="249" spans="1:17" x14ac:dyDescent="0.25">
      <c r="A249">
        <v>26</v>
      </c>
      <c r="B249" s="140">
        <v>44989</v>
      </c>
      <c r="C249" s="141">
        <v>44989.520833333336</v>
      </c>
      <c r="D249" s="141">
        <v>44989.729166666664</v>
      </c>
      <c r="E249" s="141">
        <v>44989.770833333336</v>
      </c>
      <c r="F249" s="141">
        <v>44989.8125</v>
      </c>
      <c r="G249" s="141">
        <v>44989.854166666664</v>
      </c>
      <c r="H249" t="s">
        <v>282</v>
      </c>
      <c r="I249" t="s">
        <v>60</v>
      </c>
      <c r="J249" t="s">
        <v>13</v>
      </c>
      <c r="K249">
        <v>1</v>
      </c>
      <c r="L249">
        <v>0</v>
      </c>
      <c r="M249" t="s">
        <v>8</v>
      </c>
      <c r="N249" s="141">
        <v>45122.343842592592</v>
      </c>
      <c r="O249" t="s">
        <v>49</v>
      </c>
      <c r="P249" t="s">
        <v>603</v>
      </c>
      <c r="Q249" t="s">
        <v>677</v>
      </c>
    </row>
    <row r="250" spans="1:17" x14ac:dyDescent="0.25">
      <c r="A250">
        <v>26</v>
      </c>
      <c r="B250" s="140">
        <v>44990</v>
      </c>
      <c r="C250" s="141">
        <v>44990.375</v>
      </c>
      <c r="D250" s="141">
        <v>44990.583333333336</v>
      </c>
      <c r="E250" s="141">
        <v>44990.625</v>
      </c>
      <c r="F250" s="141">
        <v>44990.666666666664</v>
      </c>
      <c r="G250" s="141">
        <v>44990.708333333336</v>
      </c>
      <c r="H250" t="s">
        <v>504</v>
      </c>
      <c r="I250" t="s">
        <v>436</v>
      </c>
      <c r="J250" t="s">
        <v>204</v>
      </c>
      <c r="K250">
        <v>2</v>
      </c>
      <c r="L250">
        <v>2</v>
      </c>
      <c r="M250" t="s">
        <v>7</v>
      </c>
      <c r="N250" s="141">
        <v>45122.343842592592</v>
      </c>
      <c r="O250" t="s">
        <v>49</v>
      </c>
      <c r="P250" t="s">
        <v>603</v>
      </c>
      <c r="Q250" t="s">
        <v>677</v>
      </c>
    </row>
    <row r="251" spans="1:17" x14ac:dyDescent="0.25">
      <c r="A251">
        <v>26</v>
      </c>
      <c r="B251" s="140">
        <v>44990</v>
      </c>
      <c r="C251" s="141">
        <v>44990.479166666664</v>
      </c>
      <c r="D251" s="141">
        <v>44990.6875</v>
      </c>
      <c r="E251" s="141">
        <v>44990.729166666664</v>
      </c>
      <c r="F251" s="141">
        <v>44990.770833333336</v>
      </c>
      <c r="G251" s="141">
        <v>44990.8125</v>
      </c>
      <c r="H251" t="s">
        <v>372</v>
      </c>
      <c r="I251" t="s">
        <v>48</v>
      </c>
      <c r="J251" t="s">
        <v>9</v>
      </c>
      <c r="K251">
        <v>7</v>
      </c>
      <c r="L251">
        <v>0</v>
      </c>
      <c r="M251" t="s">
        <v>11</v>
      </c>
      <c r="N251" s="141">
        <v>45122.343842592592</v>
      </c>
      <c r="O251" t="s">
        <v>49</v>
      </c>
      <c r="P251" t="s">
        <v>603</v>
      </c>
      <c r="Q251" t="s">
        <v>677</v>
      </c>
    </row>
    <row r="252" spans="1:17" x14ac:dyDescent="0.25">
      <c r="A252">
        <v>26</v>
      </c>
      <c r="B252" s="140">
        <v>44991</v>
      </c>
      <c r="C252" s="141">
        <v>44991.625</v>
      </c>
      <c r="D252" s="141">
        <v>44991.833333333336</v>
      </c>
      <c r="E252" s="141">
        <v>44991.875</v>
      </c>
      <c r="F252" s="141">
        <v>44991.916666666664</v>
      </c>
      <c r="G252" s="141">
        <v>44991.958333333336</v>
      </c>
      <c r="H252" t="s">
        <v>503</v>
      </c>
      <c r="I252" t="s">
        <v>593</v>
      </c>
      <c r="J252" t="s">
        <v>125</v>
      </c>
      <c r="K252">
        <v>3</v>
      </c>
      <c r="L252">
        <v>2</v>
      </c>
      <c r="M252" t="s">
        <v>126</v>
      </c>
      <c r="N252" s="141">
        <v>45122.343842592592</v>
      </c>
      <c r="O252" t="s">
        <v>49</v>
      </c>
      <c r="P252" t="s">
        <v>603</v>
      </c>
      <c r="Q252" t="s">
        <v>677</v>
      </c>
    </row>
    <row r="253" spans="1:17" x14ac:dyDescent="0.25">
      <c r="A253">
        <v>27</v>
      </c>
      <c r="B253" s="140">
        <v>44996</v>
      </c>
      <c r="C253" s="141">
        <v>44996.3125</v>
      </c>
      <c r="D253" s="141">
        <v>44996.520833333336</v>
      </c>
      <c r="E253" s="141">
        <v>44996.5625</v>
      </c>
      <c r="F253" s="141">
        <v>44996.604166666664</v>
      </c>
      <c r="G253" s="141">
        <v>44996.645833333336</v>
      </c>
      <c r="H253" t="s">
        <v>505</v>
      </c>
      <c r="I253" t="s">
        <v>51</v>
      </c>
      <c r="J253" t="s">
        <v>3</v>
      </c>
      <c r="K253">
        <v>1</v>
      </c>
      <c r="L253">
        <v>0</v>
      </c>
      <c r="M253" t="s">
        <v>9</v>
      </c>
      <c r="N253" s="141">
        <v>45122.343842592592</v>
      </c>
      <c r="O253" t="s">
        <v>49</v>
      </c>
      <c r="P253" t="s">
        <v>603</v>
      </c>
      <c r="Q253" t="s">
        <v>677</v>
      </c>
    </row>
    <row r="254" spans="1:17" x14ac:dyDescent="0.25">
      <c r="A254">
        <v>27</v>
      </c>
      <c r="B254" s="140">
        <v>44996</v>
      </c>
      <c r="C254" s="141">
        <v>44996.416666666664</v>
      </c>
      <c r="D254" s="141">
        <v>44996.625</v>
      </c>
      <c r="E254" s="141">
        <v>44996.666666666664</v>
      </c>
      <c r="F254" s="141">
        <v>44996.708333333336</v>
      </c>
      <c r="G254" s="141">
        <v>44996.75</v>
      </c>
      <c r="H254" t="s">
        <v>201</v>
      </c>
      <c r="I254" t="s">
        <v>59</v>
      </c>
      <c r="J254" t="s">
        <v>7</v>
      </c>
      <c r="K254">
        <v>1</v>
      </c>
      <c r="L254">
        <v>0</v>
      </c>
      <c r="M254" t="s">
        <v>125</v>
      </c>
      <c r="N254" s="141">
        <v>45122.343842592592</v>
      </c>
      <c r="O254" t="s">
        <v>49</v>
      </c>
      <c r="P254" t="s">
        <v>603</v>
      </c>
      <c r="Q254" t="s">
        <v>677</v>
      </c>
    </row>
    <row r="255" spans="1:17" x14ac:dyDescent="0.25">
      <c r="A255">
        <v>27</v>
      </c>
      <c r="B255" s="140">
        <v>44996</v>
      </c>
      <c r="C255" s="141">
        <v>44996.416666666664</v>
      </c>
      <c r="D255" s="141">
        <v>44996.625</v>
      </c>
      <c r="E255" s="141">
        <v>44996.666666666664</v>
      </c>
      <c r="F255" s="141">
        <v>44996.708333333336</v>
      </c>
      <c r="G255" s="141">
        <v>44996.75</v>
      </c>
      <c r="H255" t="s">
        <v>411</v>
      </c>
      <c r="I255" t="s">
        <v>140</v>
      </c>
      <c r="J255" t="s">
        <v>139</v>
      </c>
      <c r="K255">
        <v>2</v>
      </c>
      <c r="L255">
        <v>2</v>
      </c>
      <c r="M255" t="s">
        <v>4</v>
      </c>
      <c r="N255" s="141">
        <v>45122.343842592592</v>
      </c>
      <c r="O255" t="s">
        <v>49</v>
      </c>
      <c r="P255" t="s">
        <v>603</v>
      </c>
      <c r="Q255" t="s">
        <v>677</v>
      </c>
    </row>
    <row r="256" spans="1:17" x14ac:dyDescent="0.25">
      <c r="A256">
        <v>27</v>
      </c>
      <c r="B256" s="140">
        <v>44996</v>
      </c>
      <c r="C256" s="141">
        <v>44996.416666666664</v>
      </c>
      <c r="D256" s="141">
        <v>44996.625</v>
      </c>
      <c r="E256" s="141">
        <v>44996.666666666664</v>
      </c>
      <c r="F256" s="141">
        <v>44996.708333333336</v>
      </c>
      <c r="G256" s="141">
        <v>44996.75</v>
      </c>
      <c r="H256" t="s">
        <v>269</v>
      </c>
      <c r="I256" t="s">
        <v>54</v>
      </c>
      <c r="J256" t="s">
        <v>8</v>
      </c>
      <c r="K256">
        <v>1</v>
      </c>
      <c r="L256">
        <v>3</v>
      </c>
      <c r="M256" t="s">
        <v>5</v>
      </c>
      <c r="N256" s="141">
        <v>45122.343842592592</v>
      </c>
      <c r="O256" t="s">
        <v>49</v>
      </c>
      <c r="P256" t="s">
        <v>603</v>
      </c>
      <c r="Q256" t="s">
        <v>677</v>
      </c>
    </row>
    <row r="257" spans="1:17" x14ac:dyDescent="0.25">
      <c r="A257">
        <v>27</v>
      </c>
      <c r="B257" s="140">
        <v>44996</v>
      </c>
      <c r="C257" s="141">
        <v>44996.416666666664</v>
      </c>
      <c r="D257" s="141">
        <v>44996.625</v>
      </c>
      <c r="E257" s="141">
        <v>44996.666666666664</v>
      </c>
      <c r="F257" s="141">
        <v>44996.708333333336</v>
      </c>
      <c r="G257" s="141">
        <v>44996.75</v>
      </c>
      <c r="H257" t="s">
        <v>507</v>
      </c>
      <c r="I257" t="s">
        <v>53</v>
      </c>
      <c r="J257" t="s">
        <v>14</v>
      </c>
      <c r="K257">
        <v>3</v>
      </c>
      <c r="L257">
        <v>1</v>
      </c>
      <c r="M257" t="s">
        <v>204</v>
      </c>
      <c r="N257" s="141">
        <v>45122.343842592592</v>
      </c>
      <c r="O257" t="s">
        <v>49</v>
      </c>
      <c r="P257" t="s">
        <v>603</v>
      </c>
      <c r="Q257" t="s">
        <v>677</v>
      </c>
    </row>
    <row r="258" spans="1:17" x14ac:dyDescent="0.25">
      <c r="A258">
        <v>27</v>
      </c>
      <c r="B258" s="140">
        <v>44996</v>
      </c>
      <c r="C258" s="141">
        <v>44996.520833333336</v>
      </c>
      <c r="D258" s="141">
        <v>44996.729166666664</v>
      </c>
      <c r="E258" s="141">
        <v>44996.770833333336</v>
      </c>
      <c r="F258" s="141">
        <v>44996.8125</v>
      </c>
      <c r="G258" s="141">
        <v>44996.854166666664</v>
      </c>
      <c r="H258" t="s">
        <v>367</v>
      </c>
      <c r="I258" t="s">
        <v>52</v>
      </c>
      <c r="J258" t="s">
        <v>6</v>
      </c>
      <c r="K258">
        <v>0</v>
      </c>
      <c r="L258">
        <v>1</v>
      </c>
      <c r="M258" t="s">
        <v>10</v>
      </c>
      <c r="N258" s="141">
        <v>45122.343842592592</v>
      </c>
      <c r="O258" t="s">
        <v>49</v>
      </c>
      <c r="P258" t="s">
        <v>603</v>
      </c>
      <c r="Q258" t="s">
        <v>677</v>
      </c>
    </row>
    <row r="259" spans="1:17" x14ac:dyDescent="0.25">
      <c r="A259">
        <v>27</v>
      </c>
      <c r="B259" s="140">
        <v>44997</v>
      </c>
      <c r="C259" s="141">
        <v>44997.416666666664</v>
      </c>
      <c r="D259" s="141">
        <v>44997.583333333336</v>
      </c>
      <c r="E259" s="141">
        <v>44997.625</v>
      </c>
      <c r="F259" s="141">
        <v>44997.666666666664</v>
      </c>
      <c r="G259" s="141">
        <v>44997.708333333336</v>
      </c>
      <c r="H259" t="s">
        <v>506</v>
      </c>
      <c r="I259" t="s">
        <v>431</v>
      </c>
      <c r="J259" t="s">
        <v>126</v>
      </c>
      <c r="K259">
        <v>0</v>
      </c>
      <c r="L259">
        <v>3</v>
      </c>
      <c r="M259" t="s">
        <v>1</v>
      </c>
      <c r="N259" s="141">
        <v>45122.343842592592</v>
      </c>
      <c r="O259" t="s">
        <v>49</v>
      </c>
      <c r="P259" t="s">
        <v>603</v>
      </c>
      <c r="Q259" t="s">
        <v>677</v>
      </c>
    </row>
    <row r="260" spans="1:17" x14ac:dyDescent="0.25">
      <c r="A260">
        <v>27</v>
      </c>
      <c r="B260" s="140">
        <v>44997</v>
      </c>
      <c r="C260" s="141">
        <v>44997.416666666664</v>
      </c>
      <c r="D260" s="141">
        <v>44997.583333333336</v>
      </c>
      <c r="E260" s="141">
        <v>44997.625</v>
      </c>
      <c r="F260" s="141">
        <v>44997.666666666664</v>
      </c>
      <c r="G260" s="141">
        <v>44997.708333333336</v>
      </c>
      <c r="H260" t="s">
        <v>345</v>
      </c>
      <c r="I260" t="s">
        <v>56</v>
      </c>
      <c r="J260" t="s">
        <v>11</v>
      </c>
      <c r="K260">
        <v>0</v>
      </c>
      <c r="L260">
        <v>0</v>
      </c>
      <c r="M260" t="s">
        <v>13</v>
      </c>
      <c r="N260" s="141">
        <v>45122.343842592592</v>
      </c>
      <c r="O260" t="s">
        <v>49</v>
      </c>
      <c r="P260" t="s">
        <v>603</v>
      </c>
      <c r="Q260" t="s">
        <v>677</v>
      </c>
    </row>
    <row r="261" spans="1:17" x14ac:dyDescent="0.25">
      <c r="A261">
        <v>27</v>
      </c>
      <c r="B261" s="140">
        <v>44997</v>
      </c>
      <c r="C261" s="141">
        <v>44997.416666666664</v>
      </c>
      <c r="D261" s="141">
        <v>44997.583333333336</v>
      </c>
      <c r="E261" s="141">
        <v>44997.625</v>
      </c>
      <c r="F261" s="141">
        <v>44997.666666666664</v>
      </c>
      <c r="G261" s="141">
        <v>44997.708333333336</v>
      </c>
      <c r="H261" t="s">
        <v>370</v>
      </c>
      <c r="I261" t="s">
        <v>50</v>
      </c>
      <c r="J261" t="s">
        <v>15</v>
      </c>
      <c r="K261">
        <v>1</v>
      </c>
      <c r="L261">
        <v>1</v>
      </c>
      <c r="M261" t="s">
        <v>2</v>
      </c>
      <c r="N261" s="141">
        <v>45122.343842592592</v>
      </c>
      <c r="O261" t="s">
        <v>49</v>
      </c>
      <c r="P261" t="s">
        <v>603</v>
      </c>
      <c r="Q261" t="s">
        <v>677</v>
      </c>
    </row>
    <row r="262" spans="1:17" x14ac:dyDescent="0.25">
      <c r="A262">
        <v>27</v>
      </c>
      <c r="B262" s="140">
        <v>44997</v>
      </c>
      <c r="C262" s="141">
        <v>44997.520833333336</v>
      </c>
      <c r="D262" s="141">
        <v>44997.6875</v>
      </c>
      <c r="E262" s="141">
        <v>44997.729166666664</v>
      </c>
      <c r="F262" s="141">
        <v>44997.770833333336</v>
      </c>
      <c r="G262" s="141">
        <v>44997.8125</v>
      </c>
      <c r="H262" t="s">
        <v>388</v>
      </c>
      <c r="I262" t="s">
        <v>55</v>
      </c>
      <c r="J262" t="s">
        <v>12</v>
      </c>
      <c r="K262">
        <v>2</v>
      </c>
      <c r="L262">
        <v>1</v>
      </c>
      <c r="M262" t="s">
        <v>16</v>
      </c>
      <c r="N262" s="141">
        <v>45122.343842592592</v>
      </c>
      <c r="O262" t="s">
        <v>49</v>
      </c>
      <c r="P262" t="s">
        <v>603</v>
      </c>
      <c r="Q262" t="s">
        <v>677</v>
      </c>
    </row>
    <row r="263" spans="1:17" x14ac:dyDescent="0.25">
      <c r="A263">
        <v>8</v>
      </c>
      <c r="B263" s="140">
        <v>45000</v>
      </c>
      <c r="C263" s="141">
        <v>45000.645833333336</v>
      </c>
      <c r="D263" s="141">
        <v>45000.8125</v>
      </c>
      <c r="E263" s="141">
        <v>45000.854166666664</v>
      </c>
      <c r="F263" s="141">
        <v>45000.895833333336</v>
      </c>
      <c r="G263" s="141">
        <v>45000.9375</v>
      </c>
      <c r="H263" t="s">
        <v>325</v>
      </c>
      <c r="I263" t="s">
        <v>151</v>
      </c>
      <c r="J263" t="s">
        <v>4</v>
      </c>
      <c r="K263">
        <v>1</v>
      </c>
      <c r="L263">
        <v>0</v>
      </c>
      <c r="M263" t="s">
        <v>6</v>
      </c>
      <c r="N263" s="141">
        <v>45122.343842592592</v>
      </c>
      <c r="O263" t="s">
        <v>49</v>
      </c>
      <c r="P263" t="s">
        <v>603</v>
      </c>
      <c r="Q263" t="s">
        <v>677</v>
      </c>
    </row>
    <row r="264" spans="1:17" x14ac:dyDescent="0.25">
      <c r="A264">
        <v>7</v>
      </c>
      <c r="B264" s="140">
        <v>45000</v>
      </c>
      <c r="C264" s="141">
        <v>45000.645833333336</v>
      </c>
      <c r="D264" s="141">
        <v>45000.8125</v>
      </c>
      <c r="E264" s="141">
        <v>45000.854166666664</v>
      </c>
      <c r="F264" s="141">
        <v>45000.895833333336</v>
      </c>
      <c r="G264" s="141">
        <v>45000.9375</v>
      </c>
      <c r="H264" t="s">
        <v>175</v>
      </c>
      <c r="I264" t="s">
        <v>60</v>
      </c>
      <c r="J264" t="s">
        <v>13</v>
      </c>
      <c r="K264">
        <v>0</v>
      </c>
      <c r="L264">
        <v>2</v>
      </c>
      <c r="M264" t="s">
        <v>125</v>
      </c>
      <c r="N264" s="141">
        <v>45122.343842592592</v>
      </c>
      <c r="O264" t="s">
        <v>49</v>
      </c>
      <c r="P264" t="s">
        <v>603</v>
      </c>
      <c r="Q264" t="s">
        <v>677</v>
      </c>
    </row>
    <row r="265" spans="1:17" x14ac:dyDescent="0.25">
      <c r="A265">
        <v>28</v>
      </c>
      <c r="B265" s="140">
        <v>45002</v>
      </c>
      <c r="C265" s="141">
        <v>45002.666666666664</v>
      </c>
      <c r="D265" s="141">
        <v>45002.833333333336</v>
      </c>
      <c r="E265" s="141">
        <v>45002.875</v>
      </c>
      <c r="F265" s="141">
        <v>45002.916666666664</v>
      </c>
      <c r="G265" s="141">
        <v>45002.958333333336</v>
      </c>
      <c r="H265" t="s">
        <v>510</v>
      </c>
      <c r="I265" t="s">
        <v>436</v>
      </c>
      <c r="J265" t="s">
        <v>204</v>
      </c>
      <c r="K265">
        <v>1</v>
      </c>
      <c r="L265">
        <v>2</v>
      </c>
      <c r="M265" t="s">
        <v>12</v>
      </c>
      <c r="N265" s="141">
        <v>45122.343842592592</v>
      </c>
      <c r="O265" t="s">
        <v>49</v>
      </c>
      <c r="P265" t="s">
        <v>603</v>
      </c>
      <c r="Q265" t="s">
        <v>677</v>
      </c>
    </row>
    <row r="266" spans="1:17" x14ac:dyDescent="0.25">
      <c r="A266">
        <v>28</v>
      </c>
      <c r="B266" s="140">
        <v>45003</v>
      </c>
      <c r="C266" s="141">
        <v>45003.458333333336</v>
      </c>
      <c r="D266" s="141">
        <v>45003.625</v>
      </c>
      <c r="E266" s="141">
        <v>45003.666666666664</v>
      </c>
      <c r="F266" s="141">
        <v>45003.708333333336</v>
      </c>
      <c r="G266" s="141">
        <v>45003.75</v>
      </c>
      <c r="H266" t="s">
        <v>508</v>
      </c>
      <c r="I266" t="s">
        <v>58</v>
      </c>
      <c r="J266" t="s">
        <v>2</v>
      </c>
      <c r="K266">
        <v>3</v>
      </c>
      <c r="L266">
        <v>0</v>
      </c>
      <c r="M266" t="s">
        <v>3</v>
      </c>
      <c r="N266" s="141">
        <v>45122.343842592592</v>
      </c>
      <c r="O266" t="s">
        <v>49</v>
      </c>
      <c r="P266" t="s">
        <v>603</v>
      </c>
      <c r="Q266" t="s">
        <v>677</v>
      </c>
    </row>
    <row r="267" spans="1:17" x14ac:dyDescent="0.25">
      <c r="A267">
        <v>28</v>
      </c>
      <c r="B267" s="140">
        <v>45003</v>
      </c>
      <c r="C267" s="141">
        <v>45003.458333333336</v>
      </c>
      <c r="D267" s="141">
        <v>45003.625</v>
      </c>
      <c r="E267" s="141">
        <v>45003.666666666664</v>
      </c>
      <c r="F267" s="141">
        <v>45003.708333333336</v>
      </c>
      <c r="G267" s="141">
        <v>45003.75</v>
      </c>
      <c r="H267" t="s">
        <v>249</v>
      </c>
      <c r="I267" t="s">
        <v>593</v>
      </c>
      <c r="J267" t="s">
        <v>125</v>
      </c>
      <c r="K267">
        <v>1</v>
      </c>
      <c r="L267">
        <v>1</v>
      </c>
      <c r="M267" t="s">
        <v>8</v>
      </c>
      <c r="N267" s="141">
        <v>45122.343842592592</v>
      </c>
      <c r="O267" t="s">
        <v>49</v>
      </c>
      <c r="P267" t="s">
        <v>603</v>
      </c>
      <c r="Q267" t="s">
        <v>677</v>
      </c>
    </row>
    <row r="268" spans="1:17" x14ac:dyDescent="0.25">
      <c r="A268">
        <v>28</v>
      </c>
      <c r="B268" s="140">
        <v>45003</v>
      </c>
      <c r="C268" s="141">
        <v>45003.458333333336</v>
      </c>
      <c r="D268" s="141">
        <v>45003.625</v>
      </c>
      <c r="E268" s="141">
        <v>45003.666666666664</v>
      </c>
      <c r="F268" s="141">
        <v>45003.708333333336</v>
      </c>
      <c r="G268" s="141">
        <v>45003.75</v>
      </c>
      <c r="H268" t="s">
        <v>318</v>
      </c>
      <c r="I268" t="s">
        <v>60</v>
      </c>
      <c r="J268" t="s">
        <v>13</v>
      </c>
      <c r="K268">
        <v>3</v>
      </c>
      <c r="L268">
        <v>3</v>
      </c>
      <c r="M268" t="s">
        <v>14</v>
      </c>
      <c r="N268" s="141">
        <v>45122.343842592592</v>
      </c>
      <c r="O268" t="s">
        <v>49</v>
      </c>
      <c r="P268" t="s">
        <v>603</v>
      </c>
      <c r="Q268" t="s">
        <v>677</v>
      </c>
    </row>
    <row r="269" spans="1:17" x14ac:dyDescent="0.25">
      <c r="A269">
        <v>28</v>
      </c>
      <c r="B269" s="140">
        <v>45003</v>
      </c>
      <c r="C269" s="141">
        <v>45003.458333333336</v>
      </c>
      <c r="D269" s="141">
        <v>45003.625</v>
      </c>
      <c r="E269" s="141">
        <v>45003.666666666664</v>
      </c>
      <c r="F269" s="141">
        <v>45003.708333333336</v>
      </c>
      <c r="G269" s="141">
        <v>45003.75</v>
      </c>
      <c r="H269" t="s">
        <v>376</v>
      </c>
      <c r="I269" t="s">
        <v>63</v>
      </c>
      <c r="J269" t="s">
        <v>16</v>
      </c>
      <c r="K269">
        <v>2</v>
      </c>
      <c r="L269">
        <v>4</v>
      </c>
      <c r="M269" t="s">
        <v>139</v>
      </c>
      <c r="N269" s="141">
        <v>45122.343842592592</v>
      </c>
      <c r="O269" t="s">
        <v>49</v>
      </c>
      <c r="P269" t="s">
        <v>603</v>
      </c>
      <c r="Q269" t="s">
        <v>677</v>
      </c>
    </row>
    <row r="270" spans="1:17" x14ac:dyDescent="0.25">
      <c r="A270">
        <v>28</v>
      </c>
      <c r="B270" s="140">
        <v>45003</v>
      </c>
      <c r="C270" s="141">
        <v>45003.5625</v>
      </c>
      <c r="D270" s="141">
        <v>45003.729166666664</v>
      </c>
      <c r="E270" s="141">
        <v>45003.770833333336</v>
      </c>
      <c r="F270" s="141">
        <v>45003.8125</v>
      </c>
      <c r="G270" s="141">
        <v>45003.854166666664</v>
      </c>
      <c r="H270" t="s">
        <v>174</v>
      </c>
      <c r="I270" t="s">
        <v>62</v>
      </c>
      <c r="J270" t="s">
        <v>5</v>
      </c>
      <c r="K270">
        <v>2</v>
      </c>
      <c r="L270">
        <v>2</v>
      </c>
      <c r="M270" t="s">
        <v>7</v>
      </c>
      <c r="N270" s="141">
        <v>45122.343842592592</v>
      </c>
      <c r="O270" t="s">
        <v>49</v>
      </c>
      <c r="P270" t="s">
        <v>603</v>
      </c>
      <c r="Q270" t="s">
        <v>677</v>
      </c>
    </row>
    <row r="271" spans="1:17" x14ac:dyDescent="0.25">
      <c r="A271">
        <v>28</v>
      </c>
      <c r="B271" s="140">
        <v>45004</v>
      </c>
      <c r="C271" s="141">
        <v>45004.416666666664</v>
      </c>
      <c r="D271" s="141">
        <v>45004.583333333336</v>
      </c>
      <c r="E271" s="141">
        <v>45004.625</v>
      </c>
      <c r="F271" s="141">
        <v>45004.666666666664</v>
      </c>
      <c r="G271" s="141">
        <v>45004.708333333336</v>
      </c>
      <c r="H271" t="s">
        <v>160</v>
      </c>
      <c r="I271" t="s">
        <v>57</v>
      </c>
      <c r="J271" t="s">
        <v>1</v>
      </c>
      <c r="K271">
        <v>4</v>
      </c>
      <c r="L271">
        <v>1</v>
      </c>
      <c r="M271" t="s">
        <v>6</v>
      </c>
      <c r="N271" s="141">
        <v>45122.343842592592</v>
      </c>
      <c r="O271" t="s">
        <v>49</v>
      </c>
      <c r="P271" t="s">
        <v>603</v>
      </c>
      <c r="Q271" t="s">
        <v>677</v>
      </c>
    </row>
    <row r="272" spans="1:17" x14ac:dyDescent="0.25">
      <c r="A272">
        <v>29</v>
      </c>
      <c r="B272" s="140">
        <v>45017</v>
      </c>
      <c r="C272" s="141">
        <v>45017.3125</v>
      </c>
      <c r="D272" s="141">
        <v>45017.520833333336</v>
      </c>
      <c r="E272" s="141">
        <v>45017.5625</v>
      </c>
      <c r="F272" s="141">
        <v>45017.604166666664</v>
      </c>
      <c r="G272" s="141">
        <v>45017.604166666664</v>
      </c>
      <c r="H272" t="s">
        <v>387</v>
      </c>
      <c r="I272" t="s">
        <v>61</v>
      </c>
      <c r="J272" t="s">
        <v>10</v>
      </c>
      <c r="K272">
        <v>4</v>
      </c>
      <c r="L272">
        <v>1</v>
      </c>
      <c r="M272" t="s">
        <v>9</v>
      </c>
      <c r="N272" s="141">
        <v>45122.343842592592</v>
      </c>
      <c r="O272" t="s">
        <v>49</v>
      </c>
      <c r="P272" t="s">
        <v>603</v>
      </c>
      <c r="Q272" t="s">
        <v>677</v>
      </c>
    </row>
    <row r="273" spans="1:17" x14ac:dyDescent="0.25">
      <c r="A273">
        <v>29</v>
      </c>
      <c r="B273" s="140">
        <v>45017</v>
      </c>
      <c r="C273" s="141">
        <v>45017.416666666664</v>
      </c>
      <c r="D273" s="141">
        <v>45017.625</v>
      </c>
      <c r="E273" s="141">
        <v>45017.666666666664</v>
      </c>
      <c r="F273" s="141">
        <v>45017.708333333336</v>
      </c>
      <c r="G273" s="141">
        <v>45017.708333333336</v>
      </c>
      <c r="H273" t="s">
        <v>405</v>
      </c>
      <c r="I273" t="s">
        <v>57</v>
      </c>
      <c r="J273" t="s">
        <v>1</v>
      </c>
      <c r="K273">
        <v>4</v>
      </c>
      <c r="L273">
        <v>1</v>
      </c>
      <c r="M273" t="s">
        <v>139</v>
      </c>
      <c r="N273" s="141">
        <v>45122.343842592592</v>
      </c>
      <c r="O273" t="s">
        <v>49</v>
      </c>
      <c r="P273" t="s">
        <v>603</v>
      </c>
      <c r="Q273" t="s">
        <v>677</v>
      </c>
    </row>
    <row r="274" spans="1:17" x14ac:dyDescent="0.25">
      <c r="A274">
        <v>29</v>
      </c>
      <c r="B274" s="140">
        <v>45017</v>
      </c>
      <c r="C274" s="141">
        <v>45017.416666666664</v>
      </c>
      <c r="D274" s="141">
        <v>45017.625</v>
      </c>
      <c r="E274" s="141">
        <v>45017.666666666664</v>
      </c>
      <c r="F274" s="141">
        <v>45017.708333333336</v>
      </c>
      <c r="G274" s="141">
        <v>45017.708333333336</v>
      </c>
      <c r="H274" t="s">
        <v>511</v>
      </c>
      <c r="I274" t="s">
        <v>51</v>
      </c>
      <c r="J274" t="s">
        <v>3</v>
      </c>
      <c r="K274">
        <v>2</v>
      </c>
      <c r="L274">
        <v>1</v>
      </c>
      <c r="M274" t="s">
        <v>126</v>
      </c>
      <c r="N274" s="141">
        <v>45122.343842592592</v>
      </c>
      <c r="O274" t="s">
        <v>49</v>
      </c>
      <c r="P274" t="s">
        <v>603</v>
      </c>
      <c r="Q274" t="s">
        <v>677</v>
      </c>
    </row>
    <row r="275" spans="1:17" x14ac:dyDescent="0.25">
      <c r="A275">
        <v>29</v>
      </c>
      <c r="B275" s="140">
        <v>45017</v>
      </c>
      <c r="C275" s="141">
        <v>45017.416666666664</v>
      </c>
      <c r="D275" s="141">
        <v>45017.625</v>
      </c>
      <c r="E275" s="141">
        <v>45017.666666666664</v>
      </c>
      <c r="F275" s="141">
        <v>45017.708333333336</v>
      </c>
      <c r="G275" s="141">
        <v>45017.708333333336</v>
      </c>
      <c r="H275" t="s">
        <v>306</v>
      </c>
      <c r="I275" t="s">
        <v>151</v>
      </c>
      <c r="J275" t="s">
        <v>4</v>
      </c>
      <c r="K275">
        <v>3</v>
      </c>
      <c r="L275">
        <v>3</v>
      </c>
      <c r="M275" t="s">
        <v>125</v>
      </c>
      <c r="N275" s="141">
        <v>45122.343842592592</v>
      </c>
      <c r="O275" t="s">
        <v>49</v>
      </c>
      <c r="P275" t="s">
        <v>603</v>
      </c>
      <c r="Q275" t="s">
        <v>677</v>
      </c>
    </row>
    <row r="276" spans="1:17" x14ac:dyDescent="0.25">
      <c r="A276">
        <v>29</v>
      </c>
      <c r="B276" s="140">
        <v>45017</v>
      </c>
      <c r="C276" s="141">
        <v>45017.416666666664</v>
      </c>
      <c r="D276" s="141">
        <v>45017.625</v>
      </c>
      <c r="E276" s="141">
        <v>45017.666666666664</v>
      </c>
      <c r="F276" s="141">
        <v>45017.708333333336</v>
      </c>
      <c r="G276" s="141">
        <v>45017.708333333336</v>
      </c>
      <c r="H276" t="s">
        <v>238</v>
      </c>
      <c r="I276" t="s">
        <v>52</v>
      </c>
      <c r="J276" t="s">
        <v>6</v>
      </c>
      <c r="K276">
        <v>2</v>
      </c>
      <c r="L276">
        <v>1</v>
      </c>
      <c r="M276" t="s">
        <v>8</v>
      </c>
      <c r="N276" s="141">
        <v>45122.343842592592</v>
      </c>
      <c r="O276" t="s">
        <v>49</v>
      </c>
      <c r="P276" t="s">
        <v>603</v>
      </c>
      <c r="Q276" t="s">
        <v>677</v>
      </c>
    </row>
    <row r="277" spans="1:17" x14ac:dyDescent="0.25">
      <c r="A277">
        <v>29</v>
      </c>
      <c r="B277" s="140">
        <v>45017</v>
      </c>
      <c r="C277" s="141">
        <v>45017.416666666664</v>
      </c>
      <c r="D277" s="141">
        <v>45017.625</v>
      </c>
      <c r="E277" s="141">
        <v>45017.666666666664</v>
      </c>
      <c r="F277" s="141">
        <v>45017.708333333336</v>
      </c>
      <c r="G277" s="141">
        <v>45017.708333333336</v>
      </c>
      <c r="H277" t="s">
        <v>512</v>
      </c>
      <c r="I277" t="s">
        <v>436</v>
      </c>
      <c r="J277" t="s">
        <v>204</v>
      </c>
      <c r="K277">
        <v>1</v>
      </c>
      <c r="L277">
        <v>1</v>
      </c>
      <c r="M277" t="s">
        <v>16</v>
      </c>
      <c r="N277" s="141">
        <v>45122.343842592592</v>
      </c>
      <c r="O277" t="s">
        <v>49</v>
      </c>
      <c r="P277" t="s">
        <v>603</v>
      </c>
      <c r="Q277" t="s">
        <v>677</v>
      </c>
    </row>
    <row r="278" spans="1:17" x14ac:dyDescent="0.25">
      <c r="A278">
        <v>29</v>
      </c>
      <c r="B278" s="140">
        <v>45017</v>
      </c>
      <c r="C278" s="141">
        <v>45017.520833333336</v>
      </c>
      <c r="D278" s="141">
        <v>45017.729166666664</v>
      </c>
      <c r="E278" s="141">
        <v>45017.770833333336</v>
      </c>
      <c r="F278" s="141">
        <v>45017.8125</v>
      </c>
      <c r="G278" s="141">
        <v>45017.8125</v>
      </c>
      <c r="H278" t="s">
        <v>155</v>
      </c>
      <c r="I278" t="s">
        <v>62</v>
      </c>
      <c r="J278" t="s">
        <v>5</v>
      </c>
      <c r="K278">
        <v>0</v>
      </c>
      <c r="L278">
        <v>2</v>
      </c>
      <c r="M278" t="s">
        <v>2</v>
      </c>
      <c r="N278" s="141">
        <v>45122.343842592592</v>
      </c>
      <c r="O278" t="s">
        <v>49</v>
      </c>
      <c r="P278" t="s">
        <v>603</v>
      </c>
      <c r="Q278" t="s">
        <v>677</v>
      </c>
    </row>
    <row r="279" spans="1:17" x14ac:dyDescent="0.25">
      <c r="A279">
        <v>29</v>
      </c>
      <c r="B279" s="140">
        <v>45018</v>
      </c>
      <c r="C279" s="141">
        <v>45018.375</v>
      </c>
      <c r="D279" s="141">
        <v>45018.583333333336</v>
      </c>
      <c r="E279" s="141">
        <v>45018.625</v>
      </c>
      <c r="F279" s="141">
        <v>45018.666666666664</v>
      </c>
      <c r="G279" s="141">
        <v>45018.666666666664</v>
      </c>
      <c r="H279" t="s">
        <v>311</v>
      </c>
      <c r="I279" t="s">
        <v>50</v>
      </c>
      <c r="J279" t="s">
        <v>15</v>
      </c>
      <c r="K279">
        <v>1</v>
      </c>
      <c r="L279">
        <v>0</v>
      </c>
      <c r="M279" t="s">
        <v>13</v>
      </c>
      <c r="N279" s="141">
        <v>45122.343842592592</v>
      </c>
      <c r="O279" t="s">
        <v>49</v>
      </c>
      <c r="P279" t="s">
        <v>603</v>
      </c>
      <c r="Q279" t="s">
        <v>677</v>
      </c>
    </row>
    <row r="280" spans="1:17" x14ac:dyDescent="0.25">
      <c r="A280">
        <v>29</v>
      </c>
      <c r="B280" s="140">
        <v>45018</v>
      </c>
      <c r="C280" s="141">
        <v>45018.479166666664</v>
      </c>
      <c r="D280" s="141">
        <v>45018.6875</v>
      </c>
      <c r="E280" s="141">
        <v>45018.729166666664</v>
      </c>
      <c r="F280" s="141">
        <v>45018.770833333336</v>
      </c>
      <c r="G280" s="141">
        <v>45018.770833333336</v>
      </c>
      <c r="H280" t="s">
        <v>309</v>
      </c>
      <c r="I280" t="s">
        <v>55</v>
      </c>
      <c r="J280" t="s">
        <v>12</v>
      </c>
      <c r="K280">
        <v>2</v>
      </c>
      <c r="L280">
        <v>0</v>
      </c>
      <c r="M280" t="s">
        <v>11</v>
      </c>
      <c r="N280" s="141">
        <v>45122.343842592592</v>
      </c>
      <c r="O280" t="s">
        <v>49</v>
      </c>
      <c r="P280" t="s">
        <v>603</v>
      </c>
      <c r="Q280" t="s">
        <v>677</v>
      </c>
    </row>
    <row r="281" spans="1:17" x14ac:dyDescent="0.25">
      <c r="A281">
        <v>29</v>
      </c>
      <c r="B281" s="140">
        <v>45019</v>
      </c>
      <c r="C281" s="141">
        <v>45019.625</v>
      </c>
      <c r="D281" s="141">
        <v>45019.833333333336</v>
      </c>
      <c r="E281" s="141">
        <v>45019.875</v>
      </c>
      <c r="F281" s="141">
        <v>45019.916666666664</v>
      </c>
      <c r="G281" s="141">
        <v>45019.916666666664</v>
      </c>
      <c r="H281" t="s">
        <v>264</v>
      </c>
      <c r="I281" t="s">
        <v>59</v>
      </c>
      <c r="J281" t="s">
        <v>7</v>
      </c>
      <c r="K281">
        <v>1</v>
      </c>
      <c r="L281">
        <v>1</v>
      </c>
      <c r="M281" t="s">
        <v>14</v>
      </c>
      <c r="N281" s="141">
        <v>45122.343842592592</v>
      </c>
      <c r="O281" t="s">
        <v>49</v>
      </c>
      <c r="P281" t="s">
        <v>603</v>
      </c>
      <c r="Q281" t="s">
        <v>677</v>
      </c>
    </row>
    <row r="282" spans="1:17" x14ac:dyDescent="0.25">
      <c r="A282">
        <v>7</v>
      </c>
      <c r="B282" s="140">
        <v>45020</v>
      </c>
      <c r="C282" s="141">
        <v>45020.614583333336</v>
      </c>
      <c r="D282" s="141">
        <v>45020.822916666664</v>
      </c>
      <c r="E282" s="141">
        <v>45020.864583333336</v>
      </c>
      <c r="F282" s="141">
        <v>45020.90625</v>
      </c>
      <c r="G282" s="141">
        <v>45020.90625</v>
      </c>
      <c r="H282" t="s">
        <v>449</v>
      </c>
      <c r="I282" t="s">
        <v>51</v>
      </c>
      <c r="J282" t="s">
        <v>3</v>
      </c>
      <c r="K282">
        <v>0</v>
      </c>
      <c r="L282">
        <v>2</v>
      </c>
      <c r="M282" t="s">
        <v>4</v>
      </c>
      <c r="N282" s="141">
        <v>45122.343842592592</v>
      </c>
      <c r="O282" t="s">
        <v>49</v>
      </c>
      <c r="P282" t="s">
        <v>603</v>
      </c>
      <c r="Q282" t="s">
        <v>677</v>
      </c>
    </row>
    <row r="283" spans="1:17" x14ac:dyDescent="0.25">
      <c r="A283">
        <v>7</v>
      </c>
      <c r="B283" s="140">
        <v>45020</v>
      </c>
      <c r="C283" s="141">
        <v>45020.614583333336</v>
      </c>
      <c r="D283" s="141">
        <v>45020.822916666664</v>
      </c>
      <c r="E283" s="141">
        <v>45020.864583333336</v>
      </c>
      <c r="F283" s="141">
        <v>45020.90625</v>
      </c>
      <c r="G283" s="141">
        <v>45020.90625</v>
      </c>
      <c r="H283" t="s">
        <v>451</v>
      </c>
      <c r="I283" t="s">
        <v>140</v>
      </c>
      <c r="J283" t="s">
        <v>139</v>
      </c>
      <c r="K283">
        <v>2</v>
      </c>
      <c r="L283">
        <v>1</v>
      </c>
      <c r="M283" t="s">
        <v>204</v>
      </c>
      <c r="N283" s="141">
        <v>45122.343842592592</v>
      </c>
      <c r="O283" t="s">
        <v>49</v>
      </c>
      <c r="P283" t="s">
        <v>603</v>
      </c>
      <c r="Q283" t="s">
        <v>677</v>
      </c>
    </row>
    <row r="284" spans="1:17" x14ac:dyDescent="0.25">
      <c r="A284">
        <v>7</v>
      </c>
      <c r="B284" s="140">
        <v>45020</v>
      </c>
      <c r="C284" s="141">
        <v>45020.614583333336</v>
      </c>
      <c r="D284" s="141">
        <v>45020.822916666664</v>
      </c>
      <c r="E284" s="141">
        <v>45020.864583333336</v>
      </c>
      <c r="F284" s="141">
        <v>45020.90625</v>
      </c>
      <c r="G284" s="141">
        <v>45020.90625</v>
      </c>
      <c r="H284" t="s">
        <v>398</v>
      </c>
      <c r="I284" t="s">
        <v>54</v>
      </c>
      <c r="J284" t="s">
        <v>8</v>
      </c>
      <c r="K284">
        <v>1</v>
      </c>
      <c r="L284">
        <v>2</v>
      </c>
      <c r="M284" t="s">
        <v>2</v>
      </c>
      <c r="N284" s="141">
        <v>45122.343842592592</v>
      </c>
      <c r="O284" t="s">
        <v>49</v>
      </c>
      <c r="P284" t="s">
        <v>603</v>
      </c>
      <c r="Q284" t="s">
        <v>677</v>
      </c>
    </row>
    <row r="285" spans="1:17" x14ac:dyDescent="0.25">
      <c r="A285">
        <v>8</v>
      </c>
      <c r="B285" s="140">
        <v>45020</v>
      </c>
      <c r="C285" s="141">
        <v>45020.625</v>
      </c>
      <c r="D285" s="141">
        <v>45020.833333333336</v>
      </c>
      <c r="E285" s="141">
        <v>45020.875</v>
      </c>
      <c r="F285" s="141">
        <v>45020.916666666664</v>
      </c>
      <c r="G285" s="141">
        <v>45020.916666666664</v>
      </c>
      <c r="H285" t="s">
        <v>178</v>
      </c>
      <c r="I285" t="s">
        <v>62</v>
      </c>
      <c r="J285" t="s">
        <v>5</v>
      </c>
      <c r="K285">
        <v>0</v>
      </c>
      <c r="L285">
        <v>0</v>
      </c>
      <c r="M285" t="s">
        <v>9</v>
      </c>
      <c r="N285" s="141">
        <v>45122.343842592592</v>
      </c>
      <c r="O285" t="s">
        <v>49</v>
      </c>
      <c r="P285" t="s">
        <v>603</v>
      </c>
      <c r="Q285" t="s">
        <v>677</v>
      </c>
    </row>
    <row r="286" spans="1:17" x14ac:dyDescent="0.25">
      <c r="A286">
        <v>25</v>
      </c>
      <c r="B286" s="140">
        <v>45021</v>
      </c>
      <c r="C286" s="141">
        <v>45021.625</v>
      </c>
      <c r="D286" s="141">
        <v>45021.833333333336</v>
      </c>
      <c r="E286" s="141">
        <v>45021.875</v>
      </c>
      <c r="F286" s="141">
        <v>45021.916666666664</v>
      </c>
      <c r="G286" s="141">
        <v>45021.916666666664</v>
      </c>
      <c r="H286" t="s">
        <v>400</v>
      </c>
      <c r="I286" t="s">
        <v>56</v>
      </c>
      <c r="J286" t="s">
        <v>11</v>
      </c>
      <c r="K286">
        <v>1</v>
      </c>
      <c r="L286">
        <v>0</v>
      </c>
      <c r="M286" t="s">
        <v>125</v>
      </c>
      <c r="N286" s="141">
        <v>45122.343842592592</v>
      </c>
      <c r="O286" t="s">
        <v>49</v>
      </c>
      <c r="P286" t="s">
        <v>603</v>
      </c>
      <c r="Q286" t="s">
        <v>677</v>
      </c>
    </row>
    <row r="287" spans="1:17" x14ac:dyDescent="0.25">
      <c r="A287">
        <v>7</v>
      </c>
      <c r="B287" s="140">
        <v>45021</v>
      </c>
      <c r="C287" s="141">
        <v>45021.625</v>
      </c>
      <c r="D287" s="141">
        <v>45021.833333333336</v>
      </c>
      <c r="E287" s="141">
        <v>45021.875</v>
      </c>
      <c r="F287" s="141">
        <v>45021.916666666664</v>
      </c>
      <c r="G287" s="141">
        <v>45021.916666666664</v>
      </c>
      <c r="H287" t="s">
        <v>350</v>
      </c>
      <c r="I287" t="s">
        <v>50</v>
      </c>
      <c r="J287" t="s">
        <v>15</v>
      </c>
      <c r="K287">
        <v>1</v>
      </c>
      <c r="L287">
        <v>5</v>
      </c>
      <c r="M287" t="s">
        <v>12</v>
      </c>
      <c r="N287" s="141">
        <v>45122.343842592592</v>
      </c>
      <c r="O287" t="s">
        <v>49</v>
      </c>
      <c r="P287" t="s">
        <v>603</v>
      </c>
      <c r="Q287" t="s">
        <v>677</v>
      </c>
    </row>
    <row r="288" spans="1:17" x14ac:dyDescent="0.25">
      <c r="A288">
        <v>30</v>
      </c>
      <c r="B288" s="140">
        <v>45024</v>
      </c>
      <c r="C288" s="141">
        <v>45024.3125</v>
      </c>
      <c r="D288" s="141">
        <v>45024.520833333336</v>
      </c>
      <c r="E288" s="141">
        <v>45024.5625</v>
      </c>
      <c r="F288" s="141">
        <v>45024.604166666664</v>
      </c>
      <c r="G288" s="141">
        <v>45024.604166666664</v>
      </c>
      <c r="H288" t="s">
        <v>240</v>
      </c>
      <c r="I288" t="s">
        <v>56</v>
      </c>
      <c r="J288" t="s">
        <v>11</v>
      </c>
      <c r="K288">
        <v>2</v>
      </c>
      <c r="L288">
        <v>0</v>
      </c>
      <c r="M288" t="s">
        <v>7</v>
      </c>
      <c r="N288" s="141">
        <v>45122.343842592592</v>
      </c>
      <c r="O288" t="s">
        <v>49</v>
      </c>
      <c r="P288" t="s">
        <v>603</v>
      </c>
      <c r="Q288" t="s">
        <v>677</v>
      </c>
    </row>
    <row r="289" spans="1:17" x14ac:dyDescent="0.25">
      <c r="A289">
        <v>30</v>
      </c>
      <c r="B289" s="140">
        <v>45024</v>
      </c>
      <c r="C289" s="141">
        <v>45024.416666666664</v>
      </c>
      <c r="D289" s="141">
        <v>45024.625</v>
      </c>
      <c r="E289" s="141">
        <v>45024.666666666664</v>
      </c>
      <c r="F289" s="141">
        <v>45024.708333333336</v>
      </c>
      <c r="G289" s="141">
        <v>45024.708333333336</v>
      </c>
      <c r="H289" t="s">
        <v>513</v>
      </c>
      <c r="I289" t="s">
        <v>58</v>
      </c>
      <c r="J289" t="s">
        <v>2</v>
      </c>
      <c r="K289">
        <v>2</v>
      </c>
      <c r="L289">
        <v>0</v>
      </c>
      <c r="M289" t="s">
        <v>204</v>
      </c>
      <c r="N289" s="141">
        <v>45122.343842592592</v>
      </c>
      <c r="O289" t="s">
        <v>49</v>
      </c>
      <c r="P289" t="s">
        <v>603</v>
      </c>
      <c r="Q289" t="s">
        <v>677</v>
      </c>
    </row>
    <row r="290" spans="1:17" x14ac:dyDescent="0.25">
      <c r="A290">
        <v>30</v>
      </c>
      <c r="B290" s="140">
        <v>45024</v>
      </c>
      <c r="C290" s="141">
        <v>45024.416666666664</v>
      </c>
      <c r="D290" s="141">
        <v>45024.625</v>
      </c>
      <c r="E290" s="141">
        <v>45024.666666666664</v>
      </c>
      <c r="F290" s="141">
        <v>45024.708333333336</v>
      </c>
      <c r="G290" s="141">
        <v>45024.708333333336</v>
      </c>
      <c r="H290" t="s">
        <v>352</v>
      </c>
      <c r="I290" t="s">
        <v>593</v>
      </c>
      <c r="J290" t="s">
        <v>125</v>
      </c>
      <c r="K290">
        <v>1</v>
      </c>
      <c r="L290">
        <v>2</v>
      </c>
      <c r="M290" t="s">
        <v>12</v>
      </c>
      <c r="N290" s="141">
        <v>45122.343842592592</v>
      </c>
      <c r="O290" t="s">
        <v>49</v>
      </c>
      <c r="P290" t="s">
        <v>603</v>
      </c>
      <c r="Q290" t="s">
        <v>677</v>
      </c>
    </row>
    <row r="291" spans="1:17" x14ac:dyDescent="0.25">
      <c r="A291">
        <v>30</v>
      </c>
      <c r="B291" s="140">
        <v>45024</v>
      </c>
      <c r="C291" s="141">
        <v>45024.416666666664</v>
      </c>
      <c r="D291" s="141">
        <v>45024.625</v>
      </c>
      <c r="E291" s="141">
        <v>45024.666666666664</v>
      </c>
      <c r="F291" s="141">
        <v>45024.708333333336</v>
      </c>
      <c r="G291" s="141">
        <v>45024.708333333336</v>
      </c>
      <c r="H291" t="s">
        <v>514</v>
      </c>
      <c r="I291" t="s">
        <v>431</v>
      </c>
      <c r="J291" t="s">
        <v>126</v>
      </c>
      <c r="K291">
        <v>0</v>
      </c>
      <c r="L291">
        <v>1</v>
      </c>
      <c r="M291" t="s">
        <v>15</v>
      </c>
      <c r="N291" s="141">
        <v>45122.343842592592</v>
      </c>
      <c r="O291" t="s">
        <v>49</v>
      </c>
      <c r="P291" t="s">
        <v>603</v>
      </c>
      <c r="Q291" t="s">
        <v>677</v>
      </c>
    </row>
    <row r="292" spans="1:17" x14ac:dyDescent="0.25">
      <c r="A292">
        <v>30</v>
      </c>
      <c r="B292" s="140">
        <v>45024</v>
      </c>
      <c r="C292" s="141">
        <v>45024.416666666664</v>
      </c>
      <c r="D292" s="141">
        <v>45024.625</v>
      </c>
      <c r="E292" s="141">
        <v>45024.666666666664</v>
      </c>
      <c r="F292" s="141">
        <v>45024.708333333336</v>
      </c>
      <c r="G292" s="141">
        <v>45024.708333333336</v>
      </c>
      <c r="H292" t="s">
        <v>515</v>
      </c>
      <c r="I292" t="s">
        <v>54</v>
      </c>
      <c r="J292" t="s">
        <v>8</v>
      </c>
      <c r="K292">
        <v>0</v>
      </c>
      <c r="L292">
        <v>1</v>
      </c>
      <c r="M292" t="s">
        <v>3</v>
      </c>
      <c r="N292" s="141">
        <v>45122.343842592592</v>
      </c>
      <c r="O292" t="s">
        <v>49</v>
      </c>
      <c r="P292" t="s">
        <v>603</v>
      </c>
      <c r="Q292" t="s">
        <v>677</v>
      </c>
    </row>
    <row r="293" spans="1:17" x14ac:dyDescent="0.25">
      <c r="A293">
        <v>30</v>
      </c>
      <c r="B293" s="140">
        <v>45024</v>
      </c>
      <c r="C293" s="141">
        <v>45024.416666666664</v>
      </c>
      <c r="D293" s="141">
        <v>45024.625</v>
      </c>
      <c r="E293" s="141">
        <v>45024.666666666664</v>
      </c>
      <c r="F293" s="141">
        <v>45024.708333333336</v>
      </c>
      <c r="G293" s="141">
        <v>45024.708333333336</v>
      </c>
      <c r="H293" t="s">
        <v>391</v>
      </c>
      <c r="I293" t="s">
        <v>53</v>
      </c>
      <c r="J293" t="s">
        <v>14</v>
      </c>
      <c r="K293">
        <v>2</v>
      </c>
      <c r="L293">
        <v>1</v>
      </c>
      <c r="M293" t="s">
        <v>4</v>
      </c>
      <c r="N293" s="141">
        <v>45122.343842592592</v>
      </c>
      <c r="O293" t="s">
        <v>49</v>
      </c>
      <c r="P293" t="s">
        <v>603</v>
      </c>
      <c r="Q293" t="s">
        <v>677</v>
      </c>
    </row>
    <row r="294" spans="1:17" x14ac:dyDescent="0.25">
      <c r="A294">
        <v>30</v>
      </c>
      <c r="B294" s="140">
        <v>45024</v>
      </c>
      <c r="C294" s="141">
        <v>45024.416666666664</v>
      </c>
      <c r="D294" s="141">
        <v>45024.625</v>
      </c>
      <c r="E294" s="141">
        <v>45024.666666666664</v>
      </c>
      <c r="F294" s="141">
        <v>45024.708333333336</v>
      </c>
      <c r="G294" s="141">
        <v>45024.708333333336</v>
      </c>
      <c r="H294" t="s">
        <v>305</v>
      </c>
      <c r="I294" t="s">
        <v>63</v>
      </c>
      <c r="J294" t="s">
        <v>16</v>
      </c>
      <c r="K294">
        <v>1</v>
      </c>
      <c r="L294">
        <v>0</v>
      </c>
      <c r="M294" t="s">
        <v>5</v>
      </c>
      <c r="N294" s="141">
        <v>45122.343842592592</v>
      </c>
      <c r="O294" t="s">
        <v>49</v>
      </c>
      <c r="P294" t="s">
        <v>603</v>
      </c>
      <c r="Q294" t="s">
        <v>677</v>
      </c>
    </row>
    <row r="295" spans="1:17" x14ac:dyDescent="0.25">
      <c r="A295">
        <v>30</v>
      </c>
      <c r="B295" s="140">
        <v>45024</v>
      </c>
      <c r="C295" s="141">
        <v>45024.520833333336</v>
      </c>
      <c r="D295" s="141">
        <v>45024.729166666664</v>
      </c>
      <c r="E295" s="141">
        <v>45024.770833333336</v>
      </c>
      <c r="F295" s="141">
        <v>45024.8125</v>
      </c>
      <c r="G295" s="141">
        <v>45024.8125</v>
      </c>
      <c r="H295" t="s">
        <v>335</v>
      </c>
      <c r="I295" t="s">
        <v>60</v>
      </c>
      <c r="J295" t="s">
        <v>13</v>
      </c>
      <c r="K295">
        <v>1</v>
      </c>
      <c r="L295">
        <v>4</v>
      </c>
      <c r="M295" t="s">
        <v>10</v>
      </c>
      <c r="N295" s="141">
        <v>45122.343842592592</v>
      </c>
      <c r="O295" t="s">
        <v>49</v>
      </c>
      <c r="P295" t="s">
        <v>603</v>
      </c>
      <c r="Q295" t="s">
        <v>677</v>
      </c>
    </row>
    <row r="296" spans="1:17" x14ac:dyDescent="0.25">
      <c r="A296">
        <v>30</v>
      </c>
      <c r="B296" s="140">
        <v>45025</v>
      </c>
      <c r="C296" s="141">
        <v>45025.375</v>
      </c>
      <c r="D296" s="141">
        <v>45025.583333333336</v>
      </c>
      <c r="E296" s="141">
        <v>45025.625</v>
      </c>
      <c r="F296" s="141">
        <v>45025.666666666664</v>
      </c>
      <c r="G296" s="141">
        <v>45025.666666666664</v>
      </c>
      <c r="H296" t="s">
        <v>279</v>
      </c>
      <c r="I296" t="s">
        <v>140</v>
      </c>
      <c r="J296" t="s">
        <v>139</v>
      </c>
      <c r="K296">
        <v>1</v>
      </c>
      <c r="L296">
        <v>5</v>
      </c>
      <c r="M296" t="s">
        <v>6</v>
      </c>
      <c r="N296" s="141">
        <v>45122.343842592592</v>
      </c>
      <c r="O296" t="s">
        <v>49</v>
      </c>
      <c r="P296" t="s">
        <v>603</v>
      </c>
      <c r="Q296" t="s">
        <v>677</v>
      </c>
    </row>
    <row r="297" spans="1:17" x14ac:dyDescent="0.25">
      <c r="A297">
        <v>30</v>
      </c>
      <c r="B297" s="140">
        <v>45025</v>
      </c>
      <c r="C297" s="141">
        <v>45025.479166666664</v>
      </c>
      <c r="D297" s="141">
        <v>45025.6875</v>
      </c>
      <c r="E297" s="141">
        <v>45025.729166666664</v>
      </c>
      <c r="F297" s="141">
        <v>45025.770833333336</v>
      </c>
      <c r="G297" s="141">
        <v>45025.770833333336</v>
      </c>
      <c r="H297" t="s">
        <v>164</v>
      </c>
      <c r="I297" t="s">
        <v>48</v>
      </c>
      <c r="J297" t="s">
        <v>9</v>
      </c>
      <c r="K297">
        <v>2</v>
      </c>
      <c r="L297">
        <v>2</v>
      </c>
      <c r="M297" t="s">
        <v>1</v>
      </c>
      <c r="N297" s="141">
        <v>45122.343842592592</v>
      </c>
      <c r="O297" t="s">
        <v>49</v>
      </c>
      <c r="P297" t="s">
        <v>603</v>
      </c>
      <c r="Q297" t="s">
        <v>677</v>
      </c>
    </row>
    <row r="298" spans="1:17" x14ac:dyDescent="0.25">
      <c r="A298">
        <v>31</v>
      </c>
      <c r="B298" s="140">
        <v>45031</v>
      </c>
      <c r="C298" s="141">
        <v>45031.3125</v>
      </c>
      <c r="D298" s="141">
        <v>45031.520833333336</v>
      </c>
      <c r="E298" s="141">
        <v>45031.5625</v>
      </c>
      <c r="F298" s="141">
        <v>45031.604166666664</v>
      </c>
      <c r="G298" s="141">
        <v>45031.604166666664</v>
      </c>
      <c r="H298" t="s">
        <v>209</v>
      </c>
      <c r="I298" t="s">
        <v>58</v>
      </c>
      <c r="J298" t="s">
        <v>2</v>
      </c>
      <c r="K298">
        <v>3</v>
      </c>
      <c r="L298">
        <v>0</v>
      </c>
      <c r="M298" t="s">
        <v>12</v>
      </c>
      <c r="N298" s="141">
        <v>45122.343842592592</v>
      </c>
      <c r="O298" t="s">
        <v>49</v>
      </c>
      <c r="P298" t="s">
        <v>603</v>
      </c>
      <c r="Q298" t="s">
        <v>677</v>
      </c>
    </row>
    <row r="299" spans="1:17" x14ac:dyDescent="0.25">
      <c r="A299">
        <v>31</v>
      </c>
      <c r="B299" s="140">
        <v>45031</v>
      </c>
      <c r="C299" s="141">
        <v>45031.416666666664</v>
      </c>
      <c r="D299" s="141">
        <v>45031.625</v>
      </c>
      <c r="E299" s="141">
        <v>45031.666666666664</v>
      </c>
      <c r="F299" s="141">
        <v>45031.708333333336</v>
      </c>
      <c r="G299" s="141">
        <v>45031.708333333336</v>
      </c>
      <c r="H299" t="s">
        <v>314</v>
      </c>
      <c r="I299" t="s">
        <v>62</v>
      </c>
      <c r="J299" t="s">
        <v>5</v>
      </c>
      <c r="K299">
        <v>1</v>
      </c>
      <c r="L299">
        <v>2</v>
      </c>
      <c r="M299" t="s">
        <v>4</v>
      </c>
      <c r="N299" s="141">
        <v>45122.343842592592</v>
      </c>
      <c r="O299" t="s">
        <v>49</v>
      </c>
      <c r="P299" t="s">
        <v>603</v>
      </c>
      <c r="Q299" t="s">
        <v>677</v>
      </c>
    </row>
    <row r="300" spans="1:17" x14ac:dyDescent="0.25">
      <c r="A300">
        <v>31</v>
      </c>
      <c r="B300" s="140">
        <v>45031</v>
      </c>
      <c r="C300" s="141">
        <v>45031.416666666664</v>
      </c>
      <c r="D300" s="141">
        <v>45031.625</v>
      </c>
      <c r="E300" s="141">
        <v>45031.666666666664</v>
      </c>
      <c r="F300" s="141">
        <v>45031.708333333336</v>
      </c>
      <c r="G300" s="141">
        <v>45031.708333333336</v>
      </c>
      <c r="H300" t="s">
        <v>516</v>
      </c>
      <c r="I300" t="s">
        <v>59</v>
      </c>
      <c r="J300" t="s">
        <v>7</v>
      </c>
      <c r="K300">
        <v>1</v>
      </c>
      <c r="L300">
        <v>3</v>
      </c>
      <c r="M300" t="s">
        <v>126</v>
      </c>
      <c r="N300" s="141">
        <v>45122.343842592592</v>
      </c>
      <c r="O300" t="s">
        <v>49</v>
      </c>
      <c r="P300" t="s">
        <v>603</v>
      </c>
      <c r="Q300" t="s">
        <v>677</v>
      </c>
    </row>
    <row r="301" spans="1:17" x14ac:dyDescent="0.25">
      <c r="A301">
        <v>31</v>
      </c>
      <c r="B301" s="140">
        <v>45031</v>
      </c>
      <c r="C301" s="141">
        <v>45031.416666666664</v>
      </c>
      <c r="D301" s="141">
        <v>45031.625</v>
      </c>
      <c r="E301" s="141">
        <v>45031.666666666664</v>
      </c>
      <c r="F301" s="141">
        <v>45031.708333333336</v>
      </c>
      <c r="G301" s="141">
        <v>45031.708333333336</v>
      </c>
      <c r="H301" t="s">
        <v>198</v>
      </c>
      <c r="I301" t="s">
        <v>60</v>
      </c>
      <c r="J301" t="s">
        <v>13</v>
      </c>
      <c r="K301">
        <v>0</v>
      </c>
      <c r="L301">
        <v>2</v>
      </c>
      <c r="M301" t="s">
        <v>6</v>
      </c>
      <c r="N301" s="141">
        <v>45122.343842592592</v>
      </c>
      <c r="O301" t="s">
        <v>49</v>
      </c>
      <c r="P301" t="s">
        <v>603</v>
      </c>
      <c r="Q301" t="s">
        <v>677</v>
      </c>
    </row>
    <row r="302" spans="1:17" x14ac:dyDescent="0.25">
      <c r="A302">
        <v>31</v>
      </c>
      <c r="B302" s="140">
        <v>45031</v>
      </c>
      <c r="C302" s="141">
        <v>45031.416666666664</v>
      </c>
      <c r="D302" s="141">
        <v>45031.625</v>
      </c>
      <c r="E302" s="141">
        <v>45031.666666666664</v>
      </c>
      <c r="F302" s="141">
        <v>45031.708333333336</v>
      </c>
      <c r="G302" s="141">
        <v>45031.708333333336</v>
      </c>
      <c r="H302" t="s">
        <v>230</v>
      </c>
      <c r="I302" t="s">
        <v>63</v>
      </c>
      <c r="J302" t="s">
        <v>16</v>
      </c>
      <c r="K302">
        <v>2</v>
      </c>
      <c r="L302">
        <v>0</v>
      </c>
      <c r="M302" t="s">
        <v>125</v>
      </c>
      <c r="N302" s="141">
        <v>45122.343842592592</v>
      </c>
      <c r="O302" t="s">
        <v>49</v>
      </c>
      <c r="P302" t="s">
        <v>603</v>
      </c>
      <c r="Q302" t="s">
        <v>677</v>
      </c>
    </row>
    <row r="303" spans="1:17" x14ac:dyDescent="0.25">
      <c r="A303">
        <v>31</v>
      </c>
      <c r="B303" s="140">
        <v>45031</v>
      </c>
      <c r="C303" s="141">
        <v>45031.427083333336</v>
      </c>
      <c r="D303" s="141">
        <v>45031.635416666664</v>
      </c>
      <c r="E303" s="141">
        <v>45031.677083333336</v>
      </c>
      <c r="F303" s="141">
        <v>45031.71875</v>
      </c>
      <c r="G303" s="141">
        <v>45031.71875</v>
      </c>
      <c r="H303" t="s">
        <v>518</v>
      </c>
      <c r="I303" t="s">
        <v>53</v>
      </c>
      <c r="J303" t="s">
        <v>14</v>
      </c>
      <c r="K303">
        <v>2</v>
      </c>
      <c r="L303">
        <v>3</v>
      </c>
      <c r="M303" t="s">
        <v>3</v>
      </c>
      <c r="N303" s="141">
        <v>45122.343842592592</v>
      </c>
      <c r="O303" t="s">
        <v>49</v>
      </c>
      <c r="P303" t="s">
        <v>603</v>
      </c>
      <c r="Q303" t="s">
        <v>677</v>
      </c>
    </row>
    <row r="304" spans="1:17" x14ac:dyDescent="0.25">
      <c r="A304">
        <v>31</v>
      </c>
      <c r="B304" s="140">
        <v>45031</v>
      </c>
      <c r="C304" s="141">
        <v>45031.520833333336</v>
      </c>
      <c r="D304" s="141">
        <v>45031.729166666664</v>
      </c>
      <c r="E304" s="141">
        <v>45031.770833333336</v>
      </c>
      <c r="F304" s="141">
        <v>45031.8125</v>
      </c>
      <c r="G304" s="141">
        <v>45031.8125</v>
      </c>
      <c r="H304" t="s">
        <v>308</v>
      </c>
      <c r="I304" t="s">
        <v>61</v>
      </c>
      <c r="J304" t="s">
        <v>10</v>
      </c>
      <c r="K304">
        <v>3</v>
      </c>
      <c r="L304">
        <v>1</v>
      </c>
      <c r="M304" t="s">
        <v>8</v>
      </c>
      <c r="N304" s="141">
        <v>45122.343842592592</v>
      </c>
      <c r="O304" t="s">
        <v>49</v>
      </c>
      <c r="P304" t="s">
        <v>603</v>
      </c>
      <c r="Q304" t="s">
        <v>677</v>
      </c>
    </row>
    <row r="305" spans="1:17" x14ac:dyDescent="0.25">
      <c r="A305">
        <v>31</v>
      </c>
      <c r="B305" s="140">
        <v>45032</v>
      </c>
      <c r="C305" s="141">
        <v>45032.375</v>
      </c>
      <c r="D305" s="141">
        <v>45032.583333333336</v>
      </c>
      <c r="E305" s="141">
        <v>45032.625</v>
      </c>
      <c r="F305" s="141">
        <v>45032.666666666664</v>
      </c>
      <c r="G305" s="141">
        <v>45032.666666666664</v>
      </c>
      <c r="H305" t="s">
        <v>403</v>
      </c>
      <c r="I305" t="s">
        <v>50</v>
      </c>
      <c r="J305" t="s">
        <v>15</v>
      </c>
      <c r="K305">
        <v>2</v>
      </c>
      <c r="L305">
        <v>2</v>
      </c>
      <c r="M305" t="s">
        <v>1</v>
      </c>
      <c r="N305" s="141">
        <v>45122.343842592592</v>
      </c>
      <c r="O305" t="s">
        <v>49</v>
      </c>
      <c r="P305" t="s">
        <v>603</v>
      </c>
      <c r="Q305" t="s">
        <v>677</v>
      </c>
    </row>
    <row r="306" spans="1:17" x14ac:dyDescent="0.25">
      <c r="A306">
        <v>31</v>
      </c>
      <c r="B306" s="140">
        <v>45032</v>
      </c>
      <c r="C306" s="141">
        <v>45032.479166666664</v>
      </c>
      <c r="D306" s="141">
        <v>45032.6875</v>
      </c>
      <c r="E306" s="141">
        <v>45032.729166666664</v>
      </c>
      <c r="F306" s="141">
        <v>45032.770833333336</v>
      </c>
      <c r="G306" s="141">
        <v>45032.770833333336</v>
      </c>
      <c r="H306" t="s">
        <v>517</v>
      </c>
      <c r="I306" t="s">
        <v>436</v>
      </c>
      <c r="J306" t="s">
        <v>204</v>
      </c>
      <c r="K306">
        <v>0</v>
      </c>
      <c r="L306">
        <v>2</v>
      </c>
      <c r="M306" t="s">
        <v>11</v>
      </c>
      <c r="N306" s="141">
        <v>45122.343842592592</v>
      </c>
      <c r="O306" t="s">
        <v>49</v>
      </c>
      <c r="P306" t="s">
        <v>603</v>
      </c>
      <c r="Q306" t="s">
        <v>677</v>
      </c>
    </row>
    <row r="307" spans="1:17" x14ac:dyDescent="0.25">
      <c r="A307">
        <v>31</v>
      </c>
      <c r="B307" s="140">
        <v>45033</v>
      </c>
      <c r="C307" s="141">
        <v>45033.625</v>
      </c>
      <c r="D307" s="141">
        <v>45033.833333333336</v>
      </c>
      <c r="E307" s="141">
        <v>45033.875</v>
      </c>
      <c r="F307" s="141">
        <v>45033.916666666664</v>
      </c>
      <c r="G307" s="141">
        <v>45033.916666666664</v>
      </c>
      <c r="H307" t="s">
        <v>221</v>
      </c>
      <c r="I307" t="s">
        <v>140</v>
      </c>
      <c r="J307" t="s">
        <v>139</v>
      </c>
      <c r="K307">
        <v>1</v>
      </c>
      <c r="L307">
        <v>6</v>
      </c>
      <c r="M307" t="s">
        <v>9</v>
      </c>
      <c r="N307" s="141">
        <v>45122.343842592592</v>
      </c>
      <c r="O307" t="s">
        <v>49</v>
      </c>
      <c r="P307" t="s">
        <v>603</v>
      </c>
      <c r="Q307" t="s">
        <v>677</v>
      </c>
    </row>
    <row r="308" spans="1:17" x14ac:dyDescent="0.25">
      <c r="A308">
        <v>32</v>
      </c>
      <c r="B308" s="140">
        <v>45037</v>
      </c>
      <c r="C308" s="141">
        <v>45037.625</v>
      </c>
      <c r="D308" s="141">
        <v>45037.833333333336</v>
      </c>
      <c r="E308" s="141">
        <v>45037.875</v>
      </c>
      <c r="F308" s="141">
        <v>45037.916666666664</v>
      </c>
      <c r="G308" s="141">
        <v>45037.916666666664</v>
      </c>
      <c r="H308" t="s">
        <v>170</v>
      </c>
      <c r="I308" t="s">
        <v>57</v>
      </c>
      <c r="J308" t="s">
        <v>1</v>
      </c>
      <c r="K308">
        <v>3</v>
      </c>
      <c r="L308">
        <v>3</v>
      </c>
      <c r="M308" t="s">
        <v>13</v>
      </c>
      <c r="N308" s="141">
        <v>45122.343842592592</v>
      </c>
      <c r="O308" t="s">
        <v>49</v>
      </c>
      <c r="P308" t="s">
        <v>603</v>
      </c>
      <c r="Q308" t="s">
        <v>677</v>
      </c>
    </row>
    <row r="309" spans="1:17" x14ac:dyDescent="0.25">
      <c r="A309">
        <v>32</v>
      </c>
      <c r="B309" s="140">
        <v>45038</v>
      </c>
      <c r="C309" s="141">
        <v>45038.3125</v>
      </c>
      <c r="D309" s="141">
        <v>45038.520833333336</v>
      </c>
      <c r="E309" s="141">
        <v>45038.5625</v>
      </c>
      <c r="F309" s="141">
        <v>45038.604166666664</v>
      </c>
      <c r="G309" s="141">
        <v>45038.604166666664</v>
      </c>
      <c r="H309" t="s">
        <v>520</v>
      </c>
      <c r="I309" t="s">
        <v>431</v>
      </c>
      <c r="J309" t="s">
        <v>126</v>
      </c>
      <c r="K309">
        <v>2</v>
      </c>
      <c r="L309">
        <v>1</v>
      </c>
      <c r="M309" t="s">
        <v>139</v>
      </c>
      <c r="N309" s="141">
        <v>45122.343842592592</v>
      </c>
      <c r="O309" t="s">
        <v>49</v>
      </c>
      <c r="P309" t="s">
        <v>603</v>
      </c>
      <c r="Q309" t="s">
        <v>677</v>
      </c>
    </row>
    <row r="310" spans="1:17" x14ac:dyDescent="0.25">
      <c r="A310">
        <v>32</v>
      </c>
      <c r="B310" s="140">
        <v>45038</v>
      </c>
      <c r="C310" s="141">
        <v>45038.416666666664</v>
      </c>
      <c r="D310" s="141">
        <v>45038.625</v>
      </c>
      <c r="E310" s="141">
        <v>45038.666666666664</v>
      </c>
      <c r="F310" s="141">
        <v>45038.708333333336</v>
      </c>
      <c r="G310" s="141">
        <v>45038.708333333336</v>
      </c>
      <c r="H310" t="s">
        <v>177</v>
      </c>
      <c r="I310" t="s">
        <v>593</v>
      </c>
      <c r="J310" t="s">
        <v>125</v>
      </c>
      <c r="K310">
        <v>1</v>
      </c>
      <c r="L310">
        <v>1</v>
      </c>
      <c r="M310" t="s">
        <v>2</v>
      </c>
      <c r="N310" s="141">
        <v>45122.343842592592</v>
      </c>
      <c r="O310" t="s">
        <v>49</v>
      </c>
      <c r="P310" t="s">
        <v>603</v>
      </c>
      <c r="Q310" t="s">
        <v>677</v>
      </c>
    </row>
    <row r="311" spans="1:17" x14ac:dyDescent="0.25">
      <c r="A311">
        <v>32</v>
      </c>
      <c r="B311" s="140">
        <v>45038</v>
      </c>
      <c r="C311" s="141">
        <v>45038.416666666664</v>
      </c>
      <c r="D311" s="141">
        <v>45038.625</v>
      </c>
      <c r="E311" s="141">
        <v>45038.666666666664</v>
      </c>
      <c r="F311" s="141">
        <v>45038.708333333336</v>
      </c>
      <c r="G311" s="141">
        <v>45038.708333333336</v>
      </c>
      <c r="H311" t="s">
        <v>171</v>
      </c>
      <c r="I311" t="s">
        <v>52</v>
      </c>
      <c r="J311" t="s">
        <v>6</v>
      </c>
      <c r="K311">
        <v>0</v>
      </c>
      <c r="L311">
        <v>0</v>
      </c>
      <c r="M311" t="s">
        <v>7</v>
      </c>
      <c r="N311" s="141">
        <v>45122.343842592592</v>
      </c>
      <c r="O311" t="s">
        <v>49</v>
      </c>
      <c r="P311" t="s">
        <v>603</v>
      </c>
      <c r="Q311" t="s">
        <v>677</v>
      </c>
    </row>
    <row r="312" spans="1:17" x14ac:dyDescent="0.25">
      <c r="A312">
        <v>32</v>
      </c>
      <c r="B312" s="140">
        <v>45038</v>
      </c>
      <c r="C312" s="141">
        <v>45038.416666666664</v>
      </c>
      <c r="D312" s="141">
        <v>45038.625</v>
      </c>
      <c r="E312" s="141">
        <v>45038.666666666664</v>
      </c>
      <c r="F312" s="141">
        <v>45038.708333333336</v>
      </c>
      <c r="G312" s="141">
        <v>45038.708333333336</v>
      </c>
      <c r="H312" t="s">
        <v>206</v>
      </c>
      <c r="I312" t="s">
        <v>54</v>
      </c>
      <c r="J312" t="s">
        <v>8</v>
      </c>
      <c r="K312">
        <v>2</v>
      </c>
      <c r="L312">
        <v>1</v>
      </c>
      <c r="M312" t="s">
        <v>16</v>
      </c>
      <c r="N312" s="141">
        <v>45122.343842592592</v>
      </c>
      <c r="O312" t="s">
        <v>49</v>
      </c>
      <c r="P312" t="s">
        <v>603</v>
      </c>
      <c r="Q312" t="s">
        <v>677</v>
      </c>
    </row>
    <row r="313" spans="1:17" x14ac:dyDescent="0.25">
      <c r="A313">
        <v>32</v>
      </c>
      <c r="B313" s="140">
        <v>45038</v>
      </c>
      <c r="C313" s="141">
        <v>45038.416666666664</v>
      </c>
      <c r="D313" s="141">
        <v>45038.625</v>
      </c>
      <c r="E313" s="141">
        <v>45038.666666666664</v>
      </c>
      <c r="F313" s="141">
        <v>45038.708333333336</v>
      </c>
      <c r="G313" s="141">
        <v>45038.708333333336</v>
      </c>
      <c r="H313" t="s">
        <v>521</v>
      </c>
      <c r="I313" t="s">
        <v>48</v>
      </c>
      <c r="J313" t="s">
        <v>9</v>
      </c>
      <c r="K313">
        <v>3</v>
      </c>
      <c r="L313">
        <v>2</v>
      </c>
      <c r="M313" t="s">
        <v>204</v>
      </c>
      <c r="N313" s="141">
        <v>45122.343842592592</v>
      </c>
      <c r="O313" t="s">
        <v>49</v>
      </c>
      <c r="P313" t="s">
        <v>603</v>
      </c>
      <c r="Q313" t="s">
        <v>677</v>
      </c>
    </row>
    <row r="314" spans="1:17" x14ac:dyDescent="0.25">
      <c r="A314">
        <v>32</v>
      </c>
      <c r="B314" s="140">
        <v>45039</v>
      </c>
      <c r="C314" s="141">
        <v>45039.375</v>
      </c>
      <c r="D314" s="141">
        <v>45039.583333333336</v>
      </c>
      <c r="E314" s="141">
        <v>45039.625</v>
      </c>
      <c r="F314" s="141">
        <v>45039.666666666664</v>
      </c>
      <c r="G314" s="141">
        <v>45039.666666666664</v>
      </c>
      <c r="H314" t="s">
        <v>519</v>
      </c>
      <c r="I314" t="s">
        <v>51</v>
      </c>
      <c r="J314" t="s">
        <v>3</v>
      </c>
      <c r="K314">
        <v>0</v>
      </c>
      <c r="L314">
        <v>4</v>
      </c>
      <c r="M314" t="s">
        <v>15</v>
      </c>
      <c r="N314" s="141">
        <v>45122.343842592592</v>
      </c>
      <c r="O314" t="s">
        <v>49</v>
      </c>
      <c r="P314" t="s">
        <v>603</v>
      </c>
      <c r="Q314" t="s">
        <v>677</v>
      </c>
    </row>
    <row r="315" spans="1:17" x14ac:dyDescent="0.25">
      <c r="A315">
        <v>32</v>
      </c>
      <c r="B315" s="140">
        <v>45039</v>
      </c>
      <c r="C315" s="141">
        <v>45039.375</v>
      </c>
      <c r="D315" s="141">
        <v>45039.583333333336</v>
      </c>
      <c r="E315" s="141">
        <v>45039.625</v>
      </c>
      <c r="F315" s="141">
        <v>45039.666666666664</v>
      </c>
      <c r="G315" s="141">
        <v>45039.666666666664</v>
      </c>
      <c r="H315" t="s">
        <v>247</v>
      </c>
      <c r="I315" t="s">
        <v>55</v>
      </c>
      <c r="J315" t="s">
        <v>12</v>
      </c>
      <c r="K315">
        <v>6</v>
      </c>
      <c r="L315">
        <v>1</v>
      </c>
      <c r="M315" t="s">
        <v>14</v>
      </c>
      <c r="N315" s="141">
        <v>45122.343842592592</v>
      </c>
      <c r="O315" t="s">
        <v>49</v>
      </c>
      <c r="P315" t="s">
        <v>603</v>
      </c>
      <c r="Q315" t="s">
        <v>677</v>
      </c>
    </row>
    <row r="316" spans="1:17" x14ac:dyDescent="0.25">
      <c r="A316">
        <v>33</v>
      </c>
      <c r="B316" s="140">
        <v>45041</v>
      </c>
      <c r="C316" s="141">
        <v>45041.604166666664</v>
      </c>
      <c r="D316" s="141">
        <v>45041.8125</v>
      </c>
      <c r="E316" s="141">
        <v>45041.854166666664</v>
      </c>
      <c r="F316" s="141">
        <v>45041.895833333336</v>
      </c>
      <c r="G316" s="141">
        <v>45041.895833333336</v>
      </c>
      <c r="H316" t="s">
        <v>363</v>
      </c>
      <c r="I316" t="s">
        <v>63</v>
      </c>
      <c r="J316" t="s">
        <v>16</v>
      </c>
      <c r="K316">
        <v>2</v>
      </c>
      <c r="L316">
        <v>0</v>
      </c>
      <c r="M316" t="s">
        <v>6</v>
      </c>
      <c r="N316" s="141">
        <v>45122.343842592592</v>
      </c>
      <c r="O316" t="s">
        <v>49</v>
      </c>
      <c r="P316" t="s">
        <v>603</v>
      </c>
      <c r="Q316" t="s">
        <v>677</v>
      </c>
    </row>
    <row r="317" spans="1:17" x14ac:dyDescent="0.25">
      <c r="A317">
        <v>33</v>
      </c>
      <c r="B317" s="140">
        <v>45041</v>
      </c>
      <c r="C317" s="141">
        <v>45041.614583333336</v>
      </c>
      <c r="D317" s="141">
        <v>45041.822916666664</v>
      </c>
      <c r="E317" s="141">
        <v>45041.864583333336</v>
      </c>
      <c r="F317" s="141">
        <v>45041.90625</v>
      </c>
      <c r="G317" s="141">
        <v>45041.90625</v>
      </c>
      <c r="H317" t="s">
        <v>523</v>
      </c>
      <c r="I317" t="s">
        <v>58</v>
      </c>
      <c r="J317" t="s">
        <v>2</v>
      </c>
      <c r="K317">
        <v>1</v>
      </c>
      <c r="L317">
        <v>0</v>
      </c>
      <c r="M317" t="s">
        <v>126</v>
      </c>
      <c r="N317" s="141">
        <v>45122.343842592592</v>
      </c>
      <c r="O317" t="s">
        <v>49</v>
      </c>
      <c r="P317" t="s">
        <v>603</v>
      </c>
      <c r="Q317" t="s">
        <v>677</v>
      </c>
    </row>
    <row r="318" spans="1:17" x14ac:dyDescent="0.25">
      <c r="A318">
        <v>33</v>
      </c>
      <c r="B318" s="140">
        <v>45041</v>
      </c>
      <c r="C318" s="141">
        <v>45041.625</v>
      </c>
      <c r="D318" s="141">
        <v>45041.833333333336</v>
      </c>
      <c r="E318" s="141">
        <v>45041.875</v>
      </c>
      <c r="F318" s="141">
        <v>45041.916666666664</v>
      </c>
      <c r="G318" s="141">
        <v>45041.916666666664</v>
      </c>
      <c r="H318" t="s">
        <v>265</v>
      </c>
      <c r="I318" t="s">
        <v>140</v>
      </c>
      <c r="J318" t="s">
        <v>139</v>
      </c>
      <c r="K318">
        <v>1</v>
      </c>
      <c r="L318">
        <v>1</v>
      </c>
      <c r="M318" t="s">
        <v>8</v>
      </c>
      <c r="N318" s="141">
        <v>45122.343842592592</v>
      </c>
      <c r="O318" t="s">
        <v>49</v>
      </c>
      <c r="P318" t="s">
        <v>603</v>
      </c>
      <c r="Q318" t="s">
        <v>677</v>
      </c>
    </row>
    <row r="319" spans="1:17" x14ac:dyDescent="0.25">
      <c r="A319">
        <v>33</v>
      </c>
      <c r="B319" s="140">
        <v>45042</v>
      </c>
      <c r="C319" s="141">
        <v>45042.604166666664</v>
      </c>
      <c r="D319" s="141">
        <v>45042.8125</v>
      </c>
      <c r="E319" s="141">
        <v>45042.854166666664</v>
      </c>
      <c r="F319" s="141">
        <v>45042.895833333336</v>
      </c>
      <c r="G319" s="141">
        <v>45042.895833333336</v>
      </c>
      <c r="H319" t="s">
        <v>522</v>
      </c>
      <c r="I319" t="s">
        <v>436</v>
      </c>
      <c r="J319" t="s">
        <v>204</v>
      </c>
      <c r="K319">
        <v>3</v>
      </c>
      <c r="L319">
        <v>1</v>
      </c>
      <c r="M319" t="s">
        <v>4</v>
      </c>
      <c r="N319" s="141">
        <v>45122.343842592592</v>
      </c>
      <c r="O319" t="s">
        <v>49</v>
      </c>
      <c r="P319" t="s">
        <v>603</v>
      </c>
      <c r="Q319" t="s">
        <v>677</v>
      </c>
    </row>
    <row r="320" spans="1:17" x14ac:dyDescent="0.25">
      <c r="A320">
        <v>33</v>
      </c>
      <c r="B320" s="140">
        <v>45042</v>
      </c>
      <c r="C320" s="141">
        <v>45042.614583333336</v>
      </c>
      <c r="D320" s="141">
        <v>45042.822916666664</v>
      </c>
      <c r="E320" s="141">
        <v>45042.864583333336</v>
      </c>
      <c r="F320" s="141">
        <v>45042.90625</v>
      </c>
      <c r="G320" s="141">
        <v>45042.90625</v>
      </c>
      <c r="H320" t="s">
        <v>190</v>
      </c>
      <c r="I320" t="s">
        <v>62</v>
      </c>
      <c r="J320" t="s">
        <v>5</v>
      </c>
      <c r="K320">
        <v>0</v>
      </c>
      <c r="L320">
        <v>2</v>
      </c>
      <c r="M320" t="s">
        <v>125</v>
      </c>
      <c r="N320" s="141">
        <v>45122.343842592592</v>
      </c>
      <c r="O320" t="s">
        <v>49</v>
      </c>
      <c r="P320" t="s">
        <v>603</v>
      </c>
      <c r="Q320" t="s">
        <v>677</v>
      </c>
    </row>
    <row r="321" spans="1:17" x14ac:dyDescent="0.25">
      <c r="A321">
        <v>33</v>
      </c>
      <c r="B321" s="140">
        <v>45042</v>
      </c>
      <c r="C321" s="141">
        <v>45042.614583333336</v>
      </c>
      <c r="D321" s="141">
        <v>45042.822916666664</v>
      </c>
      <c r="E321" s="141">
        <v>45042.864583333336</v>
      </c>
      <c r="F321" s="141">
        <v>45042.90625</v>
      </c>
      <c r="G321" s="141">
        <v>45042.90625</v>
      </c>
      <c r="H321" t="s">
        <v>267</v>
      </c>
      <c r="I321" t="s">
        <v>50</v>
      </c>
      <c r="J321" t="s">
        <v>15</v>
      </c>
      <c r="K321">
        <v>1</v>
      </c>
      <c r="L321">
        <v>2</v>
      </c>
      <c r="M321" t="s">
        <v>9</v>
      </c>
      <c r="N321" s="141">
        <v>45122.343842592592</v>
      </c>
      <c r="O321" t="s">
        <v>49</v>
      </c>
      <c r="P321" t="s">
        <v>603</v>
      </c>
      <c r="Q321" t="s">
        <v>677</v>
      </c>
    </row>
    <row r="322" spans="1:17" x14ac:dyDescent="0.25">
      <c r="A322">
        <v>33</v>
      </c>
      <c r="B322" s="140">
        <v>45042</v>
      </c>
      <c r="C322" s="141">
        <v>45042.625</v>
      </c>
      <c r="D322" s="141">
        <v>45042.833333333336</v>
      </c>
      <c r="E322" s="141">
        <v>45042.875</v>
      </c>
      <c r="F322" s="141">
        <v>45042.916666666664</v>
      </c>
      <c r="G322" s="141">
        <v>45042.916666666664</v>
      </c>
      <c r="H322" t="s">
        <v>214</v>
      </c>
      <c r="I322" t="s">
        <v>61</v>
      </c>
      <c r="J322" t="s">
        <v>10</v>
      </c>
      <c r="K322">
        <v>4</v>
      </c>
      <c r="L322">
        <v>1</v>
      </c>
      <c r="M322" t="s">
        <v>1</v>
      </c>
      <c r="N322" s="141">
        <v>45122.343842592592</v>
      </c>
      <c r="O322" t="s">
        <v>49</v>
      </c>
      <c r="P322" t="s">
        <v>603</v>
      </c>
      <c r="Q322" t="s">
        <v>677</v>
      </c>
    </row>
    <row r="323" spans="1:17" x14ac:dyDescent="0.25">
      <c r="A323">
        <v>33</v>
      </c>
      <c r="B323" s="140">
        <v>45043</v>
      </c>
      <c r="C323" s="141">
        <v>45043.614583333336</v>
      </c>
      <c r="D323" s="141">
        <v>45043.822916666664</v>
      </c>
      <c r="E323" s="141">
        <v>45043.864583333336</v>
      </c>
      <c r="F323" s="141">
        <v>45043.90625</v>
      </c>
      <c r="G323" s="141">
        <v>45043.90625</v>
      </c>
      <c r="H323" t="s">
        <v>315</v>
      </c>
      <c r="I323" t="s">
        <v>59</v>
      </c>
      <c r="J323" t="s">
        <v>7</v>
      </c>
      <c r="K323">
        <v>1</v>
      </c>
      <c r="L323">
        <v>4</v>
      </c>
      <c r="M323" t="s">
        <v>12</v>
      </c>
      <c r="N323" s="141">
        <v>45122.343842592592</v>
      </c>
      <c r="O323" t="s">
        <v>49</v>
      </c>
      <c r="P323" t="s">
        <v>603</v>
      </c>
      <c r="Q323" t="s">
        <v>677</v>
      </c>
    </row>
    <row r="324" spans="1:17" x14ac:dyDescent="0.25">
      <c r="A324">
        <v>33</v>
      </c>
      <c r="B324" s="140">
        <v>45043</v>
      </c>
      <c r="C324" s="141">
        <v>45043.614583333336</v>
      </c>
      <c r="D324" s="141">
        <v>45043.822916666664</v>
      </c>
      <c r="E324" s="141">
        <v>45043.864583333336</v>
      </c>
      <c r="F324" s="141">
        <v>45043.90625</v>
      </c>
      <c r="G324" s="141">
        <v>45043.90625</v>
      </c>
      <c r="H324" t="s">
        <v>524</v>
      </c>
      <c r="I324" t="s">
        <v>60</v>
      </c>
      <c r="J324" t="s">
        <v>13</v>
      </c>
      <c r="K324">
        <v>0</v>
      </c>
      <c r="L324">
        <v>1</v>
      </c>
      <c r="M324" t="s">
        <v>3</v>
      </c>
      <c r="N324" s="141">
        <v>45122.343842592592</v>
      </c>
      <c r="O324" t="s">
        <v>49</v>
      </c>
      <c r="P324" t="s">
        <v>603</v>
      </c>
      <c r="Q324" t="s">
        <v>677</v>
      </c>
    </row>
    <row r="325" spans="1:17" x14ac:dyDescent="0.25">
      <c r="A325">
        <v>33</v>
      </c>
      <c r="B325" s="140">
        <v>45043</v>
      </c>
      <c r="C325" s="141">
        <v>45043.635416666664</v>
      </c>
      <c r="D325" s="141">
        <v>45043.84375</v>
      </c>
      <c r="E325" s="141">
        <v>45043.885416666664</v>
      </c>
      <c r="F325" s="141">
        <v>45043.927083333336</v>
      </c>
      <c r="G325" s="141">
        <v>45043.927083333336</v>
      </c>
      <c r="H325" t="s">
        <v>260</v>
      </c>
      <c r="I325" t="s">
        <v>53</v>
      </c>
      <c r="J325" t="s">
        <v>14</v>
      </c>
      <c r="K325">
        <v>2</v>
      </c>
      <c r="L325">
        <v>2</v>
      </c>
      <c r="M325" t="s">
        <v>11</v>
      </c>
      <c r="N325" s="141">
        <v>45122.343842592592</v>
      </c>
      <c r="O325" t="s">
        <v>49</v>
      </c>
      <c r="P325" t="s">
        <v>603</v>
      </c>
      <c r="Q325" t="s">
        <v>677</v>
      </c>
    </row>
    <row r="326" spans="1:17" x14ac:dyDescent="0.25">
      <c r="A326">
        <v>34</v>
      </c>
      <c r="B326" s="140">
        <v>45045</v>
      </c>
      <c r="C326" s="141">
        <v>45045.3125</v>
      </c>
      <c r="D326" s="141">
        <v>45045.520833333336</v>
      </c>
      <c r="E326" s="141">
        <v>45045.5625</v>
      </c>
      <c r="F326" s="141">
        <v>45045.604166666664</v>
      </c>
      <c r="G326" s="141">
        <v>45045.604166666664</v>
      </c>
      <c r="H326" t="s">
        <v>320</v>
      </c>
      <c r="I326" t="s">
        <v>52</v>
      </c>
      <c r="J326" t="s">
        <v>6</v>
      </c>
      <c r="K326">
        <v>4</v>
      </c>
      <c r="L326">
        <v>3</v>
      </c>
      <c r="M326" t="s">
        <v>15</v>
      </c>
      <c r="N326" s="141">
        <v>45122.343842592592</v>
      </c>
      <c r="O326" t="s">
        <v>49</v>
      </c>
      <c r="P326" t="s">
        <v>603</v>
      </c>
      <c r="Q326" t="s">
        <v>677</v>
      </c>
    </row>
    <row r="327" spans="1:17" x14ac:dyDescent="0.25">
      <c r="A327">
        <v>34</v>
      </c>
      <c r="B327" s="140">
        <v>45045</v>
      </c>
      <c r="C327" s="141">
        <v>45045.416666666664</v>
      </c>
      <c r="D327" s="141">
        <v>45045.625</v>
      </c>
      <c r="E327" s="141">
        <v>45045.666666666664</v>
      </c>
      <c r="F327" s="141">
        <v>45045.708333333336</v>
      </c>
      <c r="G327" s="141">
        <v>45045.708333333336</v>
      </c>
      <c r="H327" t="s">
        <v>526</v>
      </c>
      <c r="I327" t="s">
        <v>593</v>
      </c>
      <c r="J327" t="s">
        <v>125</v>
      </c>
      <c r="K327">
        <v>2</v>
      </c>
      <c r="L327">
        <v>1</v>
      </c>
      <c r="M327" t="s">
        <v>204</v>
      </c>
      <c r="N327" s="141">
        <v>45122.343842592592</v>
      </c>
      <c r="O327" t="s">
        <v>49</v>
      </c>
      <c r="P327" t="s">
        <v>603</v>
      </c>
      <c r="Q327" t="s">
        <v>677</v>
      </c>
    </row>
    <row r="328" spans="1:17" x14ac:dyDescent="0.25">
      <c r="A328">
        <v>34</v>
      </c>
      <c r="B328" s="140">
        <v>45045</v>
      </c>
      <c r="C328" s="141">
        <v>45045.416666666664</v>
      </c>
      <c r="D328" s="141">
        <v>45045.625</v>
      </c>
      <c r="E328" s="141">
        <v>45045.666666666664</v>
      </c>
      <c r="F328" s="141">
        <v>45045.708333333336</v>
      </c>
      <c r="G328" s="141">
        <v>45045.708333333336</v>
      </c>
      <c r="H328" t="s">
        <v>296</v>
      </c>
      <c r="I328" t="s">
        <v>151</v>
      </c>
      <c r="J328" t="s">
        <v>4</v>
      </c>
      <c r="K328">
        <v>6</v>
      </c>
      <c r="L328">
        <v>0</v>
      </c>
      <c r="M328" t="s">
        <v>16</v>
      </c>
      <c r="N328" s="141">
        <v>45122.343842592592</v>
      </c>
      <c r="O328" t="s">
        <v>49</v>
      </c>
      <c r="P328" t="s">
        <v>603</v>
      </c>
      <c r="Q328" t="s">
        <v>677</v>
      </c>
    </row>
    <row r="329" spans="1:17" x14ac:dyDescent="0.25">
      <c r="A329">
        <v>34</v>
      </c>
      <c r="B329" s="140">
        <v>45046</v>
      </c>
      <c r="C329" s="141">
        <v>45046.375</v>
      </c>
      <c r="D329" s="141">
        <v>45046.583333333336</v>
      </c>
      <c r="E329" s="141">
        <v>45046.625</v>
      </c>
      <c r="F329" s="141">
        <v>45046.666666666664</v>
      </c>
      <c r="G329" s="141">
        <v>45046.666666666664</v>
      </c>
      <c r="H329" t="s">
        <v>525</v>
      </c>
      <c r="I329" t="s">
        <v>51</v>
      </c>
      <c r="J329" t="s">
        <v>3</v>
      </c>
      <c r="K329">
        <v>4</v>
      </c>
      <c r="L329">
        <v>1</v>
      </c>
      <c r="M329" t="s">
        <v>139</v>
      </c>
      <c r="N329" s="141">
        <v>45122.343842592592</v>
      </c>
      <c r="O329" t="s">
        <v>49</v>
      </c>
      <c r="P329" t="s">
        <v>603</v>
      </c>
      <c r="Q329" t="s">
        <v>677</v>
      </c>
    </row>
    <row r="330" spans="1:17" x14ac:dyDescent="0.25">
      <c r="A330">
        <v>34</v>
      </c>
      <c r="B330" s="140">
        <v>45046</v>
      </c>
      <c r="C330" s="141">
        <v>45046.375</v>
      </c>
      <c r="D330" s="141">
        <v>45046.583333333336</v>
      </c>
      <c r="E330" s="141">
        <v>45046.625</v>
      </c>
      <c r="F330" s="141">
        <v>45046.666666666664</v>
      </c>
      <c r="G330" s="141">
        <v>45046.666666666664</v>
      </c>
      <c r="H330" t="s">
        <v>527</v>
      </c>
      <c r="I330" t="s">
        <v>431</v>
      </c>
      <c r="J330" t="s">
        <v>126</v>
      </c>
      <c r="K330">
        <v>1</v>
      </c>
      <c r="L330">
        <v>2</v>
      </c>
      <c r="M330" t="s">
        <v>10</v>
      </c>
      <c r="N330" s="141">
        <v>45122.343842592592</v>
      </c>
      <c r="O330" t="s">
        <v>49</v>
      </c>
      <c r="P330" t="s">
        <v>603</v>
      </c>
      <c r="Q330" t="s">
        <v>677</v>
      </c>
    </row>
    <row r="331" spans="1:17" x14ac:dyDescent="0.25">
      <c r="A331">
        <v>34</v>
      </c>
      <c r="B331" s="140">
        <v>45046</v>
      </c>
      <c r="C331" s="141">
        <v>45046.375</v>
      </c>
      <c r="D331" s="141">
        <v>45046.583333333336</v>
      </c>
      <c r="E331" s="141">
        <v>45046.625</v>
      </c>
      <c r="F331" s="141">
        <v>45046.666666666664</v>
      </c>
      <c r="G331" s="141">
        <v>45046.666666666664</v>
      </c>
      <c r="H331" t="s">
        <v>235</v>
      </c>
      <c r="I331" t="s">
        <v>56</v>
      </c>
      <c r="J331" t="s">
        <v>11</v>
      </c>
      <c r="K331">
        <v>1</v>
      </c>
      <c r="L331">
        <v>0</v>
      </c>
      <c r="M331" t="s">
        <v>2</v>
      </c>
      <c r="N331" s="141">
        <v>45122.343842592592</v>
      </c>
      <c r="O331" t="s">
        <v>49</v>
      </c>
      <c r="P331" t="s">
        <v>603</v>
      </c>
      <c r="Q331" t="s">
        <v>677</v>
      </c>
    </row>
    <row r="332" spans="1:17" x14ac:dyDescent="0.25">
      <c r="A332">
        <v>34</v>
      </c>
      <c r="B332" s="140">
        <v>45046</v>
      </c>
      <c r="C332" s="141">
        <v>45046.375</v>
      </c>
      <c r="D332" s="141">
        <v>45046.583333333336</v>
      </c>
      <c r="E332" s="141">
        <v>45046.625</v>
      </c>
      <c r="F332" s="141">
        <v>45046.666666666664</v>
      </c>
      <c r="G332" s="141">
        <v>45046.666666666664</v>
      </c>
      <c r="H332" t="s">
        <v>216</v>
      </c>
      <c r="I332" t="s">
        <v>55</v>
      </c>
      <c r="J332" t="s">
        <v>12</v>
      </c>
      <c r="K332">
        <v>3</v>
      </c>
      <c r="L332">
        <v>1</v>
      </c>
      <c r="M332" t="s">
        <v>13</v>
      </c>
      <c r="N332" s="141">
        <v>45122.343842592592</v>
      </c>
      <c r="O332" t="s">
        <v>49</v>
      </c>
      <c r="P332" t="s">
        <v>603</v>
      </c>
      <c r="Q332" t="s">
        <v>677</v>
      </c>
    </row>
    <row r="333" spans="1:17" x14ac:dyDescent="0.25">
      <c r="A333">
        <v>34</v>
      </c>
      <c r="B333" s="140">
        <v>45046</v>
      </c>
      <c r="C333" s="141">
        <v>45046.479166666664</v>
      </c>
      <c r="D333" s="141">
        <v>45046.6875</v>
      </c>
      <c r="E333" s="141">
        <v>45046.729166666664</v>
      </c>
      <c r="F333" s="141">
        <v>45046.770833333336</v>
      </c>
      <c r="G333" s="141">
        <v>45046.770833333336</v>
      </c>
      <c r="H333" t="s">
        <v>409</v>
      </c>
      <c r="I333" t="s">
        <v>48</v>
      </c>
      <c r="J333" t="s">
        <v>9</v>
      </c>
      <c r="K333">
        <v>4</v>
      </c>
      <c r="L333">
        <v>3</v>
      </c>
      <c r="M333" t="s">
        <v>14</v>
      </c>
      <c r="N333" s="141">
        <v>45122.343842592592</v>
      </c>
      <c r="O333" t="s">
        <v>49</v>
      </c>
      <c r="P333" t="s">
        <v>603</v>
      </c>
      <c r="Q333" t="s">
        <v>677</v>
      </c>
    </row>
    <row r="334" spans="1:17" x14ac:dyDescent="0.25">
      <c r="A334">
        <v>34</v>
      </c>
      <c r="B334" s="140">
        <v>45047</v>
      </c>
      <c r="C334" s="141">
        <v>45047.625</v>
      </c>
      <c r="D334" s="141">
        <v>45047.833333333336</v>
      </c>
      <c r="E334" s="141">
        <v>45047.875</v>
      </c>
      <c r="F334" s="141">
        <v>45047.916666666664</v>
      </c>
      <c r="G334" s="141">
        <v>45047.916666666664</v>
      </c>
      <c r="H334" t="s">
        <v>408</v>
      </c>
      <c r="I334" t="s">
        <v>54</v>
      </c>
      <c r="J334" t="s">
        <v>8</v>
      </c>
      <c r="K334">
        <v>2</v>
      </c>
      <c r="L334">
        <v>2</v>
      </c>
      <c r="M334" t="s">
        <v>7</v>
      </c>
      <c r="N334" s="141">
        <v>45122.343842592592</v>
      </c>
      <c r="O334" t="s">
        <v>49</v>
      </c>
      <c r="P334" t="s">
        <v>603</v>
      </c>
      <c r="Q334" t="s">
        <v>677</v>
      </c>
    </row>
    <row r="335" spans="1:17" x14ac:dyDescent="0.25">
      <c r="A335">
        <v>34</v>
      </c>
      <c r="B335" s="140">
        <v>45048</v>
      </c>
      <c r="C335" s="141">
        <v>45048.625</v>
      </c>
      <c r="D335" s="141">
        <v>45048.833333333336</v>
      </c>
      <c r="E335" s="141">
        <v>45048.875</v>
      </c>
      <c r="F335" s="141">
        <v>45048.916666666664</v>
      </c>
      <c r="G335" s="141">
        <v>45048.916666666664</v>
      </c>
      <c r="H335" t="s">
        <v>152</v>
      </c>
      <c r="I335" t="s">
        <v>57</v>
      </c>
      <c r="J335" t="s">
        <v>1</v>
      </c>
      <c r="K335">
        <v>3</v>
      </c>
      <c r="L335">
        <v>1</v>
      </c>
      <c r="M335" t="s">
        <v>5</v>
      </c>
      <c r="N335" s="141">
        <v>45122.343842592592</v>
      </c>
      <c r="O335" t="s">
        <v>49</v>
      </c>
      <c r="P335" t="s">
        <v>603</v>
      </c>
      <c r="Q335" t="s">
        <v>677</v>
      </c>
    </row>
    <row r="336" spans="1:17" x14ac:dyDescent="0.25">
      <c r="A336">
        <v>28</v>
      </c>
      <c r="B336" s="140">
        <v>45049</v>
      </c>
      <c r="C336" s="141">
        <v>45049.625</v>
      </c>
      <c r="D336" s="141">
        <v>45049.833333333336</v>
      </c>
      <c r="E336" s="141">
        <v>45049.875</v>
      </c>
      <c r="F336" s="141">
        <v>45049.916666666664</v>
      </c>
      <c r="G336" s="141">
        <v>45049.916666666664</v>
      </c>
      <c r="H336" t="s">
        <v>509</v>
      </c>
      <c r="I336" t="s">
        <v>48</v>
      </c>
      <c r="J336" t="s">
        <v>9</v>
      </c>
      <c r="K336">
        <v>1</v>
      </c>
      <c r="L336">
        <v>0</v>
      </c>
      <c r="M336" t="s">
        <v>126</v>
      </c>
      <c r="N336" s="141">
        <v>45122.343842592592</v>
      </c>
      <c r="O336" t="s">
        <v>49</v>
      </c>
      <c r="P336" t="s">
        <v>603</v>
      </c>
      <c r="Q336" t="s">
        <v>677</v>
      </c>
    </row>
    <row r="337" spans="1:17" x14ac:dyDescent="0.25">
      <c r="A337">
        <v>28</v>
      </c>
      <c r="B337" s="140">
        <v>45049</v>
      </c>
      <c r="C337" s="141">
        <v>45049.625</v>
      </c>
      <c r="D337" s="141">
        <v>45049.833333333336</v>
      </c>
      <c r="E337" s="141">
        <v>45049.875</v>
      </c>
      <c r="F337" s="141">
        <v>45049.916666666664</v>
      </c>
      <c r="G337" s="141">
        <v>45049.916666666664</v>
      </c>
      <c r="H337" t="s">
        <v>277</v>
      </c>
      <c r="I337" t="s">
        <v>61</v>
      </c>
      <c r="J337" t="s">
        <v>10</v>
      </c>
      <c r="K337">
        <v>3</v>
      </c>
      <c r="L337">
        <v>0</v>
      </c>
      <c r="M337" t="s">
        <v>15</v>
      </c>
      <c r="N337" s="141">
        <v>45122.343842592592</v>
      </c>
      <c r="O337" t="s">
        <v>49</v>
      </c>
      <c r="P337" t="s">
        <v>603</v>
      </c>
      <c r="Q337" t="s">
        <v>677</v>
      </c>
    </row>
    <row r="338" spans="1:17" x14ac:dyDescent="0.25">
      <c r="A338">
        <v>28</v>
      </c>
      <c r="B338" s="140">
        <v>45050</v>
      </c>
      <c r="C338" s="141">
        <v>45050.625</v>
      </c>
      <c r="D338" s="141">
        <v>45050.833333333336</v>
      </c>
      <c r="E338" s="141">
        <v>45050.875</v>
      </c>
      <c r="F338" s="141">
        <v>45050.916666666664</v>
      </c>
      <c r="G338" s="141">
        <v>45050.916666666664</v>
      </c>
      <c r="H338" t="s">
        <v>406</v>
      </c>
      <c r="I338" t="s">
        <v>151</v>
      </c>
      <c r="J338" t="s">
        <v>4</v>
      </c>
      <c r="K338">
        <v>1</v>
      </c>
      <c r="L338">
        <v>0</v>
      </c>
      <c r="M338" t="s">
        <v>11</v>
      </c>
      <c r="N338" s="141">
        <v>45122.343842592592</v>
      </c>
      <c r="O338" t="s">
        <v>49</v>
      </c>
      <c r="P338" t="s">
        <v>603</v>
      </c>
      <c r="Q338" t="s">
        <v>677</v>
      </c>
    </row>
    <row r="339" spans="1:17" x14ac:dyDescent="0.25">
      <c r="A339">
        <v>35</v>
      </c>
      <c r="B339" s="140">
        <v>45052</v>
      </c>
      <c r="C339" s="141">
        <v>45052.416666666664</v>
      </c>
      <c r="D339" s="141">
        <v>45052.625</v>
      </c>
      <c r="E339" s="141">
        <v>45052.666666666664</v>
      </c>
      <c r="F339" s="141">
        <v>45052.708333333336</v>
      </c>
      <c r="G339" s="141">
        <v>45052.708333333336</v>
      </c>
      <c r="H339" t="s">
        <v>528</v>
      </c>
      <c r="I339" t="s">
        <v>51</v>
      </c>
      <c r="J339" t="s">
        <v>3</v>
      </c>
      <c r="K339">
        <v>1</v>
      </c>
      <c r="L339">
        <v>3</v>
      </c>
      <c r="M339" t="s">
        <v>5</v>
      </c>
      <c r="N339" s="141">
        <v>45122.343842592592</v>
      </c>
      <c r="O339" t="s">
        <v>49</v>
      </c>
      <c r="P339" t="s">
        <v>603</v>
      </c>
      <c r="Q339" t="s">
        <v>677</v>
      </c>
    </row>
    <row r="340" spans="1:17" x14ac:dyDescent="0.25">
      <c r="A340">
        <v>35</v>
      </c>
      <c r="B340" s="140">
        <v>45052</v>
      </c>
      <c r="C340" s="141">
        <v>45052.416666666664</v>
      </c>
      <c r="D340" s="141">
        <v>45052.625</v>
      </c>
      <c r="E340" s="141">
        <v>45052.666666666664</v>
      </c>
      <c r="F340" s="141">
        <v>45052.708333333336</v>
      </c>
      <c r="G340" s="141">
        <v>45052.708333333336</v>
      </c>
      <c r="H340" t="s">
        <v>299</v>
      </c>
      <c r="I340" t="s">
        <v>61</v>
      </c>
      <c r="J340" t="s">
        <v>10</v>
      </c>
      <c r="K340">
        <v>2</v>
      </c>
      <c r="L340">
        <v>1</v>
      </c>
      <c r="M340" t="s">
        <v>139</v>
      </c>
      <c r="N340" s="141">
        <v>45122.343842592592</v>
      </c>
      <c r="O340" t="s">
        <v>49</v>
      </c>
      <c r="P340" t="s">
        <v>603</v>
      </c>
      <c r="Q340" t="s">
        <v>677</v>
      </c>
    </row>
    <row r="341" spans="1:17" x14ac:dyDescent="0.25">
      <c r="A341">
        <v>35</v>
      </c>
      <c r="B341" s="140">
        <v>45052</v>
      </c>
      <c r="C341" s="141">
        <v>45052.416666666664</v>
      </c>
      <c r="D341" s="141">
        <v>45052.625</v>
      </c>
      <c r="E341" s="141">
        <v>45052.666666666664</v>
      </c>
      <c r="F341" s="141">
        <v>45052.708333333336</v>
      </c>
      <c r="G341" s="141">
        <v>45052.708333333336</v>
      </c>
      <c r="H341" t="s">
        <v>310</v>
      </c>
      <c r="I341" t="s">
        <v>53</v>
      </c>
      <c r="J341" t="s">
        <v>14</v>
      </c>
      <c r="K341">
        <v>1</v>
      </c>
      <c r="L341">
        <v>0</v>
      </c>
      <c r="M341" t="s">
        <v>6</v>
      </c>
      <c r="N341" s="141">
        <v>45122.343842592592</v>
      </c>
      <c r="O341" t="s">
        <v>49</v>
      </c>
      <c r="P341" t="s">
        <v>603</v>
      </c>
      <c r="Q341" t="s">
        <v>677</v>
      </c>
    </row>
    <row r="342" spans="1:17" x14ac:dyDescent="0.25">
      <c r="A342">
        <v>35</v>
      </c>
      <c r="B342" s="140">
        <v>45052</v>
      </c>
      <c r="C342" s="141">
        <v>45052.416666666664</v>
      </c>
      <c r="D342" s="141">
        <v>45052.625</v>
      </c>
      <c r="E342" s="141">
        <v>45052.666666666664</v>
      </c>
      <c r="F342" s="141">
        <v>45052.708333333336</v>
      </c>
      <c r="G342" s="141">
        <v>45052.708333333336</v>
      </c>
      <c r="H342" t="s">
        <v>381</v>
      </c>
      <c r="I342" t="s">
        <v>63</v>
      </c>
      <c r="J342" t="s">
        <v>16</v>
      </c>
      <c r="K342">
        <v>1</v>
      </c>
      <c r="L342">
        <v>0</v>
      </c>
      <c r="M342" t="s">
        <v>2</v>
      </c>
      <c r="N342" s="141">
        <v>45122.343842592592</v>
      </c>
      <c r="O342" t="s">
        <v>49</v>
      </c>
      <c r="P342" t="s">
        <v>603</v>
      </c>
      <c r="Q342" t="s">
        <v>677</v>
      </c>
    </row>
    <row r="343" spans="1:17" x14ac:dyDescent="0.25">
      <c r="A343">
        <v>35</v>
      </c>
      <c r="B343" s="140">
        <v>45052</v>
      </c>
      <c r="C343" s="141">
        <v>45052.520833333336</v>
      </c>
      <c r="D343" s="141">
        <v>45052.729166666664</v>
      </c>
      <c r="E343" s="141">
        <v>45052.770833333336</v>
      </c>
      <c r="F343" s="141">
        <v>45052.8125</v>
      </c>
      <c r="G343" s="141">
        <v>45052.8125</v>
      </c>
      <c r="H343" t="s">
        <v>179</v>
      </c>
      <c r="I343" t="s">
        <v>48</v>
      </c>
      <c r="J343" t="s">
        <v>9</v>
      </c>
      <c r="K343">
        <v>1</v>
      </c>
      <c r="L343">
        <v>0</v>
      </c>
      <c r="M343" t="s">
        <v>125</v>
      </c>
      <c r="N343" s="141">
        <v>45122.343842592592</v>
      </c>
      <c r="O343" t="s">
        <v>49</v>
      </c>
      <c r="P343" t="s">
        <v>603</v>
      </c>
      <c r="Q343" t="s">
        <v>677</v>
      </c>
    </row>
    <row r="344" spans="1:17" x14ac:dyDescent="0.25">
      <c r="A344">
        <v>35</v>
      </c>
      <c r="B344" s="140">
        <v>45053</v>
      </c>
      <c r="C344" s="141">
        <v>45053.479166666664</v>
      </c>
      <c r="D344" s="141">
        <v>45053.6875</v>
      </c>
      <c r="E344" s="141">
        <v>45053.729166666664</v>
      </c>
      <c r="F344" s="141">
        <v>45053.770833333336</v>
      </c>
      <c r="G344" s="141">
        <v>45053.770833333336</v>
      </c>
      <c r="H344" t="s">
        <v>413</v>
      </c>
      <c r="I344" t="s">
        <v>55</v>
      </c>
      <c r="J344" t="s">
        <v>12</v>
      </c>
      <c r="K344">
        <v>0</v>
      </c>
      <c r="L344">
        <v>2</v>
      </c>
      <c r="M344" t="s">
        <v>1</v>
      </c>
      <c r="N344" s="141">
        <v>45122.343842592592</v>
      </c>
      <c r="O344" t="s">
        <v>49</v>
      </c>
      <c r="P344" t="s">
        <v>603</v>
      </c>
      <c r="Q344" t="s">
        <v>677</v>
      </c>
    </row>
    <row r="345" spans="1:17" x14ac:dyDescent="0.25">
      <c r="A345">
        <v>35</v>
      </c>
      <c r="B345" s="140">
        <v>45053</v>
      </c>
      <c r="C345" s="141">
        <v>45053.583333333336</v>
      </c>
      <c r="D345" s="141">
        <v>45053.791666666664</v>
      </c>
      <c r="E345" s="141">
        <v>45053.833333333336</v>
      </c>
      <c r="F345" s="141">
        <v>45053.875</v>
      </c>
      <c r="G345" s="141">
        <v>45053.875</v>
      </c>
      <c r="H345" t="s">
        <v>229</v>
      </c>
      <c r="I345" t="s">
        <v>50</v>
      </c>
      <c r="J345" t="s">
        <v>15</v>
      </c>
      <c r="K345">
        <v>1</v>
      </c>
      <c r="L345">
        <v>0</v>
      </c>
      <c r="M345" t="s">
        <v>11</v>
      </c>
      <c r="N345" s="141">
        <v>45122.343842592592</v>
      </c>
      <c r="O345" t="s">
        <v>49</v>
      </c>
      <c r="P345" t="s">
        <v>603</v>
      </c>
      <c r="Q345" t="s">
        <v>677</v>
      </c>
    </row>
    <row r="346" spans="1:17" x14ac:dyDescent="0.25">
      <c r="A346">
        <v>35</v>
      </c>
      <c r="B346" s="140">
        <v>45054</v>
      </c>
      <c r="C346" s="141">
        <v>45054.416666666664</v>
      </c>
      <c r="D346" s="141">
        <v>45054.625</v>
      </c>
      <c r="E346" s="141">
        <v>45054.666666666664</v>
      </c>
      <c r="F346" s="141">
        <v>45054.708333333336</v>
      </c>
      <c r="G346" s="141">
        <v>45054.708333333336</v>
      </c>
      <c r="H346" t="s">
        <v>529</v>
      </c>
      <c r="I346" t="s">
        <v>431</v>
      </c>
      <c r="J346" t="s">
        <v>126</v>
      </c>
      <c r="K346">
        <v>5</v>
      </c>
      <c r="L346">
        <v>3</v>
      </c>
      <c r="M346" t="s">
        <v>8</v>
      </c>
      <c r="N346" s="141">
        <v>45122.343842592592</v>
      </c>
      <c r="O346" t="s">
        <v>49</v>
      </c>
      <c r="P346" t="s">
        <v>603</v>
      </c>
      <c r="Q346" t="s">
        <v>677</v>
      </c>
    </row>
    <row r="347" spans="1:17" x14ac:dyDescent="0.25">
      <c r="A347">
        <v>35</v>
      </c>
      <c r="B347" s="140">
        <v>45054</v>
      </c>
      <c r="C347" s="141">
        <v>45054.520833333336</v>
      </c>
      <c r="D347" s="141">
        <v>45054.729166666664</v>
      </c>
      <c r="E347" s="141">
        <v>45054.770833333336</v>
      </c>
      <c r="F347" s="141">
        <v>45054.8125</v>
      </c>
      <c r="G347" s="141">
        <v>45054.8125</v>
      </c>
      <c r="H347" t="s">
        <v>215</v>
      </c>
      <c r="I347" t="s">
        <v>151</v>
      </c>
      <c r="J347" t="s">
        <v>4</v>
      </c>
      <c r="K347">
        <v>1</v>
      </c>
      <c r="L347">
        <v>5</v>
      </c>
      <c r="M347" t="s">
        <v>7</v>
      </c>
      <c r="N347" s="141">
        <v>45122.343842592592</v>
      </c>
      <c r="O347" t="s">
        <v>49</v>
      </c>
      <c r="P347" t="s">
        <v>603</v>
      </c>
      <c r="Q347" t="s">
        <v>677</v>
      </c>
    </row>
    <row r="348" spans="1:17" x14ac:dyDescent="0.25">
      <c r="A348">
        <v>35</v>
      </c>
      <c r="B348" s="140">
        <v>45054</v>
      </c>
      <c r="C348" s="141">
        <v>45054.625</v>
      </c>
      <c r="D348" s="141">
        <v>45054.833333333336</v>
      </c>
      <c r="E348" s="141">
        <v>45054.875</v>
      </c>
      <c r="F348" s="141">
        <v>45054.916666666664</v>
      </c>
      <c r="G348" s="141">
        <v>45054.916666666664</v>
      </c>
      <c r="H348" t="s">
        <v>530</v>
      </c>
      <c r="I348" t="s">
        <v>436</v>
      </c>
      <c r="J348" t="s">
        <v>204</v>
      </c>
      <c r="K348">
        <v>4</v>
      </c>
      <c r="L348">
        <v>3</v>
      </c>
      <c r="M348" t="s">
        <v>13</v>
      </c>
      <c r="N348" s="141">
        <v>45122.343842592592</v>
      </c>
      <c r="O348" t="s">
        <v>49</v>
      </c>
      <c r="P348" t="s">
        <v>603</v>
      </c>
      <c r="Q348" t="s">
        <v>677</v>
      </c>
    </row>
    <row r="349" spans="1:17" x14ac:dyDescent="0.25">
      <c r="A349">
        <v>36</v>
      </c>
      <c r="B349" s="140">
        <v>45059</v>
      </c>
      <c r="C349" s="141">
        <v>45059.3125</v>
      </c>
      <c r="D349" s="141">
        <v>45059.520833333336</v>
      </c>
      <c r="E349" s="141">
        <v>45059.5625</v>
      </c>
      <c r="F349" s="141">
        <v>45059.604166666664</v>
      </c>
      <c r="G349" s="141">
        <v>45059.604166666664</v>
      </c>
      <c r="H349" t="s">
        <v>332</v>
      </c>
      <c r="I349" t="s">
        <v>140</v>
      </c>
      <c r="J349" t="s">
        <v>139</v>
      </c>
      <c r="K349">
        <v>2</v>
      </c>
      <c r="L349">
        <v>2</v>
      </c>
      <c r="M349" t="s">
        <v>12</v>
      </c>
      <c r="N349" s="141">
        <v>45122.343842592592</v>
      </c>
      <c r="O349" t="s">
        <v>49</v>
      </c>
      <c r="P349" t="s">
        <v>603</v>
      </c>
      <c r="Q349" t="s">
        <v>677</v>
      </c>
    </row>
    <row r="350" spans="1:17" x14ac:dyDescent="0.25">
      <c r="A350">
        <v>36</v>
      </c>
      <c r="B350" s="140">
        <v>45059</v>
      </c>
      <c r="C350" s="141">
        <v>45059.416666666664</v>
      </c>
      <c r="D350" s="141">
        <v>45059.625</v>
      </c>
      <c r="E350" s="141">
        <v>45059.666666666664</v>
      </c>
      <c r="F350" s="141">
        <v>45059.708333333336</v>
      </c>
      <c r="G350" s="141">
        <v>45059.708333333336</v>
      </c>
      <c r="H350" t="s">
        <v>383</v>
      </c>
      <c r="I350" t="s">
        <v>58</v>
      </c>
      <c r="J350" t="s">
        <v>2</v>
      </c>
      <c r="K350">
        <v>2</v>
      </c>
      <c r="L350">
        <v>1</v>
      </c>
      <c r="M350" t="s">
        <v>14</v>
      </c>
      <c r="N350" s="141">
        <v>45122.343842592592</v>
      </c>
      <c r="O350" t="s">
        <v>49</v>
      </c>
      <c r="P350" t="s">
        <v>603</v>
      </c>
      <c r="Q350" t="s">
        <v>677</v>
      </c>
    </row>
    <row r="351" spans="1:17" x14ac:dyDescent="0.25">
      <c r="A351">
        <v>36</v>
      </c>
      <c r="B351" s="140">
        <v>45059</v>
      </c>
      <c r="C351" s="141">
        <v>45059.416666666664</v>
      </c>
      <c r="D351" s="141">
        <v>45059.625</v>
      </c>
      <c r="E351" s="141">
        <v>45059.666666666664</v>
      </c>
      <c r="F351" s="141">
        <v>45059.708333333336</v>
      </c>
      <c r="G351" s="141">
        <v>45059.708333333336</v>
      </c>
      <c r="H351" t="s">
        <v>531</v>
      </c>
      <c r="I351" t="s">
        <v>62</v>
      </c>
      <c r="J351" t="s">
        <v>5</v>
      </c>
      <c r="K351">
        <v>2</v>
      </c>
      <c r="L351">
        <v>2</v>
      </c>
      <c r="M351" t="s">
        <v>204</v>
      </c>
      <c r="N351" s="141">
        <v>45122.343842592592</v>
      </c>
      <c r="O351" t="s">
        <v>49</v>
      </c>
      <c r="P351" t="s">
        <v>603</v>
      </c>
      <c r="Q351" t="s">
        <v>677</v>
      </c>
    </row>
    <row r="352" spans="1:17" x14ac:dyDescent="0.25">
      <c r="A352">
        <v>36</v>
      </c>
      <c r="B352" s="140">
        <v>45059</v>
      </c>
      <c r="C352" s="141">
        <v>45059.416666666664</v>
      </c>
      <c r="D352" s="141">
        <v>45059.625</v>
      </c>
      <c r="E352" s="141">
        <v>45059.666666666664</v>
      </c>
      <c r="F352" s="141">
        <v>45059.708333333336</v>
      </c>
      <c r="G352" s="141">
        <v>45059.708333333336</v>
      </c>
      <c r="H352" t="s">
        <v>532</v>
      </c>
      <c r="I352" t="s">
        <v>52</v>
      </c>
      <c r="J352" t="s">
        <v>6</v>
      </c>
      <c r="K352">
        <v>2</v>
      </c>
      <c r="L352">
        <v>0</v>
      </c>
      <c r="M352" t="s">
        <v>3</v>
      </c>
      <c r="N352" s="141">
        <v>45122.343842592592</v>
      </c>
      <c r="O352" t="s">
        <v>49</v>
      </c>
      <c r="P352" t="s">
        <v>603</v>
      </c>
      <c r="Q352" t="s">
        <v>677</v>
      </c>
    </row>
    <row r="353" spans="1:17" x14ac:dyDescent="0.25">
      <c r="A353">
        <v>36</v>
      </c>
      <c r="B353" s="140">
        <v>45059</v>
      </c>
      <c r="C353" s="141">
        <v>45059.416666666664</v>
      </c>
      <c r="D353" s="141">
        <v>45059.625</v>
      </c>
      <c r="E353" s="141">
        <v>45059.666666666664</v>
      </c>
      <c r="F353" s="141">
        <v>45059.708333333336</v>
      </c>
      <c r="G353" s="141">
        <v>45059.708333333336</v>
      </c>
      <c r="H353" t="s">
        <v>322</v>
      </c>
      <c r="I353" t="s">
        <v>56</v>
      </c>
      <c r="J353" t="s">
        <v>11</v>
      </c>
      <c r="K353">
        <v>2</v>
      </c>
      <c r="L353">
        <v>0</v>
      </c>
      <c r="M353" t="s">
        <v>16</v>
      </c>
      <c r="N353" s="141">
        <v>45122.343842592592</v>
      </c>
      <c r="O353" t="s">
        <v>49</v>
      </c>
      <c r="P353" t="s">
        <v>603</v>
      </c>
      <c r="Q353" t="s">
        <v>677</v>
      </c>
    </row>
    <row r="354" spans="1:17" x14ac:dyDescent="0.25">
      <c r="A354">
        <v>36</v>
      </c>
      <c r="B354" s="140">
        <v>45059</v>
      </c>
      <c r="C354" s="141">
        <v>45059.416666666664</v>
      </c>
      <c r="D354" s="141">
        <v>45059.625</v>
      </c>
      <c r="E354" s="141">
        <v>45059.666666666664</v>
      </c>
      <c r="F354" s="141">
        <v>45059.708333333336</v>
      </c>
      <c r="G354" s="141">
        <v>45059.708333333336</v>
      </c>
      <c r="H354" t="s">
        <v>533</v>
      </c>
      <c r="I354" t="s">
        <v>60</v>
      </c>
      <c r="J354" t="s">
        <v>13</v>
      </c>
      <c r="K354">
        <v>0</v>
      </c>
      <c r="L354">
        <v>2</v>
      </c>
      <c r="M354" t="s">
        <v>126</v>
      </c>
      <c r="N354" s="141">
        <v>45122.343842592592</v>
      </c>
      <c r="O354" t="s">
        <v>49</v>
      </c>
      <c r="P354" t="s">
        <v>603</v>
      </c>
      <c r="Q354" t="s">
        <v>677</v>
      </c>
    </row>
    <row r="355" spans="1:17" x14ac:dyDescent="0.25">
      <c r="A355">
        <v>36</v>
      </c>
      <c r="B355" s="140">
        <v>45060</v>
      </c>
      <c r="C355" s="141">
        <v>45060.375</v>
      </c>
      <c r="D355" s="141">
        <v>45060.583333333336</v>
      </c>
      <c r="E355" s="141">
        <v>45060.625</v>
      </c>
      <c r="F355" s="141">
        <v>45060.666666666664</v>
      </c>
      <c r="G355" s="141">
        <v>45060.666666666664</v>
      </c>
      <c r="H355" t="s">
        <v>384</v>
      </c>
      <c r="I355" t="s">
        <v>593</v>
      </c>
      <c r="J355" t="s">
        <v>125</v>
      </c>
      <c r="K355">
        <v>2</v>
      </c>
      <c r="L355">
        <v>0</v>
      </c>
      <c r="M355" t="s">
        <v>15</v>
      </c>
      <c r="N355" s="141">
        <v>45122.343842592592</v>
      </c>
      <c r="O355" t="s">
        <v>49</v>
      </c>
      <c r="P355" t="s">
        <v>603</v>
      </c>
      <c r="Q355" t="s">
        <v>677</v>
      </c>
    </row>
    <row r="356" spans="1:17" x14ac:dyDescent="0.25">
      <c r="A356">
        <v>36</v>
      </c>
      <c r="B356" s="140">
        <v>45060</v>
      </c>
      <c r="C356" s="141">
        <v>45060.375</v>
      </c>
      <c r="D356" s="141">
        <v>45060.583333333336</v>
      </c>
      <c r="E356" s="141">
        <v>45060.625</v>
      </c>
      <c r="F356" s="141">
        <v>45060.666666666664</v>
      </c>
      <c r="G356" s="141">
        <v>45060.666666666664</v>
      </c>
      <c r="H356" t="s">
        <v>355</v>
      </c>
      <c r="I356" t="s">
        <v>59</v>
      </c>
      <c r="J356" t="s">
        <v>7</v>
      </c>
      <c r="K356">
        <v>0</v>
      </c>
      <c r="L356">
        <v>3</v>
      </c>
      <c r="M356" t="s">
        <v>10</v>
      </c>
      <c r="N356" s="141">
        <v>45122.343842592592</v>
      </c>
      <c r="O356" t="s">
        <v>49</v>
      </c>
      <c r="P356" t="s">
        <v>603</v>
      </c>
      <c r="Q356" t="s">
        <v>677</v>
      </c>
    </row>
    <row r="357" spans="1:17" x14ac:dyDescent="0.25">
      <c r="A357">
        <v>36</v>
      </c>
      <c r="B357" s="140">
        <v>45060</v>
      </c>
      <c r="C357" s="141">
        <v>45060.479166666664</v>
      </c>
      <c r="D357" s="141">
        <v>45060.6875</v>
      </c>
      <c r="E357" s="141">
        <v>45060.729166666664</v>
      </c>
      <c r="F357" s="141">
        <v>45060.770833333336</v>
      </c>
      <c r="G357" s="141">
        <v>45060.770833333336</v>
      </c>
      <c r="H357" t="s">
        <v>382</v>
      </c>
      <c r="I357" t="s">
        <v>57</v>
      </c>
      <c r="J357" t="s">
        <v>1</v>
      </c>
      <c r="K357">
        <v>0</v>
      </c>
      <c r="L357">
        <v>3</v>
      </c>
      <c r="M357" t="s">
        <v>4</v>
      </c>
      <c r="N357" s="141">
        <v>45122.343842592592</v>
      </c>
      <c r="O357" t="s">
        <v>49</v>
      </c>
      <c r="P357" t="s">
        <v>603</v>
      </c>
      <c r="Q357" t="s">
        <v>677</v>
      </c>
    </row>
    <row r="358" spans="1:17" x14ac:dyDescent="0.25">
      <c r="A358">
        <v>36</v>
      </c>
      <c r="B358" s="140">
        <v>45061</v>
      </c>
      <c r="C358" s="141">
        <v>45061.625</v>
      </c>
      <c r="D358" s="141">
        <v>45061.833333333336</v>
      </c>
      <c r="E358" s="141">
        <v>45061.875</v>
      </c>
      <c r="F358" s="141">
        <v>45061.916666666664</v>
      </c>
      <c r="G358" s="141">
        <v>45061.916666666664</v>
      </c>
      <c r="H358" t="s">
        <v>317</v>
      </c>
      <c r="I358" t="s">
        <v>54</v>
      </c>
      <c r="J358" t="s">
        <v>8</v>
      </c>
      <c r="K358">
        <v>0</v>
      </c>
      <c r="L358">
        <v>3</v>
      </c>
      <c r="M358" t="s">
        <v>9</v>
      </c>
      <c r="N358" s="141">
        <v>45122.343842592592</v>
      </c>
      <c r="O358" t="s">
        <v>49</v>
      </c>
      <c r="P358" t="s">
        <v>603</v>
      </c>
      <c r="Q358" t="s">
        <v>677</v>
      </c>
    </row>
    <row r="359" spans="1:17" x14ac:dyDescent="0.25">
      <c r="A359">
        <v>25</v>
      </c>
      <c r="B359" s="140">
        <v>45064</v>
      </c>
      <c r="C359" s="141">
        <v>45064.604166666664</v>
      </c>
      <c r="D359" s="141">
        <v>45064.8125</v>
      </c>
      <c r="E359" s="141">
        <v>45064.854166666664</v>
      </c>
      <c r="F359" s="141">
        <v>45064.895833333336</v>
      </c>
      <c r="G359" s="141">
        <v>45064.895833333336</v>
      </c>
      <c r="H359" t="s">
        <v>361</v>
      </c>
      <c r="I359" t="s">
        <v>55</v>
      </c>
      <c r="J359" t="s">
        <v>12</v>
      </c>
      <c r="K359">
        <v>4</v>
      </c>
      <c r="L359">
        <v>1</v>
      </c>
      <c r="M359" t="s">
        <v>4</v>
      </c>
      <c r="N359" s="141">
        <v>45122.343842592592</v>
      </c>
      <c r="O359" t="s">
        <v>49</v>
      </c>
      <c r="P359" t="s">
        <v>603</v>
      </c>
      <c r="Q359" t="s">
        <v>677</v>
      </c>
    </row>
    <row r="360" spans="1:17" x14ac:dyDescent="0.25">
      <c r="A360">
        <v>37</v>
      </c>
      <c r="B360" s="140">
        <v>45066</v>
      </c>
      <c r="C360" s="141">
        <v>45066.3125</v>
      </c>
      <c r="D360" s="141">
        <v>45066.520833333336</v>
      </c>
      <c r="E360" s="141">
        <v>45066.5625</v>
      </c>
      <c r="F360" s="141">
        <v>45066.604166666664</v>
      </c>
      <c r="G360" s="141">
        <v>45066.604166666664</v>
      </c>
      <c r="H360" t="s">
        <v>283</v>
      </c>
      <c r="I360" t="s">
        <v>53</v>
      </c>
      <c r="J360" t="s">
        <v>14</v>
      </c>
      <c r="K360">
        <v>1</v>
      </c>
      <c r="L360">
        <v>3</v>
      </c>
      <c r="M360" t="s">
        <v>125</v>
      </c>
      <c r="N360" s="141">
        <v>45122.343842592592</v>
      </c>
      <c r="O360" t="s">
        <v>49</v>
      </c>
      <c r="P360" t="s">
        <v>603</v>
      </c>
      <c r="Q360" t="s">
        <v>677</v>
      </c>
    </row>
    <row r="361" spans="1:17" x14ac:dyDescent="0.25">
      <c r="A361">
        <v>37</v>
      </c>
      <c r="B361" s="140">
        <v>45066</v>
      </c>
      <c r="C361" s="141">
        <v>45066.416666666664</v>
      </c>
      <c r="D361" s="141">
        <v>45066.625</v>
      </c>
      <c r="E361" s="141">
        <v>45066.666666666664</v>
      </c>
      <c r="F361" s="141">
        <v>45066.708333333336</v>
      </c>
      <c r="G361" s="141">
        <v>45066.708333333336</v>
      </c>
      <c r="H361" t="s">
        <v>534</v>
      </c>
      <c r="I361" t="s">
        <v>51</v>
      </c>
      <c r="J361" t="s">
        <v>3</v>
      </c>
      <c r="K361">
        <v>0</v>
      </c>
      <c r="L361">
        <v>1</v>
      </c>
      <c r="M361" t="s">
        <v>11</v>
      </c>
      <c r="N361" s="141">
        <v>45122.343842592592</v>
      </c>
      <c r="O361" t="s">
        <v>49</v>
      </c>
      <c r="P361" t="s">
        <v>603</v>
      </c>
      <c r="Q361" t="s">
        <v>677</v>
      </c>
    </row>
    <row r="362" spans="1:17" x14ac:dyDescent="0.25">
      <c r="A362">
        <v>37</v>
      </c>
      <c r="B362" s="140">
        <v>45066</v>
      </c>
      <c r="C362" s="141">
        <v>45066.416666666664</v>
      </c>
      <c r="D362" s="141">
        <v>45066.625</v>
      </c>
      <c r="E362" s="141">
        <v>45066.666666666664</v>
      </c>
      <c r="F362" s="141">
        <v>45066.708333333336</v>
      </c>
      <c r="G362" s="141">
        <v>45066.708333333336</v>
      </c>
      <c r="H362" t="s">
        <v>535</v>
      </c>
      <c r="I362" t="s">
        <v>431</v>
      </c>
      <c r="J362" t="s">
        <v>126</v>
      </c>
      <c r="K362">
        <v>2</v>
      </c>
      <c r="L362">
        <v>2</v>
      </c>
      <c r="M362" t="s">
        <v>6</v>
      </c>
      <c r="N362" s="141">
        <v>45122.343842592592</v>
      </c>
      <c r="O362" t="s">
        <v>49</v>
      </c>
      <c r="P362" t="s">
        <v>603</v>
      </c>
      <c r="Q362" t="s">
        <v>677</v>
      </c>
    </row>
    <row r="363" spans="1:17" x14ac:dyDescent="0.25">
      <c r="A363">
        <v>37</v>
      </c>
      <c r="B363" s="140">
        <v>45066</v>
      </c>
      <c r="C363" s="141">
        <v>45066.416666666664</v>
      </c>
      <c r="D363" s="141">
        <v>45066.625</v>
      </c>
      <c r="E363" s="141">
        <v>45066.666666666664</v>
      </c>
      <c r="F363" s="141">
        <v>45066.708333333336</v>
      </c>
      <c r="G363" s="141">
        <v>45066.708333333336</v>
      </c>
      <c r="H363" t="s">
        <v>172</v>
      </c>
      <c r="I363" t="s">
        <v>48</v>
      </c>
      <c r="J363" t="s">
        <v>9</v>
      </c>
      <c r="K363">
        <v>1</v>
      </c>
      <c r="L363">
        <v>1</v>
      </c>
      <c r="M363" t="s">
        <v>2</v>
      </c>
      <c r="N363" s="141">
        <v>45122.343842592592</v>
      </c>
      <c r="O363" t="s">
        <v>49</v>
      </c>
      <c r="P363" t="s">
        <v>603</v>
      </c>
      <c r="Q363" t="s">
        <v>677</v>
      </c>
    </row>
    <row r="364" spans="1:17" x14ac:dyDescent="0.25">
      <c r="A364">
        <v>37</v>
      </c>
      <c r="B364" s="140">
        <v>45066</v>
      </c>
      <c r="C364" s="141">
        <v>45066.416666666664</v>
      </c>
      <c r="D364" s="141">
        <v>45066.625</v>
      </c>
      <c r="E364" s="141">
        <v>45066.666666666664</v>
      </c>
      <c r="F364" s="141">
        <v>45066.708333333336</v>
      </c>
      <c r="G364" s="141">
        <v>45066.708333333336</v>
      </c>
      <c r="H364" t="s">
        <v>261</v>
      </c>
      <c r="I364" t="s">
        <v>63</v>
      </c>
      <c r="J364" t="s">
        <v>16</v>
      </c>
      <c r="K364">
        <v>1</v>
      </c>
      <c r="L364">
        <v>1</v>
      </c>
      <c r="M364" t="s">
        <v>7</v>
      </c>
      <c r="N364" s="141">
        <v>45122.343842592592</v>
      </c>
      <c r="O364" t="s">
        <v>49</v>
      </c>
      <c r="P364" t="s">
        <v>603</v>
      </c>
      <c r="Q364" t="s">
        <v>677</v>
      </c>
    </row>
    <row r="365" spans="1:17" x14ac:dyDescent="0.25">
      <c r="A365">
        <v>37</v>
      </c>
      <c r="B365" s="140">
        <v>45066</v>
      </c>
      <c r="C365" s="141">
        <v>45066.520833333336</v>
      </c>
      <c r="D365" s="141">
        <v>45066.729166666664</v>
      </c>
      <c r="E365" s="141">
        <v>45066.770833333336</v>
      </c>
      <c r="F365" s="141">
        <v>45066.8125</v>
      </c>
      <c r="G365" s="141">
        <v>45066.8125</v>
      </c>
      <c r="H365" t="s">
        <v>536</v>
      </c>
      <c r="I365" t="s">
        <v>436</v>
      </c>
      <c r="J365" t="s">
        <v>204</v>
      </c>
      <c r="K365">
        <v>1</v>
      </c>
      <c r="L365">
        <v>0</v>
      </c>
      <c r="M365" t="s">
        <v>1</v>
      </c>
      <c r="N365" s="141">
        <v>45122.343842592592</v>
      </c>
      <c r="O365" t="s">
        <v>49</v>
      </c>
      <c r="P365" t="s">
        <v>603</v>
      </c>
      <c r="Q365" t="s">
        <v>677</v>
      </c>
    </row>
    <row r="366" spans="1:17" x14ac:dyDescent="0.25">
      <c r="A366">
        <v>37</v>
      </c>
      <c r="B366" s="140">
        <v>45067</v>
      </c>
      <c r="C366" s="141">
        <v>45067.354166666664</v>
      </c>
      <c r="D366" s="141">
        <v>45067.5625</v>
      </c>
      <c r="E366" s="141">
        <v>45067.604166666664</v>
      </c>
      <c r="F366" s="141">
        <v>45067.645833333336</v>
      </c>
      <c r="G366" s="141">
        <v>45067.645833333336</v>
      </c>
      <c r="H366" t="s">
        <v>328</v>
      </c>
      <c r="I366" t="s">
        <v>50</v>
      </c>
      <c r="J366" t="s">
        <v>15</v>
      </c>
      <c r="K366">
        <v>3</v>
      </c>
      <c r="L366">
        <v>1</v>
      </c>
      <c r="M366" t="s">
        <v>139</v>
      </c>
      <c r="N366" s="141">
        <v>45122.343842592592</v>
      </c>
      <c r="O366" t="s">
        <v>49</v>
      </c>
      <c r="P366" t="s">
        <v>603</v>
      </c>
      <c r="Q366" t="s">
        <v>677</v>
      </c>
    </row>
    <row r="367" spans="1:17" x14ac:dyDescent="0.25">
      <c r="A367">
        <v>37</v>
      </c>
      <c r="B367" s="140">
        <v>45067</v>
      </c>
      <c r="C367" s="141">
        <v>45067.375</v>
      </c>
      <c r="D367" s="141">
        <v>45067.583333333336</v>
      </c>
      <c r="E367" s="141">
        <v>45067.625</v>
      </c>
      <c r="F367" s="141">
        <v>45067.666666666664</v>
      </c>
      <c r="G367" s="141">
        <v>45067.666666666664</v>
      </c>
      <c r="H367" t="s">
        <v>395</v>
      </c>
      <c r="I367" t="s">
        <v>151</v>
      </c>
      <c r="J367" t="s">
        <v>4</v>
      </c>
      <c r="K367">
        <v>3</v>
      </c>
      <c r="L367">
        <v>1</v>
      </c>
      <c r="M367" t="s">
        <v>13</v>
      </c>
      <c r="N367" s="141">
        <v>45122.343842592592</v>
      </c>
      <c r="O367" t="s">
        <v>49</v>
      </c>
      <c r="P367" t="s">
        <v>603</v>
      </c>
      <c r="Q367" t="s">
        <v>677</v>
      </c>
    </row>
    <row r="368" spans="1:17" x14ac:dyDescent="0.25">
      <c r="A368">
        <v>37</v>
      </c>
      <c r="B368" s="140">
        <v>45067</v>
      </c>
      <c r="C368" s="141">
        <v>45067.458333333336</v>
      </c>
      <c r="D368" s="141">
        <v>45067.666666666664</v>
      </c>
      <c r="E368" s="141">
        <v>45067.708333333336</v>
      </c>
      <c r="F368" s="141">
        <v>45067.75</v>
      </c>
      <c r="G368" s="141">
        <v>45067.75</v>
      </c>
      <c r="H368" t="s">
        <v>326</v>
      </c>
      <c r="I368" t="s">
        <v>61</v>
      </c>
      <c r="J368" t="s">
        <v>10</v>
      </c>
      <c r="K368">
        <v>1</v>
      </c>
      <c r="L368">
        <v>0</v>
      </c>
      <c r="M368" t="s">
        <v>5</v>
      </c>
      <c r="N368" s="141">
        <v>45122.343842592592</v>
      </c>
      <c r="O368" t="s">
        <v>49</v>
      </c>
      <c r="P368" t="s">
        <v>603</v>
      </c>
      <c r="Q368" t="s">
        <v>677</v>
      </c>
    </row>
    <row r="369" spans="1:17" x14ac:dyDescent="0.25">
      <c r="A369">
        <v>37</v>
      </c>
      <c r="B369" s="140">
        <v>45068</v>
      </c>
      <c r="C369" s="141">
        <v>45068.625</v>
      </c>
      <c r="D369" s="141">
        <v>45068.833333333336</v>
      </c>
      <c r="E369" s="141">
        <v>45068.875</v>
      </c>
      <c r="F369" s="141">
        <v>45068.916666666664</v>
      </c>
      <c r="G369" s="141">
        <v>45068.916666666664</v>
      </c>
      <c r="H369" t="s">
        <v>390</v>
      </c>
      <c r="I369" t="s">
        <v>55</v>
      </c>
      <c r="J369" t="s">
        <v>12</v>
      </c>
      <c r="K369">
        <v>0</v>
      </c>
      <c r="L369">
        <v>0</v>
      </c>
      <c r="M369" t="s">
        <v>8</v>
      </c>
      <c r="N369" s="141">
        <v>45122.343842592592</v>
      </c>
      <c r="O369" t="s">
        <v>49</v>
      </c>
      <c r="P369" t="s">
        <v>603</v>
      </c>
      <c r="Q369" t="s">
        <v>677</v>
      </c>
    </row>
    <row r="370" spans="1:17" x14ac:dyDescent="0.25">
      <c r="A370">
        <v>32</v>
      </c>
      <c r="B370" s="140">
        <v>45070</v>
      </c>
      <c r="C370" s="141">
        <v>45070.625</v>
      </c>
      <c r="D370" s="141">
        <v>45070.833333333336</v>
      </c>
      <c r="E370" s="141">
        <v>45070.875</v>
      </c>
      <c r="F370" s="141">
        <v>45070.916666666664</v>
      </c>
      <c r="G370" s="141">
        <v>45070.916666666664</v>
      </c>
      <c r="H370" t="s">
        <v>250</v>
      </c>
      <c r="I370" t="s">
        <v>151</v>
      </c>
      <c r="J370" t="s">
        <v>4</v>
      </c>
      <c r="K370">
        <v>1</v>
      </c>
      <c r="L370">
        <v>1</v>
      </c>
      <c r="M370" t="s">
        <v>10</v>
      </c>
      <c r="N370" s="141">
        <v>45122.343842592592</v>
      </c>
      <c r="O370" t="s">
        <v>49</v>
      </c>
      <c r="P370" t="s">
        <v>603</v>
      </c>
      <c r="Q370" t="s">
        <v>677</v>
      </c>
    </row>
    <row r="371" spans="1:17" x14ac:dyDescent="0.25">
      <c r="A371">
        <v>32</v>
      </c>
      <c r="B371" s="140">
        <v>45071</v>
      </c>
      <c r="C371" s="141">
        <v>45071.625</v>
      </c>
      <c r="D371" s="141">
        <v>45071.833333333336</v>
      </c>
      <c r="E371" s="141">
        <v>45071.875</v>
      </c>
      <c r="F371" s="141">
        <v>45071.916666666664</v>
      </c>
      <c r="G371" s="141">
        <v>45071.916666666664</v>
      </c>
      <c r="H371" t="s">
        <v>412</v>
      </c>
      <c r="I371" t="s">
        <v>56</v>
      </c>
      <c r="J371" t="s">
        <v>11</v>
      </c>
      <c r="K371">
        <v>4</v>
      </c>
      <c r="L371">
        <v>1</v>
      </c>
      <c r="M371" t="s">
        <v>5</v>
      </c>
      <c r="N371" s="141">
        <v>45122.343842592592</v>
      </c>
      <c r="O371" t="s">
        <v>49</v>
      </c>
      <c r="P371" t="s">
        <v>603</v>
      </c>
      <c r="Q371" t="s">
        <v>677</v>
      </c>
    </row>
    <row r="372" spans="1:17" x14ac:dyDescent="0.25">
      <c r="A372">
        <v>38</v>
      </c>
      <c r="B372" s="140">
        <v>45074</v>
      </c>
      <c r="C372" s="141">
        <v>45074.479166666664</v>
      </c>
      <c r="D372" s="141">
        <v>45074.6875</v>
      </c>
      <c r="E372" s="141">
        <v>45074.729166666664</v>
      </c>
      <c r="F372" s="141">
        <v>45074.770833333336</v>
      </c>
      <c r="G372" s="141">
        <v>45074.770833333336</v>
      </c>
      <c r="H372" t="s">
        <v>312</v>
      </c>
      <c r="I372" t="s">
        <v>57</v>
      </c>
      <c r="J372" t="s">
        <v>1</v>
      </c>
      <c r="K372">
        <v>5</v>
      </c>
      <c r="L372">
        <v>0</v>
      </c>
      <c r="M372" t="s">
        <v>16</v>
      </c>
      <c r="N372" s="141">
        <v>45122.343842592592</v>
      </c>
      <c r="O372" t="s">
        <v>49</v>
      </c>
      <c r="P372" t="s">
        <v>603</v>
      </c>
      <c r="Q372" t="s">
        <v>677</v>
      </c>
    </row>
    <row r="373" spans="1:17" x14ac:dyDescent="0.25">
      <c r="A373">
        <v>38</v>
      </c>
      <c r="B373" s="140">
        <v>45074</v>
      </c>
      <c r="C373" s="141">
        <v>45074.479166666664</v>
      </c>
      <c r="D373" s="141">
        <v>45074.6875</v>
      </c>
      <c r="E373" s="141">
        <v>45074.729166666664</v>
      </c>
      <c r="F373" s="141">
        <v>45074.770833333336</v>
      </c>
      <c r="G373" s="141">
        <v>45074.770833333336</v>
      </c>
      <c r="H373" t="s">
        <v>268</v>
      </c>
      <c r="I373" t="s">
        <v>58</v>
      </c>
      <c r="J373" t="s">
        <v>2</v>
      </c>
      <c r="K373">
        <v>2</v>
      </c>
      <c r="L373">
        <v>1</v>
      </c>
      <c r="M373" t="s">
        <v>4</v>
      </c>
      <c r="N373" s="141">
        <v>45122.343842592592</v>
      </c>
      <c r="O373" t="s">
        <v>49</v>
      </c>
      <c r="P373" t="s">
        <v>603</v>
      </c>
      <c r="Q373" t="s">
        <v>677</v>
      </c>
    </row>
    <row r="374" spans="1:17" x14ac:dyDescent="0.25">
      <c r="A374">
        <v>38</v>
      </c>
      <c r="B374" s="140">
        <v>45074</v>
      </c>
      <c r="C374" s="141">
        <v>45074.479166666664</v>
      </c>
      <c r="D374" s="141">
        <v>45074.6875</v>
      </c>
      <c r="E374" s="141">
        <v>45074.729166666664</v>
      </c>
      <c r="F374" s="141">
        <v>45074.770833333336</v>
      </c>
      <c r="G374" s="141">
        <v>45074.770833333336</v>
      </c>
      <c r="H374" t="s">
        <v>313</v>
      </c>
      <c r="I374" t="s">
        <v>593</v>
      </c>
      <c r="J374" t="s">
        <v>125</v>
      </c>
      <c r="K374">
        <v>1</v>
      </c>
      <c r="L374">
        <v>0</v>
      </c>
      <c r="M374" t="s">
        <v>10</v>
      </c>
      <c r="N374" s="141">
        <v>45122.343842592592</v>
      </c>
      <c r="O374" t="s">
        <v>49</v>
      </c>
      <c r="P374" t="s">
        <v>603</v>
      </c>
      <c r="Q374" t="s">
        <v>677</v>
      </c>
    </row>
    <row r="375" spans="1:17" x14ac:dyDescent="0.25">
      <c r="A375">
        <v>38</v>
      </c>
      <c r="B375" s="140">
        <v>45074</v>
      </c>
      <c r="C375" s="141">
        <v>45074.479166666664</v>
      </c>
      <c r="D375" s="141">
        <v>45074.6875</v>
      </c>
      <c r="E375" s="141">
        <v>45074.729166666664</v>
      </c>
      <c r="F375" s="141">
        <v>45074.770833333336</v>
      </c>
      <c r="G375" s="141">
        <v>45074.770833333336</v>
      </c>
      <c r="H375" t="s">
        <v>366</v>
      </c>
      <c r="I375" t="s">
        <v>62</v>
      </c>
      <c r="J375" t="s">
        <v>5</v>
      </c>
      <c r="K375">
        <v>1</v>
      </c>
      <c r="L375">
        <v>1</v>
      </c>
      <c r="M375" t="s">
        <v>12</v>
      </c>
      <c r="N375" s="141">
        <v>45122.343842592592</v>
      </c>
      <c r="O375" t="s">
        <v>49</v>
      </c>
      <c r="P375" t="s">
        <v>603</v>
      </c>
      <c r="Q375" t="s">
        <v>677</v>
      </c>
    </row>
    <row r="376" spans="1:17" x14ac:dyDescent="0.25">
      <c r="A376">
        <v>38</v>
      </c>
      <c r="B376" s="140">
        <v>45074</v>
      </c>
      <c r="C376" s="141">
        <v>45074.479166666664</v>
      </c>
      <c r="D376" s="141">
        <v>45074.6875</v>
      </c>
      <c r="E376" s="141">
        <v>45074.729166666664</v>
      </c>
      <c r="F376" s="141">
        <v>45074.770833333336</v>
      </c>
      <c r="G376" s="141">
        <v>45074.770833333336</v>
      </c>
      <c r="H376" t="s">
        <v>537</v>
      </c>
      <c r="I376" t="s">
        <v>52</v>
      </c>
      <c r="J376" t="s">
        <v>6</v>
      </c>
      <c r="K376">
        <v>1</v>
      </c>
      <c r="L376">
        <v>1</v>
      </c>
      <c r="M376" t="s">
        <v>204</v>
      </c>
      <c r="N376" s="141">
        <v>45122.343842592592</v>
      </c>
      <c r="O376" t="s">
        <v>49</v>
      </c>
      <c r="P376" t="s">
        <v>603</v>
      </c>
      <c r="Q376" t="s">
        <v>677</v>
      </c>
    </row>
    <row r="377" spans="1:17" x14ac:dyDescent="0.25">
      <c r="A377">
        <v>38</v>
      </c>
      <c r="B377" s="140">
        <v>45074</v>
      </c>
      <c r="C377" s="141">
        <v>45074.479166666664</v>
      </c>
      <c r="D377" s="141">
        <v>45074.6875</v>
      </c>
      <c r="E377" s="141">
        <v>45074.729166666664</v>
      </c>
      <c r="F377" s="141">
        <v>45074.770833333336</v>
      </c>
      <c r="G377" s="141">
        <v>45074.770833333336</v>
      </c>
      <c r="H377" t="s">
        <v>538</v>
      </c>
      <c r="I377" t="s">
        <v>678</v>
      </c>
      <c r="J377" t="s">
        <v>7</v>
      </c>
      <c r="K377">
        <v>1</v>
      </c>
      <c r="L377">
        <v>0</v>
      </c>
      <c r="M377" t="s">
        <v>3</v>
      </c>
      <c r="N377" s="141">
        <v>45122.343842592592</v>
      </c>
      <c r="O377" t="s">
        <v>49</v>
      </c>
      <c r="P377" t="s">
        <v>603</v>
      </c>
      <c r="Q377" t="s">
        <v>677</v>
      </c>
    </row>
    <row r="378" spans="1:17" x14ac:dyDescent="0.25">
      <c r="A378">
        <v>38</v>
      </c>
      <c r="B378" s="140">
        <v>45074</v>
      </c>
      <c r="C378" s="141">
        <v>45074.479166666664</v>
      </c>
      <c r="D378" s="141">
        <v>45074.6875</v>
      </c>
      <c r="E378" s="141">
        <v>45074.729166666664</v>
      </c>
      <c r="F378" s="141">
        <v>45074.770833333336</v>
      </c>
      <c r="G378" s="141">
        <v>45074.770833333336</v>
      </c>
      <c r="H378" t="s">
        <v>356</v>
      </c>
      <c r="I378" t="s">
        <v>140</v>
      </c>
      <c r="J378" t="s">
        <v>139</v>
      </c>
      <c r="K378">
        <v>1</v>
      </c>
      <c r="L378">
        <v>4</v>
      </c>
      <c r="M378" t="s">
        <v>14</v>
      </c>
      <c r="N378" s="141">
        <v>45122.343842592592</v>
      </c>
      <c r="O378" t="s">
        <v>49</v>
      </c>
      <c r="P378" t="s">
        <v>603</v>
      </c>
      <c r="Q378" t="s">
        <v>677</v>
      </c>
    </row>
    <row r="379" spans="1:17" x14ac:dyDescent="0.25">
      <c r="A379">
        <v>38</v>
      </c>
      <c r="B379" s="140">
        <v>45074</v>
      </c>
      <c r="C379" s="141">
        <v>45074.479166666664</v>
      </c>
      <c r="D379" s="141">
        <v>45074.6875</v>
      </c>
      <c r="E379" s="141">
        <v>45074.729166666664</v>
      </c>
      <c r="F379" s="141">
        <v>45074.770833333336</v>
      </c>
      <c r="G379" s="141">
        <v>45074.770833333336</v>
      </c>
      <c r="H379" t="s">
        <v>344</v>
      </c>
      <c r="I379" t="s">
        <v>54</v>
      </c>
      <c r="J379" t="s">
        <v>8</v>
      </c>
      <c r="K379">
        <v>2</v>
      </c>
      <c r="L379">
        <v>1</v>
      </c>
      <c r="M379" t="s">
        <v>15</v>
      </c>
      <c r="N379" s="141">
        <v>45122.343842592592</v>
      </c>
      <c r="O379" t="s">
        <v>49</v>
      </c>
      <c r="P379" t="s">
        <v>603</v>
      </c>
      <c r="Q379" t="s">
        <v>677</v>
      </c>
    </row>
    <row r="380" spans="1:17" x14ac:dyDescent="0.25">
      <c r="A380">
        <v>38</v>
      </c>
      <c r="B380" s="140">
        <v>45074</v>
      </c>
      <c r="C380" s="141">
        <v>45074.479166666664</v>
      </c>
      <c r="D380" s="141">
        <v>45074.6875</v>
      </c>
      <c r="E380" s="141">
        <v>45074.729166666664</v>
      </c>
      <c r="F380" s="141">
        <v>45074.770833333336</v>
      </c>
      <c r="G380" s="141">
        <v>45074.770833333336</v>
      </c>
      <c r="H380" t="s">
        <v>539</v>
      </c>
      <c r="I380" t="s">
        <v>56</v>
      </c>
      <c r="J380" t="s">
        <v>11</v>
      </c>
      <c r="K380">
        <v>2</v>
      </c>
      <c r="L380">
        <v>1</v>
      </c>
      <c r="M380" t="s">
        <v>126</v>
      </c>
      <c r="N380" s="141">
        <v>45122.343842592592</v>
      </c>
      <c r="O380" t="s">
        <v>49</v>
      </c>
      <c r="P380" t="s">
        <v>603</v>
      </c>
      <c r="Q380" t="s">
        <v>677</v>
      </c>
    </row>
    <row r="381" spans="1:17" x14ac:dyDescent="0.25">
      <c r="A381">
        <v>38</v>
      </c>
      <c r="B381" s="140">
        <v>45074</v>
      </c>
      <c r="C381" s="141">
        <v>45074.479166666664</v>
      </c>
      <c r="D381" s="141">
        <v>45074.6875</v>
      </c>
      <c r="E381" s="141">
        <v>45074.729166666664</v>
      </c>
      <c r="F381" s="141">
        <v>45074.770833333336</v>
      </c>
      <c r="G381" s="141">
        <v>45074.770833333336</v>
      </c>
      <c r="H381" t="s">
        <v>202</v>
      </c>
      <c r="I381" t="s">
        <v>60</v>
      </c>
      <c r="J381" t="s">
        <v>13</v>
      </c>
      <c r="K381">
        <v>4</v>
      </c>
      <c r="L381">
        <v>4</v>
      </c>
      <c r="M381" t="s">
        <v>9</v>
      </c>
      <c r="N381" s="141">
        <v>45122.343842592592</v>
      </c>
      <c r="O381" t="s">
        <v>49</v>
      </c>
      <c r="P381" t="s">
        <v>603</v>
      </c>
      <c r="Q381" t="s">
        <v>677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5">
    <pageSetUpPr fitToPage="1"/>
  </sheetPr>
  <dimension ref="A1:IR801"/>
  <sheetViews>
    <sheetView showGridLines="0" zoomScale="55" zoomScaleNormal="55" workbookViewId="0"/>
  </sheetViews>
  <sheetFormatPr defaultColWidth="10" defaultRowHeight="26.25" x14ac:dyDescent="0.4"/>
  <cols>
    <col min="1" max="1" width="21.85546875" style="133" customWidth="1"/>
    <col min="2" max="2" width="10.140625" style="133" bestFit="1" customWidth="1"/>
    <col min="3" max="3" width="12.5703125" style="133" customWidth="1"/>
    <col min="4" max="4" width="10" style="133"/>
    <col min="5" max="5" width="34.140625" style="133" bestFit="1" customWidth="1"/>
    <col min="6" max="6" width="4.85546875" style="133" bestFit="1" customWidth="1"/>
    <col min="7" max="7" width="15.28515625" style="133" bestFit="1" customWidth="1"/>
    <col min="8" max="8" width="3.42578125" style="133" bestFit="1" customWidth="1"/>
    <col min="9" max="9" width="6" style="133" customWidth="1"/>
    <col min="10" max="10" width="15.28515625" style="133" bestFit="1" customWidth="1"/>
    <col min="11" max="12" width="6.5703125" style="133" bestFit="1" customWidth="1"/>
    <col min="13" max="13" width="17.28515625" style="133" bestFit="1" customWidth="1"/>
    <col min="14" max="14" width="10.140625" style="133" bestFit="1" customWidth="1"/>
    <col min="15" max="15" width="12.5703125" style="133" customWidth="1"/>
    <col min="16" max="16" width="10" style="133"/>
    <col min="17" max="17" width="34.140625" style="133" bestFit="1" customWidth="1"/>
    <col min="18" max="18" width="4.85546875" style="133" bestFit="1" customWidth="1"/>
    <col min="19" max="19" width="4.42578125" style="133" bestFit="1" customWidth="1"/>
    <col min="20" max="20" width="3.42578125" style="133" bestFit="1" customWidth="1"/>
    <col min="21" max="21" width="4.42578125" style="133" bestFit="1" customWidth="1"/>
    <col min="22" max="22" width="5.85546875" style="133" bestFit="1" customWidth="1"/>
    <col min="23" max="24" width="6.5703125" style="133" bestFit="1" customWidth="1"/>
    <col min="25" max="25" width="21.85546875" style="133" customWidth="1"/>
    <col min="26" max="26" width="10.140625" style="133" bestFit="1" customWidth="1"/>
    <col min="27" max="27" width="12.5703125" style="133" customWidth="1"/>
    <col min="28" max="28" width="10" style="133"/>
    <col min="29" max="29" width="34.140625" style="133" bestFit="1" customWidth="1"/>
    <col min="30" max="30" width="4.85546875" style="133" bestFit="1" customWidth="1"/>
    <col min="31" max="31" width="4.42578125" style="133" bestFit="1" customWidth="1"/>
    <col min="32" max="32" width="3.42578125" style="133" bestFit="1" customWidth="1"/>
    <col min="33" max="33" width="4.42578125" style="133" bestFit="1" customWidth="1"/>
    <col min="34" max="34" width="5.85546875" style="133" bestFit="1" customWidth="1"/>
    <col min="35" max="36" width="6.5703125" style="133" bestFit="1" customWidth="1"/>
    <col min="37" max="37" width="17.28515625" style="133" bestFit="1" customWidth="1"/>
    <col min="38" max="38" width="10.140625" style="133" bestFit="1" customWidth="1"/>
    <col min="39" max="39" width="12.5703125" style="133" customWidth="1"/>
    <col min="40" max="40" width="10" style="133"/>
    <col min="41" max="41" width="34.140625" style="133" bestFit="1" customWidth="1"/>
    <col min="42" max="42" width="4.85546875" style="133" bestFit="1" customWidth="1"/>
    <col min="43" max="43" width="4.42578125" style="133" bestFit="1" customWidth="1"/>
    <col min="44" max="44" width="3.42578125" style="133" bestFit="1" customWidth="1"/>
    <col min="45" max="45" width="4.42578125" style="133" bestFit="1" customWidth="1"/>
    <col min="46" max="46" width="5.85546875" style="133" bestFit="1" customWidth="1"/>
    <col min="47" max="48" width="6.5703125" style="133" bestFit="1" customWidth="1"/>
    <col min="49" max="49" width="21.85546875" style="133" customWidth="1"/>
    <col min="50" max="50" width="10.140625" style="133" bestFit="1" customWidth="1"/>
    <col min="51" max="51" width="12.5703125" style="133" customWidth="1"/>
    <col min="52" max="52" width="10" style="133"/>
    <col min="53" max="53" width="34.140625" style="133" bestFit="1" customWidth="1"/>
    <col min="54" max="54" width="4.85546875" style="133" bestFit="1" customWidth="1"/>
    <col min="55" max="55" width="4.42578125" style="133" bestFit="1" customWidth="1"/>
    <col min="56" max="56" width="3.42578125" style="133" bestFit="1" customWidth="1"/>
    <col min="57" max="57" width="4.42578125" style="133" bestFit="1" customWidth="1"/>
    <col min="58" max="58" width="5.85546875" style="133" bestFit="1" customWidth="1"/>
    <col min="59" max="60" width="6.5703125" style="133" bestFit="1" customWidth="1"/>
    <col min="61" max="61" width="17.28515625" style="133" bestFit="1" customWidth="1"/>
    <col min="62" max="62" width="10.140625" style="133" bestFit="1" customWidth="1"/>
    <col min="63" max="63" width="12.5703125" style="133" customWidth="1"/>
    <col min="64" max="64" width="10" style="133"/>
    <col min="65" max="65" width="34.140625" style="133" bestFit="1" customWidth="1"/>
    <col min="66" max="66" width="4.85546875" style="133" bestFit="1" customWidth="1"/>
    <col min="67" max="67" width="4.42578125" style="133" bestFit="1" customWidth="1"/>
    <col min="68" max="68" width="3.42578125" style="133" bestFit="1" customWidth="1"/>
    <col min="69" max="69" width="4.42578125" style="133" bestFit="1" customWidth="1"/>
    <col min="70" max="70" width="5.85546875" style="133" bestFit="1" customWidth="1"/>
    <col min="71" max="72" width="6.5703125" style="133" bestFit="1" customWidth="1"/>
    <col min="73" max="73" width="21.85546875" style="133" customWidth="1"/>
    <col min="74" max="74" width="10.140625" style="133" bestFit="1" customWidth="1"/>
    <col min="75" max="75" width="12.5703125" style="133" customWidth="1"/>
    <col min="76" max="76" width="10" style="133" customWidth="1"/>
    <col min="77" max="77" width="34.140625" style="133" bestFit="1" customWidth="1"/>
    <col min="78" max="78" width="4.85546875" style="133" bestFit="1" customWidth="1"/>
    <col min="79" max="79" width="4.42578125" style="133" bestFit="1" customWidth="1"/>
    <col min="80" max="80" width="3.42578125" style="133" bestFit="1" customWidth="1"/>
    <col min="81" max="81" width="4.42578125" style="133" bestFit="1" customWidth="1"/>
    <col min="82" max="82" width="5.85546875" style="133" bestFit="1" customWidth="1"/>
    <col min="83" max="84" width="6.5703125" style="133" bestFit="1" customWidth="1"/>
    <col min="85" max="85" width="17.28515625" style="133" bestFit="1" customWidth="1"/>
    <col min="86" max="86" width="10.140625" style="133" bestFit="1" customWidth="1"/>
    <col min="87" max="87" width="12.5703125" style="133" customWidth="1"/>
    <col min="88" max="88" width="10" style="133"/>
    <col min="89" max="89" width="34.140625" style="133" bestFit="1" customWidth="1"/>
    <col min="90" max="90" width="4.85546875" style="133" bestFit="1" customWidth="1"/>
    <col min="91" max="91" width="4.42578125" style="133" bestFit="1" customWidth="1"/>
    <col min="92" max="92" width="3.42578125" style="133" bestFit="1" customWidth="1"/>
    <col min="93" max="93" width="4.42578125" style="133" bestFit="1" customWidth="1"/>
    <col min="94" max="94" width="5.85546875" style="133" bestFit="1" customWidth="1"/>
    <col min="95" max="96" width="6.5703125" style="133" bestFit="1" customWidth="1"/>
    <col min="97" max="97" width="21.85546875" style="133" customWidth="1"/>
    <col min="98" max="98" width="10.140625" style="133" bestFit="1" customWidth="1"/>
    <col min="99" max="99" width="12.5703125" style="133" customWidth="1"/>
    <col min="100" max="100" width="10" style="133"/>
    <col min="101" max="101" width="34.140625" style="133" bestFit="1" customWidth="1"/>
    <col min="102" max="102" width="4.85546875" style="133" bestFit="1" customWidth="1"/>
    <col min="103" max="103" width="4.42578125" style="133" bestFit="1" customWidth="1"/>
    <col min="104" max="104" width="3.42578125" style="133" bestFit="1" customWidth="1"/>
    <col min="105" max="105" width="4.42578125" style="133" bestFit="1" customWidth="1"/>
    <col min="106" max="106" width="5.85546875" style="133" bestFit="1" customWidth="1"/>
    <col min="107" max="108" width="6.5703125" style="133" bestFit="1" customWidth="1"/>
    <col min="109" max="109" width="17.28515625" style="133" bestFit="1" customWidth="1"/>
    <col min="110" max="110" width="10.140625" style="133" bestFit="1" customWidth="1"/>
    <col min="111" max="111" width="12.5703125" style="133" customWidth="1"/>
    <col min="112" max="112" width="10" style="133"/>
    <col min="113" max="113" width="34.140625" style="133" bestFit="1" customWidth="1"/>
    <col min="114" max="114" width="4.85546875" style="133" bestFit="1" customWidth="1"/>
    <col min="115" max="115" width="4.42578125" style="133" bestFit="1" customWidth="1"/>
    <col min="116" max="116" width="3.42578125" style="133" bestFit="1" customWidth="1"/>
    <col min="117" max="117" width="4.42578125" style="133" bestFit="1" customWidth="1"/>
    <col min="118" max="118" width="5.85546875" style="133" bestFit="1" customWidth="1"/>
    <col min="119" max="120" width="6.5703125" style="133" bestFit="1" customWidth="1"/>
    <col min="121" max="121" width="21.85546875" style="133" customWidth="1"/>
    <col min="122" max="122" width="10.140625" style="133" bestFit="1" customWidth="1"/>
    <col min="123" max="123" width="12.5703125" style="133" customWidth="1"/>
    <col min="124" max="124" width="10" style="133"/>
    <col min="125" max="125" width="34.140625" style="133" bestFit="1" customWidth="1"/>
    <col min="126" max="126" width="4.85546875" style="133" bestFit="1" customWidth="1"/>
    <col min="127" max="127" width="4.42578125" style="133" bestFit="1" customWidth="1"/>
    <col min="128" max="128" width="3.42578125" style="133" bestFit="1" customWidth="1"/>
    <col min="129" max="129" width="4.42578125" style="133" bestFit="1" customWidth="1"/>
    <col min="130" max="130" width="5.85546875" style="133" bestFit="1" customWidth="1"/>
    <col min="131" max="132" width="6.5703125" style="133" bestFit="1" customWidth="1"/>
    <col min="133" max="133" width="17.28515625" style="133" bestFit="1" customWidth="1"/>
    <col min="134" max="134" width="10.140625" style="133" bestFit="1" customWidth="1"/>
    <col min="135" max="135" width="12.5703125" style="133" customWidth="1"/>
    <col min="136" max="136" width="10" style="133"/>
    <col min="137" max="137" width="34.140625" style="133" bestFit="1" customWidth="1"/>
    <col min="138" max="138" width="4.85546875" style="133" bestFit="1" customWidth="1"/>
    <col min="139" max="139" width="4.42578125" style="133" bestFit="1" customWidth="1"/>
    <col min="140" max="140" width="3.42578125" style="133" bestFit="1" customWidth="1"/>
    <col min="141" max="141" width="4.42578125" style="133" bestFit="1" customWidth="1"/>
    <col min="142" max="142" width="5.85546875" style="133" bestFit="1" customWidth="1"/>
    <col min="143" max="144" width="6.5703125" style="133" bestFit="1" customWidth="1"/>
    <col min="145" max="145" width="21.85546875" style="133" customWidth="1"/>
    <col min="146" max="146" width="10.140625" style="133" bestFit="1" customWidth="1"/>
    <col min="147" max="147" width="12.5703125" style="133" customWidth="1"/>
    <col min="148" max="148" width="10" style="133"/>
    <col min="149" max="149" width="34.140625" style="133" bestFit="1" customWidth="1"/>
    <col min="150" max="150" width="4.85546875" style="133" bestFit="1" customWidth="1"/>
    <col min="151" max="151" width="4.42578125" style="133" bestFit="1" customWidth="1"/>
    <col min="152" max="152" width="3.42578125" style="133" bestFit="1" customWidth="1"/>
    <col min="153" max="153" width="4.42578125" style="133" bestFit="1" customWidth="1"/>
    <col min="154" max="154" width="5.85546875" style="133" bestFit="1" customWidth="1"/>
    <col min="155" max="156" width="6.5703125" style="133" bestFit="1" customWidth="1"/>
    <col min="157" max="157" width="17.28515625" style="133" bestFit="1" customWidth="1"/>
    <col min="158" max="158" width="10.140625" style="133" bestFit="1" customWidth="1"/>
    <col min="159" max="159" width="12.5703125" style="133" customWidth="1"/>
    <col min="160" max="160" width="10" style="133"/>
    <col min="161" max="161" width="34.140625" style="133" bestFit="1" customWidth="1"/>
    <col min="162" max="162" width="4.85546875" style="133" bestFit="1" customWidth="1"/>
    <col min="163" max="163" width="4.42578125" style="133" bestFit="1" customWidth="1"/>
    <col min="164" max="164" width="3.42578125" style="133" bestFit="1" customWidth="1"/>
    <col min="165" max="165" width="4.42578125" style="133" bestFit="1" customWidth="1"/>
    <col min="166" max="166" width="5.85546875" style="133" bestFit="1" customWidth="1"/>
    <col min="167" max="168" width="6.5703125" style="133" bestFit="1" customWidth="1"/>
    <col min="169" max="169" width="21.85546875" style="133" customWidth="1"/>
    <col min="170" max="170" width="10.140625" style="133" bestFit="1" customWidth="1"/>
    <col min="171" max="171" width="12.5703125" style="133" customWidth="1"/>
    <col min="172" max="172" width="10" style="133"/>
    <col min="173" max="173" width="34.140625" style="133" bestFit="1" customWidth="1"/>
    <col min="174" max="174" width="4.85546875" style="133" bestFit="1" customWidth="1"/>
    <col min="175" max="175" width="4.42578125" style="133" bestFit="1" customWidth="1"/>
    <col min="176" max="176" width="3.42578125" style="133" bestFit="1" customWidth="1"/>
    <col min="177" max="177" width="4.42578125" style="133" bestFit="1" customWidth="1"/>
    <col min="178" max="178" width="5.85546875" style="133" bestFit="1" customWidth="1"/>
    <col min="179" max="180" width="6.5703125" style="133" bestFit="1" customWidth="1"/>
    <col min="181" max="181" width="17.28515625" style="133" bestFit="1" customWidth="1"/>
    <col min="182" max="182" width="10.140625" style="133" bestFit="1" customWidth="1"/>
    <col min="183" max="183" width="12.5703125" style="133" customWidth="1"/>
    <col min="184" max="184" width="10" style="133"/>
    <col min="185" max="185" width="34.140625" style="133" bestFit="1" customWidth="1"/>
    <col min="186" max="186" width="4.85546875" style="133" bestFit="1" customWidth="1"/>
    <col min="187" max="187" width="4.42578125" style="133" bestFit="1" customWidth="1"/>
    <col min="188" max="188" width="3.42578125" style="133" bestFit="1" customWidth="1"/>
    <col min="189" max="189" width="4.42578125" style="133" bestFit="1" customWidth="1"/>
    <col min="190" max="190" width="5.85546875" style="133" bestFit="1" customWidth="1"/>
    <col min="191" max="192" width="6.5703125" style="133" bestFit="1" customWidth="1"/>
    <col min="193" max="193" width="21.85546875" style="133" customWidth="1"/>
    <col min="194" max="194" width="10.140625" style="133" bestFit="1" customWidth="1"/>
    <col min="195" max="195" width="12.5703125" style="133" customWidth="1"/>
    <col min="196" max="196" width="10" style="133"/>
    <col min="197" max="197" width="34.140625" style="133" bestFit="1" customWidth="1"/>
    <col min="198" max="198" width="4.85546875" style="133" bestFit="1" customWidth="1"/>
    <col min="199" max="199" width="4.42578125" style="133" bestFit="1" customWidth="1"/>
    <col min="200" max="200" width="3.42578125" style="133" bestFit="1" customWidth="1"/>
    <col min="201" max="201" width="4.42578125" style="133" bestFit="1" customWidth="1"/>
    <col min="202" max="202" width="5.85546875" style="133" bestFit="1" customWidth="1"/>
    <col min="203" max="204" width="6.5703125" style="133" bestFit="1" customWidth="1"/>
    <col min="205" max="205" width="17.28515625" style="133" bestFit="1" customWidth="1"/>
    <col min="206" max="206" width="10.140625" style="133" bestFit="1" customWidth="1"/>
    <col min="207" max="207" width="12.5703125" style="133" customWidth="1"/>
    <col min="208" max="208" width="10" style="133"/>
    <col min="209" max="209" width="34.140625" style="133" bestFit="1" customWidth="1"/>
    <col min="210" max="210" width="4.85546875" style="133" bestFit="1" customWidth="1"/>
    <col min="211" max="211" width="4.42578125" style="133" bestFit="1" customWidth="1"/>
    <col min="212" max="212" width="3.42578125" style="133" bestFit="1" customWidth="1"/>
    <col min="213" max="213" width="4.42578125" style="133" bestFit="1" customWidth="1"/>
    <col min="214" max="214" width="5.85546875" style="133" bestFit="1" customWidth="1"/>
    <col min="215" max="216" width="6.5703125" style="133" bestFit="1" customWidth="1"/>
    <col min="217" max="217" width="21.85546875" style="133" customWidth="1"/>
    <col min="218" max="218" width="10.140625" style="133" bestFit="1" customWidth="1"/>
    <col min="219" max="219" width="12.5703125" style="133" customWidth="1"/>
    <col min="220" max="220" width="10" style="133"/>
    <col min="221" max="221" width="34.140625" style="133" bestFit="1" customWidth="1"/>
    <col min="222" max="222" width="4.85546875" style="133" bestFit="1" customWidth="1"/>
    <col min="223" max="223" width="4.42578125" style="133" bestFit="1" customWidth="1"/>
    <col min="224" max="224" width="3.42578125" style="133" bestFit="1" customWidth="1"/>
    <col min="225" max="225" width="4.42578125" style="133" bestFit="1" customWidth="1"/>
    <col min="226" max="226" width="5.85546875" style="133" bestFit="1" customWidth="1"/>
    <col min="227" max="228" width="6.5703125" style="133" bestFit="1" customWidth="1"/>
    <col min="229" max="229" width="17.28515625" style="133" bestFit="1" customWidth="1"/>
    <col min="230" max="230" width="10.140625" style="133" bestFit="1" customWidth="1"/>
    <col min="231" max="231" width="12.5703125" style="133" customWidth="1"/>
    <col min="232" max="232" width="10" style="133"/>
    <col min="233" max="233" width="34.140625" style="133" bestFit="1" customWidth="1"/>
    <col min="234" max="234" width="4.85546875" style="133" bestFit="1" customWidth="1"/>
    <col min="235" max="235" width="4.42578125" style="133" bestFit="1" customWidth="1"/>
    <col min="236" max="236" width="3.42578125" style="133" bestFit="1" customWidth="1"/>
    <col min="237" max="237" width="4.42578125" style="133" bestFit="1" customWidth="1"/>
    <col min="238" max="238" width="5.85546875" style="133" bestFit="1" customWidth="1"/>
    <col min="239" max="240" width="6.5703125" style="133" bestFit="1" customWidth="1"/>
    <col min="241" max="241" width="16.28515625" style="133" bestFit="1" customWidth="1"/>
    <col min="242" max="242" width="10.140625" style="133" bestFit="1" customWidth="1"/>
    <col min="243" max="243" width="12" style="133" bestFit="1" customWidth="1"/>
    <col min="244" max="244" width="10" style="133"/>
    <col min="245" max="245" width="34.140625" style="133" bestFit="1" customWidth="1"/>
    <col min="246" max="246" width="4.85546875" style="133" bestFit="1" customWidth="1"/>
    <col min="247" max="247" width="4.42578125" style="133" bestFit="1" customWidth="1"/>
    <col min="248" max="248" width="3.42578125" style="133" bestFit="1" customWidth="1"/>
    <col min="249" max="249" width="4.42578125" style="133" bestFit="1" customWidth="1"/>
    <col min="250" max="250" width="5.85546875" style="133" bestFit="1" customWidth="1"/>
    <col min="251" max="252" width="6.5703125" style="133" bestFit="1" customWidth="1"/>
    <col min="253" max="16384" width="10" style="133"/>
  </cols>
  <sheetData>
    <row r="1" spans="1:243" ht="46.5" x14ac:dyDescent="0.7">
      <c r="A1" s="275"/>
      <c r="B1" s="275" t="s">
        <v>1</v>
      </c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80"/>
      <c r="N1" s="280" t="s">
        <v>2</v>
      </c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8"/>
      <c r="Z1" s="288" t="s">
        <v>3</v>
      </c>
      <c r="AA1" s="288"/>
      <c r="AB1" s="288"/>
      <c r="AC1" s="288"/>
      <c r="AD1" s="288"/>
      <c r="AE1" s="288"/>
      <c r="AF1" s="288"/>
      <c r="AG1" s="288"/>
      <c r="AH1" s="288"/>
      <c r="AI1" s="288"/>
      <c r="AJ1" s="288"/>
      <c r="AK1" s="416"/>
      <c r="AL1" s="416" t="s">
        <v>125</v>
      </c>
      <c r="AM1" s="416"/>
      <c r="AN1" s="416"/>
      <c r="AO1" s="416"/>
      <c r="AP1" s="416"/>
      <c r="AQ1" s="416"/>
      <c r="AR1" s="416"/>
      <c r="AS1" s="416"/>
      <c r="AT1" s="416"/>
      <c r="AU1" s="416"/>
      <c r="AV1" s="416"/>
      <c r="AW1" s="296"/>
      <c r="AX1" s="296" t="s">
        <v>4</v>
      </c>
      <c r="AY1" s="296"/>
      <c r="AZ1" s="296"/>
      <c r="BA1" s="296"/>
      <c r="BB1" s="296"/>
      <c r="BC1" s="296"/>
      <c r="BD1" s="296"/>
      <c r="BE1" s="296"/>
      <c r="BF1" s="296"/>
      <c r="BG1" s="296"/>
      <c r="BH1" s="296"/>
      <c r="BI1" s="302"/>
      <c r="BJ1" s="302" t="s">
        <v>5</v>
      </c>
      <c r="BK1" s="302"/>
      <c r="BL1" s="302"/>
      <c r="BM1" s="302"/>
      <c r="BN1" s="302"/>
      <c r="BO1" s="302"/>
      <c r="BP1" s="302"/>
      <c r="BQ1" s="302"/>
      <c r="BR1" s="302"/>
      <c r="BS1" s="302"/>
      <c r="BT1" s="302"/>
      <c r="BU1" s="308"/>
      <c r="BV1" s="308" t="s">
        <v>6</v>
      </c>
      <c r="BW1" s="308"/>
      <c r="BX1" s="308"/>
      <c r="BY1" s="308"/>
      <c r="BZ1" s="308"/>
      <c r="CA1" s="308"/>
      <c r="CB1" s="308"/>
      <c r="CC1" s="308"/>
      <c r="CD1" s="308"/>
      <c r="CE1" s="308"/>
      <c r="CF1" s="308"/>
      <c r="CG1" s="316"/>
      <c r="CH1" s="316" t="s">
        <v>7</v>
      </c>
      <c r="CI1" s="316"/>
      <c r="CJ1" s="316"/>
      <c r="CK1" s="316"/>
      <c r="CL1" s="316"/>
      <c r="CM1" s="316"/>
      <c r="CN1" s="316"/>
      <c r="CO1" s="316"/>
      <c r="CP1" s="316"/>
      <c r="CQ1" s="316"/>
      <c r="CR1" s="316"/>
      <c r="CS1" s="324"/>
      <c r="CT1" s="324" t="s">
        <v>126</v>
      </c>
      <c r="CU1" s="324"/>
      <c r="CV1" s="324"/>
      <c r="CW1" s="324"/>
      <c r="CX1" s="324"/>
      <c r="CY1" s="324"/>
      <c r="CZ1" s="324"/>
      <c r="DA1" s="324"/>
      <c r="DB1" s="324"/>
      <c r="DC1" s="324"/>
      <c r="DD1" s="324"/>
      <c r="DE1" s="332"/>
      <c r="DF1" s="332" t="s">
        <v>139</v>
      </c>
      <c r="DG1" s="332"/>
      <c r="DH1" s="332"/>
      <c r="DI1" s="332"/>
      <c r="DJ1" s="332"/>
      <c r="DK1" s="332"/>
      <c r="DL1" s="332"/>
      <c r="DM1" s="332"/>
      <c r="DN1" s="332"/>
      <c r="DO1" s="332"/>
      <c r="DP1" s="332"/>
      <c r="DQ1" s="339"/>
      <c r="DR1" s="339" t="s">
        <v>8</v>
      </c>
      <c r="DS1" s="339"/>
      <c r="DT1" s="339"/>
      <c r="DU1" s="339"/>
      <c r="DV1" s="339"/>
      <c r="DW1" s="339"/>
      <c r="DX1" s="339"/>
      <c r="DY1" s="339"/>
      <c r="DZ1" s="339"/>
      <c r="EA1" s="339"/>
      <c r="EB1" s="339"/>
      <c r="EC1" s="347"/>
      <c r="ED1" s="347" t="s">
        <v>9</v>
      </c>
      <c r="EE1" s="347"/>
      <c r="EF1" s="347"/>
      <c r="EG1" s="347"/>
      <c r="EH1" s="347"/>
      <c r="EI1" s="347"/>
      <c r="EJ1" s="347"/>
      <c r="EK1" s="347"/>
      <c r="EL1" s="347"/>
      <c r="EM1" s="347"/>
      <c r="EN1" s="347"/>
      <c r="EO1" s="353"/>
      <c r="EP1" s="353" t="s">
        <v>10</v>
      </c>
      <c r="EQ1" s="353"/>
      <c r="ER1" s="353"/>
      <c r="ES1" s="353"/>
      <c r="ET1" s="353"/>
      <c r="EU1" s="353"/>
      <c r="EV1" s="353"/>
      <c r="EW1" s="353"/>
      <c r="EX1" s="353"/>
      <c r="EY1" s="353"/>
      <c r="EZ1" s="353"/>
      <c r="FA1" s="359"/>
      <c r="FB1" s="359" t="s">
        <v>11</v>
      </c>
      <c r="FC1" s="359"/>
      <c r="FD1" s="359"/>
      <c r="FE1" s="359"/>
      <c r="FF1" s="359"/>
      <c r="FG1" s="359"/>
      <c r="FH1" s="359"/>
      <c r="FI1" s="359"/>
      <c r="FJ1" s="359"/>
      <c r="FK1" s="359"/>
      <c r="FL1" s="359"/>
      <c r="FM1" s="367"/>
      <c r="FN1" s="367" t="s">
        <v>12</v>
      </c>
      <c r="FO1" s="367"/>
      <c r="FP1" s="367"/>
      <c r="FQ1" s="367"/>
      <c r="FR1" s="367"/>
      <c r="FS1" s="367"/>
      <c r="FT1" s="367"/>
      <c r="FU1" s="367"/>
      <c r="FV1" s="367"/>
      <c r="FW1" s="367"/>
      <c r="FX1" s="367"/>
      <c r="FY1" s="373"/>
      <c r="FZ1" s="373" t="s">
        <v>204</v>
      </c>
      <c r="GA1" s="373"/>
      <c r="GB1" s="373"/>
      <c r="GC1" s="373"/>
      <c r="GD1" s="373"/>
      <c r="GE1" s="373"/>
      <c r="GF1" s="373"/>
      <c r="GG1" s="373"/>
      <c r="GH1" s="373"/>
      <c r="GI1" s="373"/>
      <c r="GJ1" s="373"/>
      <c r="GK1" s="275"/>
      <c r="GL1" s="275" t="s">
        <v>13</v>
      </c>
      <c r="GM1" s="275"/>
      <c r="GN1" s="275"/>
      <c r="GO1" s="275"/>
      <c r="GP1" s="275"/>
      <c r="GQ1" s="275"/>
      <c r="GR1" s="275"/>
      <c r="GS1" s="275"/>
      <c r="GT1" s="275"/>
      <c r="GU1" s="275"/>
      <c r="GV1" s="275"/>
      <c r="GW1" s="388"/>
      <c r="GX1" s="388" t="s">
        <v>14</v>
      </c>
      <c r="GY1" s="388"/>
      <c r="GZ1" s="388"/>
      <c r="HA1" s="388"/>
      <c r="HB1" s="388"/>
      <c r="HC1" s="388"/>
      <c r="HD1" s="388"/>
      <c r="HE1" s="388"/>
      <c r="HF1" s="388"/>
      <c r="HG1" s="388"/>
      <c r="HH1" s="388"/>
      <c r="HI1" s="394"/>
      <c r="HJ1" s="394" t="s">
        <v>15</v>
      </c>
      <c r="HK1" s="394"/>
      <c r="HL1" s="394"/>
      <c r="HM1" s="394"/>
      <c r="HN1" s="394"/>
      <c r="HO1" s="394"/>
      <c r="HP1" s="394"/>
      <c r="HQ1" s="394"/>
      <c r="HR1" s="394"/>
      <c r="HS1" s="394"/>
      <c r="HT1" s="394"/>
      <c r="HU1" s="400"/>
      <c r="HV1" s="400" t="s">
        <v>16</v>
      </c>
      <c r="HW1" s="400"/>
      <c r="HX1" s="400"/>
      <c r="HY1" s="400"/>
      <c r="HZ1" s="400"/>
      <c r="IA1" s="400"/>
      <c r="IB1" s="400"/>
      <c r="IC1" s="400"/>
      <c r="ID1" s="400"/>
      <c r="IE1" s="400"/>
      <c r="IF1" s="400"/>
    </row>
    <row r="2" spans="1:243" x14ac:dyDescent="0.4">
      <c r="A2" s="276" t="s">
        <v>17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281" t="s">
        <v>17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289" t="s">
        <v>17</v>
      </c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409" t="s">
        <v>17</v>
      </c>
      <c r="AL2" s="410"/>
      <c r="AM2" s="410"/>
      <c r="AN2" s="410"/>
      <c r="AO2" s="410"/>
      <c r="AP2" s="410"/>
      <c r="AQ2" s="410"/>
      <c r="AR2" s="410"/>
      <c r="AS2" s="410"/>
      <c r="AT2" s="410"/>
      <c r="AU2" s="410"/>
      <c r="AV2" s="410"/>
      <c r="AW2" s="297" t="s">
        <v>17</v>
      </c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303" t="s">
        <v>17</v>
      </c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309" t="s">
        <v>17</v>
      </c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317" t="s">
        <v>17</v>
      </c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325" t="s">
        <v>17</v>
      </c>
      <c r="CT2" s="178"/>
      <c r="CU2" s="178"/>
      <c r="CV2" s="178"/>
      <c r="CW2" s="178"/>
      <c r="CX2" s="178"/>
      <c r="CY2" s="178"/>
      <c r="CZ2" s="178"/>
      <c r="DA2" s="178"/>
      <c r="DB2" s="178"/>
      <c r="DC2" s="178"/>
      <c r="DD2" s="178"/>
      <c r="DE2" s="333" t="s">
        <v>17</v>
      </c>
      <c r="DF2" s="177"/>
      <c r="DG2" s="177"/>
      <c r="DH2" s="177"/>
      <c r="DI2" s="177"/>
      <c r="DJ2" s="177"/>
      <c r="DK2" s="177"/>
      <c r="DL2" s="177"/>
      <c r="DM2" s="177"/>
      <c r="DN2" s="177"/>
      <c r="DO2" s="177"/>
      <c r="DP2" s="177"/>
      <c r="DQ2" s="340" t="s">
        <v>17</v>
      </c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348" t="s">
        <v>17</v>
      </c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354" t="s">
        <v>17</v>
      </c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360" t="s">
        <v>17</v>
      </c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368" t="s">
        <v>17</v>
      </c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374" t="s">
        <v>17</v>
      </c>
      <c r="FZ2" s="264"/>
      <c r="GA2" s="264"/>
      <c r="GB2" s="264"/>
      <c r="GC2" s="264"/>
      <c r="GD2" s="264"/>
      <c r="GE2" s="264"/>
      <c r="GF2" s="264"/>
      <c r="GG2" s="264"/>
      <c r="GH2" s="264"/>
      <c r="GI2" s="264"/>
      <c r="GJ2" s="264"/>
      <c r="GK2" s="381" t="s">
        <v>17</v>
      </c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89" t="s">
        <v>17</v>
      </c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95" t="s">
        <v>17</v>
      </c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401" t="s">
        <v>17</v>
      </c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</row>
    <row r="3" spans="1:243" x14ac:dyDescent="0.4">
      <c r="A3" s="91">
        <v>5</v>
      </c>
      <c r="B3" s="93" t="s">
        <v>146</v>
      </c>
      <c r="C3" s="277">
        <f ca="1">IFERROR(INDIRECT("fixtures!" &amp; Dashboard!J1 &amp;2) - Dashboard!K1/24,"TBC")</f>
        <v>44778.916666666664</v>
      </c>
      <c r="D3" s="6"/>
      <c r="E3" s="6" t="s">
        <v>6</v>
      </c>
      <c r="F3" s="6" t="s">
        <v>106</v>
      </c>
      <c r="G3" s="91">
        <f>IF(ISBLANK(fixtures!$L2),"",fixtures!$L2)</f>
        <v>2</v>
      </c>
      <c r="H3" s="6" t="str">
        <f>IF(ISBLANK(fixtures!$L2),"",":")</f>
        <v>:</v>
      </c>
      <c r="I3" s="93">
        <f>IF(ISBLANK(fixtures!$K2),"",fixtures!$K2)</f>
        <v>0</v>
      </c>
      <c r="J3" s="6" t="str">
        <f>IF(ISBLANK(fixtures!$L2),"",IF(G3&gt;I3,"W",IF(G3=I3,"D","L")))</f>
        <v>W</v>
      </c>
      <c r="K3" s="6"/>
      <c r="L3" s="6"/>
      <c r="M3" s="282">
        <v>6</v>
      </c>
      <c r="N3" s="283" t="s">
        <v>107</v>
      </c>
      <c r="O3" s="284">
        <f ca="1">IFERROR(INDIRECT("fixtures!" &amp; Dashboard!J1 &amp;4) - Dashboard!K1/24,"TBC")</f>
        <v>44779.708333333336</v>
      </c>
      <c r="P3" s="9"/>
      <c r="Q3" s="9" t="s">
        <v>3</v>
      </c>
      <c r="R3" s="9" t="s">
        <v>106</v>
      </c>
      <c r="S3" s="282">
        <f>IF(ISBLANK(fixtures!$L4),"",fixtures!$L4)</f>
        <v>0</v>
      </c>
      <c r="T3" s="9" t="str">
        <f>IF(ISBLANK(fixtures!$L4),"",":")</f>
        <v>:</v>
      </c>
      <c r="U3" s="283">
        <f>IF(ISBLANK(fixtures!$K4),"",fixtures!$K4)</f>
        <v>2</v>
      </c>
      <c r="V3" s="9" t="str">
        <f>IF(ISBLANK(fixtures!$L4),"",IF(S3&gt;U3,"W",IF(S3=U3,"D","L")))</f>
        <v>L</v>
      </c>
      <c r="W3" s="9"/>
      <c r="X3" s="9"/>
      <c r="Y3" s="290">
        <v>6</v>
      </c>
      <c r="Z3" s="292" t="s">
        <v>107</v>
      </c>
      <c r="AA3" s="291">
        <f ca="1">IFERROR(INDIRECT("fixtures!" &amp; Dashboard!J1 &amp;4) - Dashboard!K1/24,"TBC")</f>
        <v>44779.708333333336</v>
      </c>
      <c r="AB3" s="262"/>
      <c r="AC3" s="262" t="s">
        <v>2</v>
      </c>
      <c r="AD3" s="262" t="s">
        <v>108</v>
      </c>
      <c r="AE3" s="290">
        <f>IF(ISBLANK(fixtures!$K4),"",fixtures!$K4)</f>
        <v>2</v>
      </c>
      <c r="AF3" s="262" t="str">
        <f>IF(ISBLANK(fixtures!$L4),"",":")</f>
        <v>:</v>
      </c>
      <c r="AG3" s="292">
        <f>IF(ISBLANK(fixtures!$L4),"",fixtures!$L4)</f>
        <v>0</v>
      </c>
      <c r="AH3" s="262" t="str">
        <f>IF(ISBLANK(fixtures!$L4),"",IF(AE3&gt;AG3,"W",IF(AE3=AG3,"D","L")))</f>
        <v>W</v>
      </c>
      <c r="AI3" s="262"/>
      <c r="AJ3" s="262"/>
      <c r="AK3" s="411">
        <v>7</v>
      </c>
      <c r="AL3" s="412" t="s">
        <v>105</v>
      </c>
      <c r="AM3" s="413">
        <f ca="1">IFERROR(INDIRECT("fixtures!" &amp; Dashboard!J1 &amp;9) - Dashboard!K1/24,"TBC")</f>
        <v>44780.666666666664</v>
      </c>
      <c r="AN3" s="410"/>
      <c r="AO3" s="410" t="s">
        <v>8</v>
      </c>
      <c r="AP3" s="410" t="s">
        <v>106</v>
      </c>
      <c r="AQ3" s="411">
        <f>IF(ISBLANK(fixtures!$L9),"",fixtures!$L9)</f>
        <v>2</v>
      </c>
      <c r="AR3" s="410" t="str">
        <f>IF(ISBLANK(fixtures!$L9),"",":")</f>
        <v>:</v>
      </c>
      <c r="AS3" s="412">
        <f>IF(ISBLANK(fixtures!$K9),"",fixtures!$K9)</f>
        <v>2</v>
      </c>
      <c r="AT3" s="410" t="str">
        <f>IF(ISBLANK(fixtures!$L9),"",IF(AQ3&gt;AS3,"W",IF(AQ3=AS3,"D","L")))</f>
        <v>D</v>
      </c>
      <c r="AU3" s="410"/>
      <c r="AV3" s="410"/>
      <c r="AW3" s="96">
        <v>7</v>
      </c>
      <c r="AX3" s="98" t="s">
        <v>105</v>
      </c>
      <c r="AY3" s="298">
        <f ca="1">IFERROR(INDIRECT("fixtures!" &amp; Dashboard!J1 &amp;10) - Dashboard!K1/24,"TBC")</f>
        <v>44780.666666666664</v>
      </c>
      <c r="AZ3" s="11"/>
      <c r="BA3" s="11" t="s">
        <v>11</v>
      </c>
      <c r="BB3" s="11" t="s">
        <v>106</v>
      </c>
      <c r="BC3" s="96">
        <f>IF(ISBLANK(fixtures!$L10),"",fixtures!$L10)</f>
        <v>2</v>
      </c>
      <c r="BD3" s="11" t="str">
        <f>IF(ISBLANK(fixtures!$L10),"",":")</f>
        <v>:</v>
      </c>
      <c r="BE3" s="98">
        <f>IF(ISBLANK(fixtures!$K10),"",fixtures!$K10)</f>
        <v>1</v>
      </c>
      <c r="BF3" s="11" t="str">
        <f>IF(ISBLANK(fixtures!$L10),"",IF(BC3&gt;BE3,"W",IF(BC3=BE3,"D","L")))</f>
        <v>W</v>
      </c>
      <c r="BG3" s="11"/>
      <c r="BH3" s="11"/>
      <c r="BI3" s="181">
        <v>6</v>
      </c>
      <c r="BJ3" s="183" t="s">
        <v>107</v>
      </c>
      <c r="BK3" s="304">
        <f ca="1">IFERROR(INDIRECT("fixtures!" &amp; Dashboard!J1 &amp;8) - Dashboard!K1/24,"TBC")</f>
        <v>44779.8125</v>
      </c>
      <c r="BL3" s="15"/>
      <c r="BM3" s="15" t="s">
        <v>7</v>
      </c>
      <c r="BN3" s="15" t="s">
        <v>106</v>
      </c>
      <c r="BO3" s="181">
        <f>IF(ISBLANK(fixtures!$L8),"",fixtures!$L8)</f>
        <v>1</v>
      </c>
      <c r="BP3" s="15" t="str">
        <f>IF(ISBLANK(fixtures!$L8),"",":")</f>
        <v>:</v>
      </c>
      <c r="BQ3" s="183">
        <f>IF(ISBLANK(fixtures!$K8),"",fixtures!$K8)</f>
        <v>0</v>
      </c>
      <c r="BR3" s="15" t="str">
        <f>IF(ISBLANK(fixtures!$L8),"",IF(BO3&gt;BQ3,"W",IF(BO3=BQ3,"D","L")))</f>
        <v>W</v>
      </c>
      <c r="BS3" s="15"/>
      <c r="BT3" s="15"/>
      <c r="BU3" s="310">
        <v>5</v>
      </c>
      <c r="BV3" s="311" t="s">
        <v>146</v>
      </c>
      <c r="BW3" s="312">
        <f ca="1">IFERROR(INDIRECT("fixtures!" &amp; Dashboard!J1 &amp;2) - Dashboard!K1/24,"TBC")</f>
        <v>44778.916666666664</v>
      </c>
      <c r="BX3" s="16"/>
      <c r="BY3" s="16" t="s">
        <v>1</v>
      </c>
      <c r="BZ3" s="16" t="s">
        <v>108</v>
      </c>
      <c r="CA3" s="310">
        <f>IF(ISBLANK(fixtures!$K2),"",fixtures!$K2)</f>
        <v>0</v>
      </c>
      <c r="CB3" s="16" t="str">
        <f>IF(ISBLANK(fixtures!$L2),"",":")</f>
        <v>:</v>
      </c>
      <c r="CC3" s="311">
        <f>IF(ISBLANK(fixtures!$L2),"",fixtures!$L2)</f>
        <v>2</v>
      </c>
      <c r="CD3" s="16" t="str">
        <f>IF(ISBLANK(fixtures!$L2),"",IF(CA3&gt;CC3,"W",IF(CA3=CC3,"D","L")))</f>
        <v>L</v>
      </c>
      <c r="CE3" s="16"/>
      <c r="CF3" s="16"/>
      <c r="CG3" s="318">
        <v>6</v>
      </c>
      <c r="CH3" s="319" t="s">
        <v>107</v>
      </c>
      <c r="CI3" s="320">
        <f ca="1">IFERROR(INDIRECT("fixtures!" &amp; Dashboard!J1 &amp;8) - Dashboard!K1/24,"TBC")</f>
        <v>44779.8125</v>
      </c>
      <c r="CJ3" s="19"/>
      <c r="CK3" s="19" t="s">
        <v>5</v>
      </c>
      <c r="CL3" s="19" t="s">
        <v>108</v>
      </c>
      <c r="CM3" s="318">
        <f>IF(ISBLANK(fixtures!$K8),"",fixtures!$K8)</f>
        <v>0</v>
      </c>
      <c r="CN3" s="19" t="str">
        <f>IF(ISBLANK(fixtures!$L8),"",":")</f>
        <v>:</v>
      </c>
      <c r="CO3" s="319">
        <f>IF(ISBLANK(fixtures!$L8),"",fixtures!$L8)</f>
        <v>1</v>
      </c>
      <c r="CP3" s="19" t="str">
        <f>IF(ISBLANK(fixtures!$L8),"",IF(CM3&gt;CO3,"W",IF(CM3=CO3,"D","L")))</f>
        <v>L</v>
      </c>
      <c r="CQ3" s="19"/>
      <c r="CR3" s="19"/>
      <c r="CS3" s="326">
        <v>6</v>
      </c>
      <c r="CT3" s="327" t="s">
        <v>107</v>
      </c>
      <c r="CU3" s="328">
        <f ca="1">IFERROR(INDIRECT("fixtures!" &amp; Dashboard!J1 &amp;3) - Dashboard!K1/24,"TBC")</f>
        <v>44779.604166666664</v>
      </c>
      <c r="CV3" s="178"/>
      <c r="CW3" s="178" t="s">
        <v>9</v>
      </c>
      <c r="CX3" s="178" t="s">
        <v>108</v>
      </c>
      <c r="CY3" s="326">
        <f>IF(ISBLANK(fixtures!$K3),"",fixtures!$K3)</f>
        <v>2</v>
      </c>
      <c r="CZ3" s="178" t="str">
        <f>IF(ISBLANK(fixtures!$L3),"",":")</f>
        <v>:</v>
      </c>
      <c r="DA3" s="327">
        <f>IF(ISBLANK(fixtures!$L3),"",fixtures!$L3)</f>
        <v>2</v>
      </c>
      <c r="DB3" s="178" t="str">
        <f>IF(ISBLANK(fixtures!$L3),"",IF(CY3&gt;DA3,"W",IF(CY3=DA3,"D","L")))</f>
        <v>D</v>
      </c>
      <c r="DC3" s="178"/>
      <c r="DD3" s="178"/>
      <c r="DE3" s="334">
        <v>6</v>
      </c>
      <c r="DF3" s="335" t="s">
        <v>107</v>
      </c>
      <c r="DG3" s="336">
        <f ca="1">IFERROR(INDIRECT("fixtures!" &amp; Dashboard!J1 &amp;5) - Dashboard!K1/24,"TBC")</f>
        <v>44779.708333333336</v>
      </c>
      <c r="DH3" s="177"/>
      <c r="DI3" s="177" t="s">
        <v>16</v>
      </c>
      <c r="DJ3" s="177" t="s">
        <v>108</v>
      </c>
      <c r="DK3" s="334">
        <f>IF(ISBLANK(fixtures!$K5),"",fixtures!$K5)</f>
        <v>2</v>
      </c>
      <c r="DL3" s="177" t="str">
        <f>IF(ISBLANK(fixtures!$L5),"",":")</f>
        <v>:</v>
      </c>
      <c r="DM3" s="335">
        <f>IF(ISBLANK(fixtures!$L5),"",fixtures!$L5)</f>
        <v>1</v>
      </c>
      <c r="DN3" s="177" t="str">
        <f>IF(ISBLANK(fixtures!$L5),"",IF(DK3&gt;DM3,"W",IF(DK3=DM3,"D","L")))</f>
        <v>W</v>
      </c>
      <c r="DO3" s="177"/>
      <c r="DP3" s="177"/>
      <c r="DQ3" s="341">
        <v>7</v>
      </c>
      <c r="DR3" s="342" t="s">
        <v>105</v>
      </c>
      <c r="DS3" s="343">
        <f ca="1">IFERROR(INDIRECT("fixtures!" &amp; Dashboard!J1 &amp;9) - Dashboard!K1/24,"TBC")</f>
        <v>44780.666666666664</v>
      </c>
      <c r="DT3" s="21"/>
      <c r="DU3" s="21" t="s">
        <v>125</v>
      </c>
      <c r="DV3" s="21" t="s">
        <v>108</v>
      </c>
      <c r="DW3" s="341">
        <f>IF(ISBLANK(fixtures!$K9),"",fixtures!$K9)</f>
        <v>2</v>
      </c>
      <c r="DX3" s="21" t="str">
        <f>IF(ISBLANK(fixtures!$L9),"",":")</f>
        <v>:</v>
      </c>
      <c r="DY3" s="342">
        <f>IF(ISBLANK(fixtures!$L9),"",fixtures!$L9)</f>
        <v>2</v>
      </c>
      <c r="DZ3" s="21" t="str">
        <f>IF(ISBLANK(fixtures!$L9),"",IF(DW3&gt;DY3,"W",IF(DW3=DY3,"D","L")))</f>
        <v>D</v>
      </c>
      <c r="EA3" s="21"/>
      <c r="EB3" s="21"/>
      <c r="EC3" s="270">
        <v>6</v>
      </c>
      <c r="ED3" s="272" t="s">
        <v>107</v>
      </c>
      <c r="EE3" s="349">
        <f ca="1">IFERROR(INDIRECT("fixtures!" &amp; Dashboard!J1 &amp;3) - Dashboard!K1/24,"TBC")</f>
        <v>44779.604166666664</v>
      </c>
      <c r="EF3" s="23"/>
      <c r="EG3" s="23" t="s">
        <v>126</v>
      </c>
      <c r="EH3" s="23" t="s">
        <v>106</v>
      </c>
      <c r="EI3" s="270">
        <f>IF(ISBLANK(fixtures!$L3),"",fixtures!$L3)</f>
        <v>2</v>
      </c>
      <c r="EJ3" s="23" t="str">
        <f>IF(ISBLANK(fixtures!$L3),"",":")</f>
        <v>:</v>
      </c>
      <c r="EK3" s="272">
        <f>IF(ISBLANK(fixtures!$K3),"",fixtures!$K3)</f>
        <v>2</v>
      </c>
      <c r="EL3" s="23" t="str">
        <f>IF(ISBLANK(fixtures!$L3),"",IF(EI3&gt;EK3,"W",IF(EI3=EK3,"D","L")))</f>
        <v>D</v>
      </c>
      <c r="EM3" s="23"/>
      <c r="EN3" s="23"/>
      <c r="EO3" s="105">
        <v>7</v>
      </c>
      <c r="EP3" s="107" t="s">
        <v>105</v>
      </c>
      <c r="EQ3" s="355">
        <f ca="1">IFERROR(INDIRECT("fixtures!" &amp; Dashboard!J1 &amp;11) - Dashboard!K1/24,"TBC")</f>
        <v>44780.770833333336</v>
      </c>
      <c r="ER3" s="25"/>
      <c r="ES3" s="25" t="s">
        <v>15</v>
      </c>
      <c r="ET3" s="25" t="s">
        <v>106</v>
      </c>
      <c r="EU3" s="105">
        <f>IF(ISBLANK(fixtures!$L11),"",fixtures!$L11)</f>
        <v>2</v>
      </c>
      <c r="EV3" s="25" t="str">
        <f>IF(ISBLANK(fixtures!$L11),"",":")</f>
        <v>:</v>
      </c>
      <c r="EW3" s="107">
        <f>IF(ISBLANK(fixtures!$K11),"",fixtures!$K11)</f>
        <v>0</v>
      </c>
      <c r="EX3" s="25" t="str">
        <f>IF(ISBLANK(fixtures!$L11),"",IF(EU3&gt;EW3,"W",IF(EU3=EW3,"D","L")))</f>
        <v>W</v>
      </c>
      <c r="EY3" s="25"/>
      <c r="EZ3" s="25"/>
      <c r="FA3" s="361">
        <v>7</v>
      </c>
      <c r="FB3" s="362" t="s">
        <v>105</v>
      </c>
      <c r="FC3" s="363">
        <f ca="1">IFERROR(INDIRECT("fixtures!" &amp; Dashboard!J1 &amp;10) - Dashboard!K1/24,"TBC")</f>
        <v>44780.666666666664</v>
      </c>
      <c r="FD3" s="27"/>
      <c r="FE3" s="27" t="s">
        <v>4</v>
      </c>
      <c r="FF3" s="27" t="s">
        <v>108</v>
      </c>
      <c r="FG3" s="361">
        <f>IF(ISBLANK(fixtures!$K10),"",fixtures!$K10)</f>
        <v>1</v>
      </c>
      <c r="FH3" s="27" t="str">
        <f>IF(ISBLANK(fixtures!$L10),"",":")</f>
        <v>:</v>
      </c>
      <c r="FI3" s="362">
        <f>IF(ISBLANK(fixtures!$L10),"",fixtures!$L10)</f>
        <v>2</v>
      </c>
      <c r="FJ3" s="27" t="str">
        <f>IF(ISBLANK(fixtures!$L10),"",IF(FG3&gt;FI3,"W",IF(FG3=FI3,"D","L")))</f>
        <v>L</v>
      </c>
      <c r="FK3" s="27"/>
      <c r="FL3" s="27"/>
      <c r="FM3" s="110">
        <v>6</v>
      </c>
      <c r="FN3" s="112" t="s">
        <v>107</v>
      </c>
      <c r="FO3" s="369">
        <f ca="1">IFERROR(INDIRECT("fixtures!" &amp; Dashboard!J1 &amp;6) - Dashboard!K1/24,"TBC")</f>
        <v>44779.708333333336</v>
      </c>
      <c r="FP3" s="29"/>
      <c r="FQ3" s="29" t="s">
        <v>204</v>
      </c>
      <c r="FR3" s="29" t="s">
        <v>108</v>
      </c>
      <c r="FS3" s="110">
        <f>IF(ISBLANK(fixtures!$K6),"",fixtures!$K6)</f>
        <v>2</v>
      </c>
      <c r="FT3" s="29" t="str">
        <f>IF(ISBLANK(fixtures!$L6),"",":")</f>
        <v>:</v>
      </c>
      <c r="FU3" s="112">
        <f>IF(ISBLANK(fixtures!$L6),"",fixtures!$L6)</f>
        <v>0</v>
      </c>
      <c r="FV3" s="29" t="str">
        <f>IF(ISBLANK(fixtures!$L6),"",IF(FS3&gt;FU3,"W",IF(FS3=FU3,"D","L")))</f>
        <v>W</v>
      </c>
      <c r="FW3" s="29"/>
      <c r="FX3" s="29"/>
      <c r="FY3" s="375">
        <v>6</v>
      </c>
      <c r="FZ3" s="376" t="s">
        <v>107</v>
      </c>
      <c r="GA3" s="377">
        <f ca="1">IFERROR(INDIRECT("fixtures!" &amp; Dashboard!J1 &amp;6) - Dashboard!K1/24,"TBC")</f>
        <v>44779.708333333336</v>
      </c>
      <c r="GB3" s="264"/>
      <c r="GC3" s="264" t="s">
        <v>12</v>
      </c>
      <c r="GD3" s="264" t="s">
        <v>106</v>
      </c>
      <c r="GE3" s="375">
        <f>IF(ISBLANK(fixtures!$L6),"",fixtures!$L6)</f>
        <v>0</v>
      </c>
      <c r="GF3" s="264" t="str">
        <f>IF(ISBLANK(fixtures!$L6),"",":")</f>
        <v>:</v>
      </c>
      <c r="GG3" s="376">
        <f>IF(ISBLANK(fixtures!$K6),"",fixtures!$K6)</f>
        <v>2</v>
      </c>
      <c r="GH3" s="264" t="str">
        <f>IF(ISBLANK(fixtures!$L6),"",IF(GE3&gt;GG3,"W",IF(GE3=GG3,"D","L")))</f>
        <v>L</v>
      </c>
      <c r="GI3" s="264"/>
      <c r="GJ3" s="264"/>
      <c r="GK3" s="382">
        <v>6</v>
      </c>
      <c r="GL3" s="383" t="s">
        <v>107</v>
      </c>
      <c r="GM3" s="384">
        <f ca="1">IFERROR(INDIRECT("fixtures!" &amp; Dashboard!J1 &amp;7) - Dashboard!K1/24,"TBC")</f>
        <v>44779.708333333336</v>
      </c>
      <c r="GN3" s="30"/>
      <c r="GO3" s="30" t="s">
        <v>14</v>
      </c>
      <c r="GP3" s="30" t="s">
        <v>106</v>
      </c>
      <c r="GQ3" s="382">
        <f>IF(ISBLANK(fixtures!$L7),"",fixtures!$L7)</f>
        <v>1</v>
      </c>
      <c r="GR3" s="30" t="str">
        <f>IF(ISBLANK(fixtures!$L7),"",":")</f>
        <v>:</v>
      </c>
      <c r="GS3" s="383">
        <f>IF(ISBLANK(fixtures!$K7),"",fixtures!$K7)</f>
        <v>4</v>
      </c>
      <c r="GT3" s="30" t="str">
        <f>IF(ISBLANK(fixtures!$L7),"",IF(GQ3&gt;GS3,"W",IF(GQ3=GS3,"D","L")))</f>
        <v>L</v>
      </c>
      <c r="GU3" s="30"/>
      <c r="GV3" s="30"/>
      <c r="GW3" s="115">
        <v>6</v>
      </c>
      <c r="GX3" s="117" t="s">
        <v>107</v>
      </c>
      <c r="GY3" s="390">
        <f ca="1">IFERROR(INDIRECT("fixtures!" &amp; Dashboard!J1 &amp;7) - Dashboard!K1/24,"TBC")</f>
        <v>44779.708333333336</v>
      </c>
      <c r="GZ3" s="32"/>
      <c r="HA3" s="32" t="s">
        <v>13</v>
      </c>
      <c r="HB3" s="32" t="s">
        <v>108</v>
      </c>
      <c r="HC3" s="115">
        <f>IF(ISBLANK(fixtures!$K7),"",fixtures!$K7)</f>
        <v>4</v>
      </c>
      <c r="HD3" s="32" t="str">
        <f>IF(ISBLANK(fixtures!$L7),"",":")</f>
        <v>:</v>
      </c>
      <c r="HE3" s="117">
        <f>IF(ISBLANK(fixtures!$L7),"",fixtures!$L7)</f>
        <v>1</v>
      </c>
      <c r="HF3" s="32" t="str">
        <f>IF(ISBLANK(fixtures!$L7),"",IF(HC3&gt;HE3,"W",IF(HC3=HE3,"D","L")))</f>
        <v>W</v>
      </c>
      <c r="HG3" s="32"/>
      <c r="HH3" s="32"/>
      <c r="HI3" s="120">
        <v>7</v>
      </c>
      <c r="HJ3" s="122" t="s">
        <v>105</v>
      </c>
      <c r="HK3" s="396">
        <f ca="1">IFERROR(INDIRECT("fixtures!" &amp; Dashboard!J1 &amp;11) - Dashboard!K1/24,"TBC")</f>
        <v>44780.770833333336</v>
      </c>
      <c r="HL3" s="34"/>
      <c r="HM3" s="34" t="s">
        <v>10</v>
      </c>
      <c r="HN3" s="34" t="s">
        <v>108</v>
      </c>
      <c r="HO3" s="120">
        <f>IF(ISBLANK(fixtures!$K11),"",fixtures!$K11)</f>
        <v>0</v>
      </c>
      <c r="HP3" s="34" t="str">
        <f>IF(ISBLANK(fixtures!$L11),"",":")</f>
        <v>:</v>
      </c>
      <c r="HQ3" s="122">
        <f>IF(ISBLANK(fixtures!$L11),"",fixtures!$L11)</f>
        <v>2</v>
      </c>
      <c r="HR3" s="34" t="str">
        <f>IF(ISBLANK(fixtures!$L11),"",IF(HO3&gt;HQ3,"W",IF(HO3=HQ3,"D","L")))</f>
        <v>L</v>
      </c>
      <c r="HS3" s="34"/>
      <c r="HT3" s="34"/>
      <c r="HU3" s="125">
        <v>6</v>
      </c>
      <c r="HV3" s="127" t="s">
        <v>107</v>
      </c>
      <c r="HW3" s="402">
        <f ca="1">IFERROR(INDIRECT("fixtures!" &amp; Dashboard!J1 &amp;5) - Dashboard!K1/24,"TBC")</f>
        <v>44779.708333333336</v>
      </c>
      <c r="HX3" s="36"/>
      <c r="HY3" s="36" t="s">
        <v>139</v>
      </c>
      <c r="HZ3" s="36" t="s">
        <v>106</v>
      </c>
      <c r="IA3" s="125">
        <f>IF(ISBLANK(fixtures!$L5),"",fixtures!$L5)</f>
        <v>1</v>
      </c>
      <c r="IB3" s="36" t="str">
        <f>IF(ISBLANK(fixtures!$L5),"",":")</f>
        <v>:</v>
      </c>
      <c r="IC3" s="127">
        <f>IF(ISBLANK(fixtures!$K5),"",fixtures!$K5)</f>
        <v>2</v>
      </c>
      <c r="ID3" s="36" t="str">
        <f>IF(ISBLANK(fixtures!$L5),"",IF(IA3&gt;IC3,"W",IF(IA3=IC3,"D","L")))</f>
        <v>L</v>
      </c>
      <c r="IE3" s="36"/>
      <c r="IF3" s="36"/>
    </row>
    <row r="4" spans="1:243" x14ac:dyDescent="0.4">
      <c r="A4" s="91">
        <v>13</v>
      </c>
      <c r="B4" s="93" t="s">
        <v>107</v>
      </c>
      <c r="C4" s="277">
        <f ca="1">IFERROR(INDIRECT("fixtures!" &amp; Dashboard!J1 &amp;13) - Dashboard!K1/24,"TBC")</f>
        <v>44786.708333333336</v>
      </c>
      <c r="D4" s="6"/>
      <c r="E4" s="489" t="s">
        <v>8</v>
      </c>
      <c r="F4" s="6" t="s">
        <v>108</v>
      </c>
      <c r="G4" s="91">
        <f>IF(ISBLANK(fixtures!$K13),"",fixtures!$K13)</f>
        <v>4</v>
      </c>
      <c r="H4" s="6" t="str">
        <f>IF(ISBLANK(fixtures!$L13),"",":")</f>
        <v>:</v>
      </c>
      <c r="I4" s="93">
        <f>IF(ISBLANK(fixtures!$L13),"",fixtures!$L13)</f>
        <v>2</v>
      </c>
      <c r="J4" s="6" t="str">
        <f>IF(ISBLANK(fixtures!$L13),"",IF(G4&gt;I4,"W",IF(G4=I4,"D","L")))</f>
        <v>W</v>
      </c>
      <c r="K4" s="6"/>
      <c r="L4" s="6"/>
      <c r="M4" s="282">
        <v>13</v>
      </c>
      <c r="N4" s="283" t="s">
        <v>107</v>
      </c>
      <c r="O4" s="284">
        <f ca="1">IFERROR(INDIRECT("fixtures!" &amp; Dashboard!J1 &amp;12) - Dashboard!K1/24,"TBC")</f>
        <v>44786.604166666664</v>
      </c>
      <c r="P4" s="9"/>
      <c r="Q4" s="9" t="s">
        <v>7</v>
      </c>
      <c r="R4" s="9" t="s">
        <v>108</v>
      </c>
      <c r="S4" s="282">
        <f>IF(ISBLANK(fixtures!$K12),"",fixtures!$K12)</f>
        <v>2</v>
      </c>
      <c r="T4" s="9" t="str">
        <f>IF(ISBLANK(fixtures!$L12),"",":")</f>
        <v>:</v>
      </c>
      <c r="U4" s="283">
        <f>IF(ISBLANK(fixtures!$L12),"",fixtures!$L12)</f>
        <v>1</v>
      </c>
      <c r="V4" s="9" t="str">
        <f>IF(ISBLANK(fixtures!$L12),"",IF(S4&gt;U4,"W",IF(S4=U4,"D","L")))</f>
        <v>W</v>
      </c>
      <c r="W4" s="9"/>
      <c r="X4" s="9"/>
      <c r="Y4" s="290">
        <v>13</v>
      </c>
      <c r="Z4" s="262" t="s">
        <v>107</v>
      </c>
      <c r="AA4" s="291">
        <f ca="1">IFERROR(INDIRECT("fixtures!" &amp; Dashboard!J1 &amp;15) - Dashboard!K1/24,"TBC")</f>
        <v>44786.708333333336</v>
      </c>
      <c r="AB4" s="262"/>
      <c r="AC4" s="262" t="s">
        <v>10</v>
      </c>
      <c r="AD4" s="262" t="s">
        <v>106</v>
      </c>
      <c r="AE4" s="290">
        <f>IF(ISBLANK(fixtures!$L15),"",fixtures!$L15)</f>
        <v>0</v>
      </c>
      <c r="AF4" s="262" t="str">
        <f>IF(ISBLANK(fixtures!$L15),"",":")</f>
        <v>:</v>
      </c>
      <c r="AG4" s="292">
        <f>IF(ISBLANK(fixtures!$K15),"",fixtures!$K15)</f>
        <v>4</v>
      </c>
      <c r="AH4" s="262" t="str">
        <f>IF(ISBLANK(fixtures!$L15),"",IF(AE4&gt;AG4,"W",IF(AE4=AG4,"D","L")))</f>
        <v>L</v>
      </c>
      <c r="AI4" s="262"/>
      <c r="AJ4" s="262"/>
      <c r="AK4" s="411">
        <v>13</v>
      </c>
      <c r="AL4" s="412" t="s">
        <v>107</v>
      </c>
      <c r="AM4" s="413">
        <f ca="1">IFERROR(INDIRECT("fixtures!" &amp; Dashboard!J1 &amp;18) - Dashboard!K1/24,"TBC")</f>
        <v>44786.8125</v>
      </c>
      <c r="AN4" s="410"/>
      <c r="AO4" s="410" t="s">
        <v>11</v>
      </c>
      <c r="AP4" s="410" t="s">
        <v>108</v>
      </c>
      <c r="AQ4" s="411">
        <f>IF(ISBLANK(fixtures!$K18),"",fixtures!$K18)</f>
        <v>4</v>
      </c>
      <c r="AR4" s="410" t="str">
        <f>IF(ISBLANK(fixtures!$L18),"",":")</f>
        <v>:</v>
      </c>
      <c r="AS4" s="412">
        <f>IF(ISBLANK(fixtures!$L18),"",fixtures!$L18)</f>
        <v>0</v>
      </c>
      <c r="AT4" s="410" t="str">
        <f>IF(ISBLANK(fixtures!$L18),"",IF(AQ4&gt;AS4,"W",IF(AQ4=AS4,"D","L")))</f>
        <v>W</v>
      </c>
      <c r="AU4" s="410"/>
      <c r="AV4" s="410"/>
      <c r="AW4" s="96">
        <v>13</v>
      </c>
      <c r="AX4" s="98" t="s">
        <v>107</v>
      </c>
      <c r="AY4" s="298">
        <f ca="1">IFERROR(INDIRECT("fixtures!" &amp; Dashboard!J1 &amp;14) - Dashboard!K1/24,"TBC")</f>
        <v>44786.708333333336</v>
      </c>
      <c r="AZ4" s="11"/>
      <c r="BA4" s="11" t="s">
        <v>12</v>
      </c>
      <c r="BB4" s="11" t="s">
        <v>108</v>
      </c>
      <c r="BC4" s="96">
        <f>IF(ISBLANK(fixtures!$K14),"",fixtures!$K14)</f>
        <v>0</v>
      </c>
      <c r="BD4" s="11" t="str">
        <f>IF(ISBLANK(fixtures!$L14),"",":")</f>
        <v>:</v>
      </c>
      <c r="BE4" s="98">
        <f>IF(ISBLANK(fixtures!$L14),"",fixtures!$L14)</f>
        <v>0</v>
      </c>
      <c r="BF4" s="11" t="str">
        <f>IF(ISBLANK(fixtures!$L14),"",IF(BC4&gt;BE4,"W",IF(BC4=BE4,"D","L")))</f>
        <v>D</v>
      </c>
      <c r="BG4" s="11"/>
      <c r="BH4" s="11"/>
      <c r="BI4" s="181">
        <v>14</v>
      </c>
      <c r="BJ4" s="183" t="s">
        <v>105</v>
      </c>
      <c r="BK4" s="304">
        <f ca="1">IFERROR(INDIRECT("fixtures!" &amp; Dashboard!J1 &amp;20) - Dashboard!K1/24,"TBC")</f>
        <v>44787.770833333336</v>
      </c>
      <c r="BL4" s="15"/>
      <c r="BM4" s="15" t="s">
        <v>14</v>
      </c>
      <c r="BN4" s="15" t="s">
        <v>108</v>
      </c>
      <c r="BO4" s="181">
        <f>IF(ISBLANK(fixtures!$K20),"",fixtures!$K20)</f>
        <v>2</v>
      </c>
      <c r="BP4" s="15" t="str">
        <f>IF(ISBLANK(fixtures!$L20),"",":")</f>
        <v>:</v>
      </c>
      <c r="BQ4" s="183">
        <f>IF(ISBLANK(fixtures!$L20),"",fixtures!$L20)</f>
        <v>2</v>
      </c>
      <c r="BR4" s="15" t="str">
        <f>IF(ISBLANK(fixtures!$L20),"",IF(BO4&gt;BQ4,"W",IF(BO4=BQ4,"D","L")))</f>
        <v>D</v>
      </c>
      <c r="BS4" s="15"/>
      <c r="BT4" s="15"/>
      <c r="BU4" s="310">
        <v>15</v>
      </c>
      <c r="BV4" s="311" t="s">
        <v>109</v>
      </c>
      <c r="BW4" s="312">
        <f ca="1">IFERROR(INDIRECT("fixtures!" &amp; Dashboard!J1 &amp;21) - Dashboard!K1/24,"TBC")</f>
        <v>44788.916666666664</v>
      </c>
      <c r="BX4" s="16"/>
      <c r="BY4" s="16" t="s">
        <v>9</v>
      </c>
      <c r="BZ4" s="16" t="s">
        <v>106</v>
      </c>
      <c r="CA4" s="310">
        <f>IF(ISBLANK(fixtures!$L21),"",fixtures!$L21)</f>
        <v>1</v>
      </c>
      <c r="CB4" s="16" t="str">
        <f>IF(ISBLANK(fixtures!$L21),"",":")</f>
        <v>:</v>
      </c>
      <c r="CC4" s="311">
        <f>IF(ISBLANK(fixtures!$K21),"",fixtures!$K21)</f>
        <v>1</v>
      </c>
      <c r="CD4" s="16" t="str">
        <f>IF(ISBLANK(fixtures!$L21),"",IF(CA4&gt;CC4,"W",IF(CA4=CC4,"D","L")))</f>
        <v>D</v>
      </c>
      <c r="CE4" s="16"/>
      <c r="CF4" s="16"/>
      <c r="CG4" s="318">
        <v>13</v>
      </c>
      <c r="CH4" s="319" t="s">
        <v>107</v>
      </c>
      <c r="CI4" s="320">
        <f ca="1">IFERROR(INDIRECT("fixtures!" &amp; Dashboard!J1 &amp;12) - Dashboard!K1/24,"TBC")</f>
        <v>44786.604166666664</v>
      </c>
      <c r="CJ4" s="19"/>
      <c r="CK4" s="19" t="s">
        <v>2</v>
      </c>
      <c r="CL4" s="19" t="s">
        <v>106</v>
      </c>
      <c r="CM4" s="318">
        <f>IF(ISBLANK(fixtures!$L12),"",fixtures!$L12)</f>
        <v>1</v>
      </c>
      <c r="CN4" s="19" t="str">
        <f>IF(ISBLANK(fixtures!$L12),"",":")</f>
        <v>:</v>
      </c>
      <c r="CO4" s="319">
        <f>IF(ISBLANK(fixtures!$K12),"",fixtures!$K12)</f>
        <v>2</v>
      </c>
      <c r="CP4" s="19" t="str">
        <f>IF(ISBLANK(fixtures!$L12),"",IF(CM4&gt;CO4,"W",IF(CM4=CO4,"D","L")))</f>
        <v>L</v>
      </c>
      <c r="CQ4" s="19"/>
      <c r="CR4" s="19"/>
      <c r="CS4" s="326">
        <v>13</v>
      </c>
      <c r="CT4" s="327" t="s">
        <v>107</v>
      </c>
      <c r="CU4" s="328">
        <f ca="1">IFERROR(INDIRECT("fixtures!" &amp; Dashboard!J1 &amp;17) - Dashboard!K1/24,"TBC")</f>
        <v>44786.708333333336</v>
      </c>
      <c r="CV4" s="178"/>
      <c r="CW4" s="178" t="s">
        <v>16</v>
      </c>
      <c r="CX4" s="178" t="s">
        <v>106</v>
      </c>
      <c r="CY4" s="326">
        <f>IF(ISBLANK(fixtures!$L17),"",fixtures!$L17)</f>
        <v>0</v>
      </c>
      <c r="CZ4" s="178" t="str">
        <f>IF(ISBLANK(fixtures!$L17),"",":")</f>
        <v>:</v>
      </c>
      <c r="DA4" s="327">
        <f>IF(ISBLANK(fixtures!$K17),"",fixtures!$K17)</f>
        <v>0</v>
      </c>
      <c r="DB4" s="178" t="str">
        <f>IF(ISBLANK(fixtures!$L17),"",IF(CY4&gt;DA4,"W",IF(CY4=DA4,"D","L")))</f>
        <v>D</v>
      </c>
      <c r="DC4" s="178"/>
      <c r="DD4" s="178"/>
      <c r="DE4" s="334">
        <v>13</v>
      </c>
      <c r="DF4" s="335" t="s">
        <v>107</v>
      </c>
      <c r="DG4" s="336">
        <f ca="1">IFERROR(INDIRECT("fixtures!" &amp; Dashboard!J1 &amp;16) - Dashboard!K1/24,"TBC")</f>
        <v>44786.708333333336</v>
      </c>
      <c r="DH4" s="177"/>
      <c r="DI4" s="177" t="s">
        <v>13</v>
      </c>
      <c r="DJ4" s="177" t="s">
        <v>106</v>
      </c>
      <c r="DK4" s="334">
        <f>IF(ISBLANK(fixtures!$L16),"",fixtures!$L16)</f>
        <v>2</v>
      </c>
      <c r="DL4" s="177" t="str">
        <f>IF(ISBLANK(fixtures!$L16),"",":")</f>
        <v>:</v>
      </c>
      <c r="DM4" s="335">
        <f>IF(ISBLANK(fixtures!$K16),"",fixtures!$K16)</f>
        <v>2</v>
      </c>
      <c r="DN4" s="177" t="str">
        <f>IF(ISBLANK(fixtures!$L16),"",IF(DK4&gt;DM4,"W",IF(DK4=DM4,"D","L")))</f>
        <v>D</v>
      </c>
      <c r="DO4" s="177"/>
      <c r="DP4" s="177"/>
      <c r="DQ4" s="341">
        <v>13</v>
      </c>
      <c r="DR4" s="342" t="s">
        <v>107</v>
      </c>
      <c r="DS4" s="343">
        <f ca="1">IFERROR(INDIRECT("fixtures!" &amp; Dashboard!J1 &amp;13) - Dashboard!K1/24,"TBC")</f>
        <v>44786.708333333336</v>
      </c>
      <c r="DT4" s="21"/>
      <c r="DU4" s="21" t="s">
        <v>1</v>
      </c>
      <c r="DV4" s="21" t="s">
        <v>106</v>
      </c>
      <c r="DW4" s="341">
        <f>IF(ISBLANK(fixtures!$L13),"",fixtures!$L13)</f>
        <v>2</v>
      </c>
      <c r="DX4" s="21" t="str">
        <f>IF(ISBLANK(fixtures!$L13),"",":")</f>
        <v>:</v>
      </c>
      <c r="DY4" s="342">
        <f>IF(ISBLANK(fixtures!$K13),"",fixtures!$K13)</f>
        <v>4</v>
      </c>
      <c r="DZ4" s="21" t="str">
        <f>IF(ISBLANK(fixtures!$L13),"",IF(DW4&gt;DY4,"W",IF(DW4=DY4,"D","L")))</f>
        <v>L</v>
      </c>
      <c r="EA4" s="21"/>
      <c r="EB4" s="21"/>
      <c r="EC4" s="270">
        <v>15</v>
      </c>
      <c r="ED4" s="272" t="s">
        <v>109</v>
      </c>
      <c r="EE4" s="349">
        <f ca="1">IFERROR(INDIRECT("fixtures!" &amp; Dashboard!J1 &amp;21) - Dashboard!K1/24,"TBC")</f>
        <v>44788.916666666664</v>
      </c>
      <c r="EF4" s="23"/>
      <c r="EG4" s="23" t="s">
        <v>6</v>
      </c>
      <c r="EH4" s="23" t="s">
        <v>108</v>
      </c>
      <c r="EI4" s="270">
        <f>IF(ISBLANK(fixtures!$K21),"",fixtures!$K21)</f>
        <v>1</v>
      </c>
      <c r="EJ4" s="23" t="str">
        <f>IF(ISBLANK(fixtures!$L21),"",":")</f>
        <v>:</v>
      </c>
      <c r="EK4" s="272">
        <f>IF(ISBLANK(fixtures!$L21),"",fixtures!$L21)</f>
        <v>1</v>
      </c>
      <c r="EL4" s="23" t="str">
        <f>IF(ISBLANK(fixtures!$L21),"",IF(EI4&gt;EK4,"W",IF(EI4=EK4,"D","L")))</f>
        <v>D</v>
      </c>
      <c r="EM4" s="23"/>
      <c r="EN4" s="23"/>
      <c r="EO4" s="105">
        <v>13</v>
      </c>
      <c r="EP4" s="107" t="s">
        <v>107</v>
      </c>
      <c r="EQ4" s="355">
        <f ca="1">IFERROR(INDIRECT("fixtures!" &amp; Dashboard!J1 &amp;15) - Dashboard!K1/24,"TBC")</f>
        <v>44786.708333333336</v>
      </c>
      <c r="ER4" s="25"/>
      <c r="ES4" s="25" t="s">
        <v>3</v>
      </c>
      <c r="ET4" s="25" t="s">
        <v>108</v>
      </c>
      <c r="EU4" s="105">
        <f>IF(ISBLANK(fixtures!$K15),"",fixtures!$K15)</f>
        <v>4</v>
      </c>
      <c r="EV4" s="25" t="str">
        <f>IF(ISBLANK(fixtures!$L15),"",":")</f>
        <v>:</v>
      </c>
      <c r="EW4" s="107">
        <f>IF(ISBLANK(fixtures!$L15),"",fixtures!$L15)</f>
        <v>0</v>
      </c>
      <c r="EX4" s="25" t="str">
        <f>IF(ISBLANK(fixtures!$L15),"",IF(EU4&gt;EW4,"W",IF(EU4=EW4,"D","L")))</f>
        <v>W</v>
      </c>
      <c r="EY4" s="25"/>
      <c r="EZ4" s="25"/>
      <c r="FA4" s="361">
        <v>13</v>
      </c>
      <c r="FB4" s="362" t="s">
        <v>107</v>
      </c>
      <c r="FC4" s="363">
        <f ca="1">IFERROR(INDIRECT("fixtures!" &amp; Dashboard!J1 &amp;18) - Dashboard!K1/24,"TBC")</f>
        <v>44786.8125</v>
      </c>
      <c r="FD4" s="27"/>
      <c r="FE4" s="27" t="s">
        <v>125</v>
      </c>
      <c r="FF4" s="27" t="s">
        <v>106</v>
      </c>
      <c r="FG4" s="361">
        <f>IF(ISBLANK(fixtures!$L18),"",fixtures!$L18)</f>
        <v>0</v>
      </c>
      <c r="FH4" s="27" t="str">
        <f>IF(ISBLANK(fixtures!$L18),"",":")</f>
        <v>:</v>
      </c>
      <c r="FI4" s="362">
        <f>IF(ISBLANK(fixtures!$K18),"",fixtures!$K18)</f>
        <v>4</v>
      </c>
      <c r="FJ4" s="27" t="str">
        <f>IF(ISBLANK(fixtures!$L18),"",IF(FG4&gt;FI4,"W",IF(FG4=FI4,"D","L")))</f>
        <v>L</v>
      </c>
      <c r="FK4" s="27"/>
      <c r="FL4" s="27"/>
      <c r="FM4" s="110">
        <v>13</v>
      </c>
      <c r="FN4" s="112" t="s">
        <v>107</v>
      </c>
      <c r="FO4" s="369">
        <f ca="1">IFERROR(INDIRECT("fixtures!" &amp; Dashboard!J1 &amp;14) - Dashboard!K1/24,"TBC")</f>
        <v>44786.708333333336</v>
      </c>
      <c r="FP4" s="29"/>
      <c r="FQ4" s="29" t="s">
        <v>4</v>
      </c>
      <c r="FR4" s="29" t="s">
        <v>106</v>
      </c>
      <c r="FS4" s="110">
        <f>IF(ISBLANK(fixtures!$L14),"",fixtures!$L14)</f>
        <v>0</v>
      </c>
      <c r="FT4" s="29" t="str">
        <f>IF(ISBLANK(fixtures!$L14),"",":")</f>
        <v>:</v>
      </c>
      <c r="FU4" s="112">
        <f>IF(ISBLANK(fixtures!$K14),"",fixtures!$K14)</f>
        <v>0</v>
      </c>
      <c r="FV4" s="29" t="str">
        <f>IF(ISBLANK(fixtures!$L14),"",IF(FS4&gt;FU4,"W",IF(FS4=FU4,"D","L")))</f>
        <v>D</v>
      </c>
      <c r="FW4" s="29"/>
      <c r="FX4" s="29"/>
      <c r="FY4" s="375">
        <v>14</v>
      </c>
      <c r="FZ4" s="264" t="s">
        <v>105</v>
      </c>
      <c r="GA4" s="377">
        <f ca="1">IFERROR(INDIRECT("fixtures!" &amp; Dashboard!J1 &amp;19) - Dashboard!K1/24,"TBC")</f>
        <v>44787.666666666664</v>
      </c>
      <c r="GB4" s="264"/>
      <c r="GC4" s="264" t="s">
        <v>15</v>
      </c>
      <c r="GD4" s="264" t="s">
        <v>108</v>
      </c>
      <c r="GE4" s="375">
        <f>IF(ISBLANK(fixtures!$K19),"",fixtures!$K19)</f>
        <v>1</v>
      </c>
      <c r="GF4" s="264" t="str">
        <f>IF(ISBLANK(fixtures!$L19),"",":")</f>
        <v>:</v>
      </c>
      <c r="GG4" s="376">
        <f>IF(ISBLANK(fixtures!$L19),"",fixtures!$L19)</f>
        <v>0</v>
      </c>
      <c r="GH4" s="264" t="str">
        <f>IF(ISBLANK(fixtures!$L19),"",IF(GE4&gt;GG4,"W",IF(GE4=GG4,"D","L")))</f>
        <v>W</v>
      </c>
      <c r="GI4" s="264"/>
      <c r="GJ4" s="264"/>
      <c r="GK4" s="382">
        <v>13</v>
      </c>
      <c r="GL4" s="383" t="s">
        <v>107</v>
      </c>
      <c r="GM4" s="384">
        <f ca="1">IFERROR(INDIRECT("fixtures!" &amp; Dashboard!J1 &amp;16) - Dashboard!K1/24,"TBC")</f>
        <v>44786.708333333336</v>
      </c>
      <c r="GN4" s="30"/>
      <c r="GO4" s="30" t="s">
        <v>139</v>
      </c>
      <c r="GP4" s="30" t="s">
        <v>108</v>
      </c>
      <c r="GQ4" s="382">
        <f>IF(ISBLANK(fixtures!$K16),"",fixtures!$K16)</f>
        <v>2</v>
      </c>
      <c r="GR4" s="30" t="str">
        <f>IF(ISBLANK(fixtures!$L16),"",":")</f>
        <v>:</v>
      </c>
      <c r="GS4" s="383">
        <f>IF(ISBLANK(fixtures!$L16),"",fixtures!$L16)</f>
        <v>2</v>
      </c>
      <c r="GT4" s="30" t="str">
        <f>IF(ISBLANK(fixtures!$L16),"",IF(GQ4&gt;GS4,"W",IF(GQ4=GS4,"D","L")))</f>
        <v>D</v>
      </c>
      <c r="GU4" s="30"/>
      <c r="GV4" s="30"/>
      <c r="GW4" s="115">
        <v>14</v>
      </c>
      <c r="GX4" s="117" t="s">
        <v>105</v>
      </c>
      <c r="GY4" s="390">
        <f ca="1">IFERROR(INDIRECT("fixtures!" &amp; Dashboard!J1 &amp;20) - Dashboard!K1/24,"TBC")</f>
        <v>44787.770833333336</v>
      </c>
      <c r="GZ4" s="32"/>
      <c r="HA4" s="32" t="s">
        <v>5</v>
      </c>
      <c r="HB4" s="32" t="s">
        <v>106</v>
      </c>
      <c r="HC4" s="115">
        <f>IF(ISBLANK(fixtures!$L20),"",fixtures!$L20)</f>
        <v>2</v>
      </c>
      <c r="HD4" s="32" t="str">
        <f>IF(ISBLANK(fixtures!$L20),"",":")</f>
        <v>:</v>
      </c>
      <c r="HE4" s="117">
        <f>IF(ISBLANK(fixtures!$K20),"",fixtures!$K20)</f>
        <v>2</v>
      </c>
      <c r="HF4" s="32" t="str">
        <f>IF(ISBLANK(fixtures!$L20),"",IF(HC4&gt;HE4,"W",IF(HC4=HE4,"D","L")))</f>
        <v>D</v>
      </c>
      <c r="HG4" s="32"/>
      <c r="HH4" s="32"/>
      <c r="HI4" s="120">
        <v>14</v>
      </c>
      <c r="HJ4" s="34" t="s">
        <v>105</v>
      </c>
      <c r="HK4" s="396">
        <f ca="1">IFERROR(INDIRECT("fixtures!" &amp; Dashboard!J1 &amp;19) - Dashboard!K1/24,"TBC")</f>
        <v>44787.666666666664</v>
      </c>
      <c r="HL4" s="34"/>
      <c r="HM4" s="34" t="s">
        <v>204</v>
      </c>
      <c r="HN4" s="34" t="s">
        <v>106</v>
      </c>
      <c r="HO4" s="120">
        <f>IF(ISBLANK(fixtures!$L19),"",fixtures!$L19)</f>
        <v>0</v>
      </c>
      <c r="HP4" s="34" t="str">
        <f>IF(ISBLANK(fixtures!$L19),"",":")</f>
        <v>:</v>
      </c>
      <c r="HQ4" s="122">
        <f>IF(ISBLANK(fixtures!$K19),"",fixtures!$K19)</f>
        <v>1</v>
      </c>
      <c r="HR4" s="34" t="str">
        <f>IF(ISBLANK(fixtures!$L19),"",IF(HO4&gt;HQ4,"W",IF(HO4=HQ4,"D","L")))</f>
        <v>L</v>
      </c>
      <c r="HS4" s="34"/>
      <c r="HT4" s="34"/>
      <c r="HU4" s="125">
        <v>13</v>
      </c>
      <c r="HV4" s="127" t="s">
        <v>107</v>
      </c>
      <c r="HW4" s="402">
        <f ca="1">IFERROR(INDIRECT("fixtures!" &amp; Dashboard!J1 &amp;17) - Dashboard!K1/24,"TBC")</f>
        <v>44786.708333333336</v>
      </c>
      <c r="HX4" s="36"/>
      <c r="HY4" s="36" t="s">
        <v>126</v>
      </c>
      <c r="HZ4" s="36" t="s">
        <v>108</v>
      </c>
      <c r="IA4" s="125">
        <f>IF(ISBLANK(fixtures!$K17),"",fixtures!$K17)</f>
        <v>0</v>
      </c>
      <c r="IB4" s="36" t="str">
        <f>IF(ISBLANK(fixtures!$L17),"",":")</f>
        <v>:</v>
      </c>
      <c r="IC4" s="127">
        <f>IF(ISBLANK(fixtures!$L17),"",fixtures!$L17)</f>
        <v>0</v>
      </c>
      <c r="ID4" s="36" t="str">
        <f>IF(ISBLANK(fixtures!$L17),"",IF(IA4&gt;IC4,"W",IF(IA4=IC4,"D","L")))</f>
        <v>D</v>
      </c>
      <c r="IE4" s="36"/>
      <c r="IF4" s="36"/>
    </row>
    <row r="5" spans="1:243" x14ac:dyDescent="0.4">
      <c r="A5" s="91">
        <v>20</v>
      </c>
      <c r="B5" s="93" t="s">
        <v>107</v>
      </c>
      <c r="C5" s="277">
        <f ca="1">IFERROR(INDIRECT("fixtures!" &amp; Dashboard!J1 &amp;27) - Dashboard!K1/24,"TBC")</f>
        <v>44793.8125</v>
      </c>
      <c r="D5" s="6"/>
      <c r="E5" s="6" t="s">
        <v>3</v>
      </c>
      <c r="F5" s="6" t="s">
        <v>106</v>
      </c>
      <c r="G5" s="91">
        <f>IF(ISBLANK(fixtures!$L27),"",fixtures!$L27)</f>
        <v>3</v>
      </c>
      <c r="H5" s="6" t="str">
        <f>IF(ISBLANK(fixtures!$L27),"",":")</f>
        <v>:</v>
      </c>
      <c r="I5" s="93">
        <f>IF(ISBLANK(fixtures!$K27),"",fixtures!$K27)</f>
        <v>0</v>
      </c>
      <c r="J5" s="6" t="str">
        <f>IF(ISBLANK(fixtures!$L27),"",IF(G5&gt;I5,"W",IF(G5=I5,"D","L")))</f>
        <v>W</v>
      </c>
      <c r="K5" s="6"/>
      <c r="L5" s="6"/>
      <c r="M5" s="282">
        <v>20</v>
      </c>
      <c r="N5" s="9" t="s">
        <v>107</v>
      </c>
      <c r="O5" s="284">
        <f ca="1">IFERROR(INDIRECT("fixtures!" &amp; Dashboard!J1 &amp;23) - Dashboard!K1/24,"TBC")</f>
        <v>44793.708333333336</v>
      </c>
      <c r="P5" s="9"/>
      <c r="Q5" s="9" t="s">
        <v>6</v>
      </c>
      <c r="R5" s="9" t="s">
        <v>106</v>
      </c>
      <c r="S5" s="282">
        <f>IF(ISBLANK(fixtures!$L23),"",fixtures!$L23)</f>
        <v>1</v>
      </c>
      <c r="T5" s="9" t="str">
        <f>IF(ISBLANK(fixtures!$L23),"",":")</f>
        <v>:</v>
      </c>
      <c r="U5" s="283">
        <f>IF(ISBLANK(fixtures!$K23),"",fixtures!$K23)</f>
        <v>3</v>
      </c>
      <c r="V5" s="9" t="str">
        <f>IF(ISBLANK(fixtures!$L23),"",IF(S5&gt;U5,"W",IF(S5=U5,"D","L")))</f>
        <v>L</v>
      </c>
      <c r="W5" s="9"/>
      <c r="X5" s="9"/>
      <c r="Y5" s="290">
        <v>20</v>
      </c>
      <c r="Z5" s="262" t="s">
        <v>107</v>
      </c>
      <c r="AA5" s="291">
        <f ca="1">IFERROR(INDIRECT("fixtures!" &amp; Dashboard!J1 &amp;27) - Dashboard!K1/24,"TBC")</f>
        <v>44793.8125</v>
      </c>
      <c r="AB5" s="262"/>
      <c r="AC5" s="262" t="s">
        <v>1</v>
      </c>
      <c r="AD5" s="262" t="s">
        <v>108</v>
      </c>
      <c r="AE5" s="290">
        <f>IF(ISBLANK(fixtures!$K27),"",fixtures!$K27)</f>
        <v>0</v>
      </c>
      <c r="AF5" s="262" t="str">
        <f>IF(ISBLANK(fixtures!$L27),"",":")</f>
        <v>:</v>
      </c>
      <c r="AG5" s="292">
        <f>IF(ISBLANK(fixtures!$L27),"",fixtures!$L27)</f>
        <v>3</v>
      </c>
      <c r="AH5" s="262" t="str">
        <f>IF(ISBLANK(fixtures!$L27),"",IF(AE5&gt;AG5,"W",IF(AE5=AG5,"D","L")))</f>
        <v>L</v>
      </c>
      <c r="AI5" s="262"/>
      <c r="AJ5" s="262"/>
      <c r="AK5" s="411">
        <v>20</v>
      </c>
      <c r="AL5" s="410" t="s">
        <v>107</v>
      </c>
      <c r="AM5" s="413">
        <f ca="1">IFERROR(INDIRECT("fixtures!" &amp; Dashboard!J1 &amp;25) - Dashboard!K1/24,"TBC")</f>
        <v>44793.708333333336</v>
      </c>
      <c r="AN5" s="410"/>
      <c r="AO5" s="410" t="s">
        <v>126</v>
      </c>
      <c r="AP5" s="410" t="s">
        <v>106</v>
      </c>
      <c r="AQ5" s="411">
        <f>IF(ISBLANK(fixtures!$L25),"",fixtures!$L25)</f>
        <v>2</v>
      </c>
      <c r="AR5" s="410" t="str">
        <f>IF(ISBLANK(fixtures!$L25),"",":")</f>
        <v>:</v>
      </c>
      <c r="AS5" s="412">
        <f>IF(ISBLANK(fixtures!$K25),"",fixtures!$K25)</f>
        <v>3</v>
      </c>
      <c r="AT5" s="410" t="str">
        <f>IF(ISBLANK(fixtures!$L25),"",IF(AQ5&gt;AS5,"W",IF(AQ5=AS5,"D","L")))</f>
        <v>L</v>
      </c>
      <c r="AU5" s="410"/>
      <c r="AV5" s="410"/>
      <c r="AW5" s="96">
        <v>21</v>
      </c>
      <c r="AX5" s="98" t="s">
        <v>105</v>
      </c>
      <c r="AY5" s="298">
        <f ca="1">IFERROR(INDIRECT("fixtures!" &amp; Dashboard!J1 &amp;29) - Dashboard!K1/24,"TBC")</f>
        <v>44794.666666666664</v>
      </c>
      <c r="AZ5" s="11"/>
      <c r="BA5" s="11" t="s">
        <v>15</v>
      </c>
      <c r="BB5" s="11" t="s">
        <v>106</v>
      </c>
      <c r="BC5" s="96">
        <f>IF(ISBLANK(fixtures!$L29),"",fixtures!$L29)</f>
        <v>2</v>
      </c>
      <c r="BD5" s="11" t="str">
        <f>IF(ISBLANK(fixtures!$L29),"",":")</f>
        <v>:</v>
      </c>
      <c r="BE5" s="98">
        <f>IF(ISBLANK(fixtures!$K29),"",fixtures!$K29)</f>
        <v>0</v>
      </c>
      <c r="BF5" s="11" t="str">
        <f>IF(ISBLANK(fixtures!$L29),"",IF(BC5&gt;BE5,"W",IF(BC5=BE5,"D","L")))</f>
        <v>W</v>
      </c>
      <c r="BG5" s="11"/>
      <c r="BH5" s="11"/>
      <c r="BI5" s="181">
        <v>21</v>
      </c>
      <c r="BJ5" s="15" t="s">
        <v>105</v>
      </c>
      <c r="BK5" s="304">
        <f ca="1">IFERROR(INDIRECT("fixtures!" &amp; Dashboard!J1 &amp;28) - Dashboard!K1/24,"TBC")</f>
        <v>44794.666666666664</v>
      </c>
      <c r="BL5" s="15"/>
      <c r="BM5" s="15" t="s">
        <v>139</v>
      </c>
      <c r="BN5" s="15" t="s">
        <v>106</v>
      </c>
      <c r="BO5" s="181">
        <f>IF(ISBLANK(fixtures!$L28),"",fixtures!$L28)</f>
        <v>0</v>
      </c>
      <c r="BP5" s="15" t="str">
        <f>IF(ISBLANK(fixtures!$L28),"",":")</f>
        <v>:</v>
      </c>
      <c r="BQ5" s="183">
        <f>IF(ISBLANK(fixtures!$K28),"",fixtures!$K28)</f>
        <v>3</v>
      </c>
      <c r="BR5" s="15" t="str">
        <f>IF(ISBLANK(fixtures!$L28),"",IF(BO5&gt;BQ5,"W",IF(BO5=BQ5,"D","L")))</f>
        <v>L</v>
      </c>
      <c r="BS5" s="15"/>
      <c r="BT5" s="15"/>
      <c r="BU5" s="310">
        <v>20</v>
      </c>
      <c r="BV5" s="16" t="s">
        <v>107</v>
      </c>
      <c r="BW5" s="312">
        <f ca="1">IFERROR(INDIRECT("fixtures!" &amp; Dashboard!J1 &amp;23) - Dashboard!K1/24,"TBC")</f>
        <v>44793.708333333336</v>
      </c>
      <c r="BX5" s="16"/>
      <c r="BY5" s="16" t="s">
        <v>2</v>
      </c>
      <c r="BZ5" s="16" t="s">
        <v>108</v>
      </c>
      <c r="CA5" s="310">
        <f>IF(ISBLANK(fixtures!$K23),"",fixtures!$K23)</f>
        <v>3</v>
      </c>
      <c r="CB5" s="16" t="str">
        <f>IF(ISBLANK(fixtures!$L23),"",":")</f>
        <v>:</v>
      </c>
      <c r="CC5" s="311">
        <f>IF(ISBLANK(fixtures!$L23),"",fixtures!$L23)</f>
        <v>1</v>
      </c>
      <c r="CD5" s="16" t="str">
        <f>IF(ISBLANK(fixtures!$L23),"",IF(CA5&gt;CC5,"W",IF(CA5=CC5,"D","L")))</f>
        <v>W</v>
      </c>
      <c r="CE5" s="16"/>
      <c r="CF5" s="16"/>
      <c r="CG5" s="318">
        <v>20</v>
      </c>
      <c r="CH5" s="319" t="s">
        <v>107</v>
      </c>
      <c r="CI5" s="320">
        <f ca="1">IFERROR(INDIRECT("fixtures!" &amp; Dashboard!J1 &amp;24) - Dashboard!K1/24,"TBC")</f>
        <v>44793.708333333336</v>
      </c>
      <c r="CJ5" s="19"/>
      <c r="CK5" s="19" t="s">
        <v>204</v>
      </c>
      <c r="CL5" s="19" t="s">
        <v>108</v>
      </c>
      <c r="CM5" s="318">
        <f>IF(ISBLANK(fixtures!$K24),"",fixtures!$K24)</f>
        <v>1</v>
      </c>
      <c r="CN5" s="19" t="str">
        <f>IF(ISBLANK(fixtures!$L24),"",":")</f>
        <v>:</v>
      </c>
      <c r="CO5" s="319">
        <f>IF(ISBLANK(fixtures!$L24),"",fixtures!$L24)</f>
        <v>1</v>
      </c>
      <c r="CP5" s="19" t="str">
        <f>IF(ISBLANK(fixtures!$L24),"",IF(CM5&gt;CO5,"W",IF(CM5=CO5,"D","L")))</f>
        <v>D</v>
      </c>
      <c r="CQ5" s="19"/>
      <c r="CR5" s="19"/>
      <c r="CS5" s="326">
        <v>20</v>
      </c>
      <c r="CT5" s="178" t="s">
        <v>107</v>
      </c>
      <c r="CU5" s="328">
        <f ca="1">IFERROR(INDIRECT("fixtures!" &amp; Dashboard!J1 &amp;25) - Dashboard!K1/24,"TBC")</f>
        <v>44793.708333333336</v>
      </c>
      <c r="CV5" s="178"/>
      <c r="CW5" s="178" t="s">
        <v>125</v>
      </c>
      <c r="CX5" s="178" t="s">
        <v>108</v>
      </c>
      <c r="CY5" s="326">
        <f>IF(ISBLANK(fixtures!$K25),"",fixtures!$K25)</f>
        <v>3</v>
      </c>
      <c r="CZ5" s="178" t="str">
        <f>IF(ISBLANK(fixtures!$L25),"",":")</f>
        <v>:</v>
      </c>
      <c r="DA5" s="327">
        <f>IF(ISBLANK(fixtures!$L25),"",fixtures!$L25)</f>
        <v>2</v>
      </c>
      <c r="DB5" s="178" t="str">
        <f>IF(ISBLANK(fixtures!$L25),"",IF(CY5&gt;DA5,"W",IF(CY5=DA5,"D","L")))</f>
        <v>W</v>
      </c>
      <c r="DC5" s="178"/>
      <c r="DD5" s="178"/>
      <c r="DE5" s="334">
        <v>21</v>
      </c>
      <c r="DF5" s="335" t="s">
        <v>105</v>
      </c>
      <c r="DG5" s="336">
        <f ca="1">IFERROR(INDIRECT("fixtures!" &amp; Dashboard!J1 &amp;28) - Dashboard!K1/24,"TBC")</f>
        <v>44794.666666666664</v>
      </c>
      <c r="DH5" s="177"/>
      <c r="DI5" s="177" t="s">
        <v>5</v>
      </c>
      <c r="DJ5" s="177" t="s">
        <v>108</v>
      </c>
      <c r="DK5" s="334">
        <f>IF(ISBLANK(fixtures!$K28),"",fixtures!$K28)</f>
        <v>3</v>
      </c>
      <c r="DL5" s="177" t="str">
        <f>IF(ISBLANK(fixtures!$L28),"",":")</f>
        <v>:</v>
      </c>
      <c r="DM5" s="335">
        <f>IF(ISBLANK(fixtures!$L28),"",fixtures!$L28)</f>
        <v>0</v>
      </c>
      <c r="DN5" s="177" t="str">
        <f>IF(ISBLANK(fixtures!$L28),"",IF(DK5&gt;DM5,"W",IF(DK5=DM5,"D","L")))</f>
        <v>W</v>
      </c>
      <c r="DO5" s="177"/>
      <c r="DP5" s="177"/>
      <c r="DQ5" s="341">
        <v>20</v>
      </c>
      <c r="DR5" s="21" t="s">
        <v>107</v>
      </c>
      <c r="DS5" s="343">
        <f ca="1">IFERROR(INDIRECT("fixtures!" &amp; Dashboard!J1 &amp;26) - Dashboard!K1/24,"TBC")</f>
        <v>44793.708333333336</v>
      </c>
      <c r="DT5" s="21"/>
      <c r="DU5" s="21" t="s">
        <v>13</v>
      </c>
      <c r="DV5" s="21" t="s">
        <v>108</v>
      </c>
      <c r="DW5" s="341">
        <f>IF(ISBLANK(fixtures!$K26),"",fixtures!$K26)</f>
        <v>1</v>
      </c>
      <c r="DX5" s="21" t="str">
        <f>IF(ISBLANK(fixtures!$L26),"",":")</f>
        <v>:</v>
      </c>
      <c r="DY5" s="342">
        <f>IF(ISBLANK(fixtures!$L26),"",fixtures!$L26)</f>
        <v>2</v>
      </c>
      <c r="DZ5" s="21" t="str">
        <f>IF(ISBLANK(fixtures!$L26),"",IF(DW5&gt;DY5,"W",IF(DW5=DY5,"D","L")))</f>
        <v>L</v>
      </c>
      <c r="EA5" s="21"/>
      <c r="EB5" s="21"/>
      <c r="EC5" s="270">
        <v>22</v>
      </c>
      <c r="ED5" s="272" t="s">
        <v>109</v>
      </c>
      <c r="EE5" s="349">
        <f ca="1">IFERROR(INDIRECT("fixtures!" &amp; Dashboard!J1 &amp;31) - Dashboard!K1/24,"TBC")</f>
        <v>44795.916666666664</v>
      </c>
      <c r="EF5" s="23"/>
      <c r="EG5" s="23" t="s">
        <v>11</v>
      </c>
      <c r="EH5" s="23" t="s">
        <v>106</v>
      </c>
      <c r="EI5" s="270">
        <f>IF(ISBLANK(fixtures!$L31),"",fixtures!$L31)</f>
        <v>1</v>
      </c>
      <c r="EJ5" s="23" t="str">
        <f>IF(ISBLANK(fixtures!$L31),"",":")</f>
        <v>:</v>
      </c>
      <c r="EK5" s="272">
        <f>IF(ISBLANK(fixtures!$K31),"",fixtures!$K31)</f>
        <v>2</v>
      </c>
      <c r="EL5" s="23" t="str">
        <f>IF(ISBLANK(fixtures!$L31),"",IF(EI5&gt;EK5,"W",IF(EI5=EK5,"D","L")))</f>
        <v>L</v>
      </c>
      <c r="EM5" s="23"/>
      <c r="EN5" s="23"/>
      <c r="EO5" s="105">
        <v>21</v>
      </c>
      <c r="EP5" s="25" t="s">
        <v>105</v>
      </c>
      <c r="EQ5" s="355">
        <f ca="1">IFERROR(INDIRECT("fixtures!" &amp; Dashboard!J1 &amp;30) - Dashboard!K1/24,"TBC")</f>
        <v>44794.770833333336</v>
      </c>
      <c r="ER5" s="25"/>
      <c r="ES5" s="25" t="s">
        <v>12</v>
      </c>
      <c r="ET5" s="25" t="s">
        <v>106</v>
      </c>
      <c r="EU5" s="105">
        <f>IF(ISBLANK(fixtures!$L30),"",fixtures!$L30)</f>
        <v>3</v>
      </c>
      <c r="EV5" s="25" t="str">
        <f>IF(ISBLANK(fixtures!$L30),"",":")</f>
        <v>:</v>
      </c>
      <c r="EW5" s="107">
        <f>IF(ISBLANK(fixtures!$K30),"",fixtures!$K30)</f>
        <v>3</v>
      </c>
      <c r="EX5" s="25" t="str">
        <f>IF(ISBLANK(fixtures!$L30),"",IF(EU5&gt;EW5,"W",IF(EU5=EW5,"D","L")))</f>
        <v>D</v>
      </c>
      <c r="EY5" s="25"/>
      <c r="EZ5" s="25"/>
      <c r="FA5" s="361">
        <v>22</v>
      </c>
      <c r="FB5" s="27" t="s">
        <v>109</v>
      </c>
      <c r="FC5" s="363">
        <f ca="1">IFERROR(INDIRECT("fixtures!" &amp; Dashboard!J1 &amp;31) - Dashboard!K1/24,"TBC")</f>
        <v>44795.916666666664</v>
      </c>
      <c r="FD5" s="27"/>
      <c r="FE5" s="27" t="s">
        <v>9</v>
      </c>
      <c r="FF5" s="27" t="s">
        <v>108</v>
      </c>
      <c r="FG5" s="361">
        <f>IF(ISBLANK(fixtures!$K31),"",fixtures!$K31)</f>
        <v>2</v>
      </c>
      <c r="FH5" s="27" t="str">
        <f>IF(ISBLANK(fixtures!$L31),"",":")</f>
        <v>:</v>
      </c>
      <c r="FI5" s="362">
        <f>IF(ISBLANK(fixtures!$L31),"",fixtures!$L31)</f>
        <v>1</v>
      </c>
      <c r="FJ5" s="27" t="str">
        <f>IF(ISBLANK(fixtures!$L31),"",IF(FG5&gt;FI5,"W",IF(FG5=FI5,"D","L")))</f>
        <v>W</v>
      </c>
      <c r="FK5" s="27"/>
      <c r="FL5" s="27"/>
      <c r="FM5" s="110">
        <v>21</v>
      </c>
      <c r="FN5" s="29" t="s">
        <v>105</v>
      </c>
      <c r="FO5" s="369">
        <f ca="1">IFERROR(INDIRECT("fixtures!" &amp; Dashboard!J1 &amp;30) - Dashboard!K1/24,"TBC")</f>
        <v>44794.770833333336</v>
      </c>
      <c r="FP5" s="29"/>
      <c r="FQ5" s="29" t="s">
        <v>10</v>
      </c>
      <c r="FR5" s="29" t="s">
        <v>108</v>
      </c>
      <c r="FS5" s="110">
        <f>IF(ISBLANK(fixtures!$K30),"",fixtures!$K30)</f>
        <v>3</v>
      </c>
      <c r="FT5" s="29" t="str">
        <f>IF(ISBLANK(fixtures!$L30),"",":")</f>
        <v>:</v>
      </c>
      <c r="FU5" s="112">
        <f>IF(ISBLANK(fixtures!$L30),"",fixtures!$L30)</f>
        <v>3</v>
      </c>
      <c r="FV5" s="29" t="str">
        <f>IF(ISBLANK(fixtures!$L30),"",IF(FS5&gt;FU5,"W",IF(FS5=FU5,"D","L")))</f>
        <v>D</v>
      </c>
      <c r="FW5" s="29"/>
      <c r="FX5" s="29"/>
      <c r="FY5" s="375">
        <v>20</v>
      </c>
      <c r="FZ5" s="264" t="s">
        <v>107</v>
      </c>
      <c r="GA5" s="377">
        <f ca="1">IFERROR(INDIRECT("fixtures!" &amp; Dashboard!J1 &amp;24) - Dashboard!K1/24,"TBC")</f>
        <v>44793.708333333336</v>
      </c>
      <c r="GB5" s="264"/>
      <c r="GC5" s="264" t="s">
        <v>7</v>
      </c>
      <c r="GD5" s="264" t="s">
        <v>106</v>
      </c>
      <c r="GE5" s="375">
        <f>IF(ISBLANK(fixtures!$L24),"",fixtures!$L24)</f>
        <v>1</v>
      </c>
      <c r="GF5" s="264" t="str">
        <f>IF(ISBLANK(fixtures!$L24),"",":")</f>
        <v>:</v>
      </c>
      <c r="GG5" s="376">
        <f>IF(ISBLANK(fixtures!$K24),"",fixtures!$K24)</f>
        <v>1</v>
      </c>
      <c r="GH5" s="264" t="str">
        <f>IF(ISBLANK(fixtures!$L24),"",IF(GE5&gt;GG5,"W",IF(GE5=GG5,"D","L")))</f>
        <v>D</v>
      </c>
      <c r="GI5" s="264"/>
      <c r="GJ5" s="264"/>
      <c r="GK5" s="382">
        <v>20</v>
      </c>
      <c r="GL5" s="383" t="s">
        <v>107</v>
      </c>
      <c r="GM5" s="384">
        <f ca="1">IFERROR(INDIRECT("fixtures!" &amp; Dashboard!J1 &amp;26) - Dashboard!K1/24,"TBC")</f>
        <v>44793.708333333336</v>
      </c>
      <c r="GN5" s="30"/>
      <c r="GO5" s="30" t="s">
        <v>8</v>
      </c>
      <c r="GP5" s="30" t="s">
        <v>106</v>
      </c>
      <c r="GQ5" s="382">
        <f>IF(ISBLANK(fixtures!$L26),"",fixtures!$L26)</f>
        <v>2</v>
      </c>
      <c r="GR5" s="30" t="str">
        <f>IF(ISBLANK(fixtures!$L26),"",":")</f>
        <v>:</v>
      </c>
      <c r="GS5" s="383">
        <f>IF(ISBLANK(fixtures!$K26),"",fixtures!$K26)</f>
        <v>1</v>
      </c>
      <c r="GT5" s="30" t="str">
        <f>IF(ISBLANK(fixtures!$L26),"",IF(GQ5&gt;GS5,"W",IF(GQ5=GS5,"D","L")))</f>
        <v>W</v>
      </c>
      <c r="GU5" s="30"/>
      <c r="GV5" s="30"/>
      <c r="GW5" s="115">
        <v>20</v>
      </c>
      <c r="GX5" s="117" t="s">
        <v>107</v>
      </c>
      <c r="GY5" s="390">
        <f ca="1">IFERROR(INDIRECT("fixtures!" &amp; Dashboard!J1 &amp;22) - Dashboard!K1/24,"TBC")</f>
        <v>44793.604166666664</v>
      </c>
      <c r="GZ5" s="32"/>
      <c r="HA5" s="32" t="s">
        <v>16</v>
      </c>
      <c r="HB5" s="32" t="s">
        <v>108</v>
      </c>
      <c r="HC5" s="115">
        <f>IF(ISBLANK(fixtures!$K22),"",fixtures!$K22)</f>
        <v>1</v>
      </c>
      <c r="HD5" s="32" t="str">
        <f>IF(ISBLANK(fixtures!$L22),"",":")</f>
        <v>:</v>
      </c>
      <c r="HE5" s="117">
        <f>IF(ISBLANK(fixtures!$L22),"",fixtures!$L22)</f>
        <v>0</v>
      </c>
      <c r="HF5" s="32" t="str">
        <f>IF(ISBLANK(fixtures!$L22),"",IF(HC5&gt;HE5,"W",IF(HC5=HE5,"D","L")))</f>
        <v>W</v>
      </c>
      <c r="HG5" s="32"/>
      <c r="HH5" s="32"/>
      <c r="HI5" s="120">
        <v>21</v>
      </c>
      <c r="HJ5" s="34" t="s">
        <v>105</v>
      </c>
      <c r="HK5" s="396">
        <f ca="1">IFERROR(INDIRECT("fixtures!" &amp; Dashboard!J1 &amp;29) - Dashboard!K1/24,"TBC")</f>
        <v>44794.666666666664</v>
      </c>
      <c r="HL5" s="34"/>
      <c r="HM5" s="34" t="s">
        <v>4</v>
      </c>
      <c r="HN5" s="34" t="s">
        <v>108</v>
      </c>
      <c r="HO5" s="120">
        <f>IF(ISBLANK(fixtures!$K29),"",fixtures!$K29)</f>
        <v>0</v>
      </c>
      <c r="HP5" s="34" t="str">
        <f>IF(ISBLANK(fixtures!$L29),"",":")</f>
        <v>:</v>
      </c>
      <c r="HQ5" s="122">
        <f>IF(ISBLANK(fixtures!$L29),"",fixtures!$L29)</f>
        <v>2</v>
      </c>
      <c r="HR5" s="34" t="str">
        <f>IF(ISBLANK(fixtures!$L29),"",IF(HO5&gt;HQ5,"W",IF(HO5=HQ5,"D","L")))</f>
        <v>L</v>
      </c>
      <c r="HS5" s="34"/>
      <c r="HT5" s="34"/>
      <c r="HU5" s="125">
        <v>20</v>
      </c>
      <c r="HV5" s="36" t="s">
        <v>107</v>
      </c>
      <c r="HW5" s="402">
        <f ca="1">IFERROR(INDIRECT("fixtures!" &amp; Dashboard!J1 &amp;22) - Dashboard!K1/24,"TBC")</f>
        <v>44793.604166666664</v>
      </c>
      <c r="HX5" s="36"/>
      <c r="HY5" s="36" t="s">
        <v>14</v>
      </c>
      <c r="HZ5" s="36" t="s">
        <v>106</v>
      </c>
      <c r="IA5" s="125">
        <f>IF(ISBLANK(fixtures!$L22),"",fixtures!$L22)</f>
        <v>0</v>
      </c>
      <c r="IB5" s="36" t="str">
        <f>IF(ISBLANK(fixtures!$L22),"",":")</f>
        <v>:</v>
      </c>
      <c r="IC5" s="127">
        <f>IF(ISBLANK(fixtures!$K22),"",fixtures!$K22)</f>
        <v>1</v>
      </c>
      <c r="ID5" s="36" t="str">
        <f>IF(ISBLANK(fixtures!$L22),"",IF(IA5&gt;IC5,"W",IF(IA5=IC5,"D","L")))</f>
        <v>L</v>
      </c>
      <c r="IE5" s="36"/>
      <c r="IF5" s="36"/>
      <c r="II5" s="142"/>
    </row>
    <row r="6" spans="1:243" x14ac:dyDescent="0.4">
      <c r="A6" s="91">
        <v>27</v>
      </c>
      <c r="B6" s="93" t="s">
        <v>107</v>
      </c>
      <c r="C6" s="277">
        <f ca="1">IFERROR(INDIRECT("fixtures!" &amp; Dashboard!J1 &amp;38) - Dashboard!K1/24,"TBC")</f>
        <v>44800.8125</v>
      </c>
      <c r="D6" s="6"/>
      <c r="E6" s="6" t="s">
        <v>126</v>
      </c>
      <c r="F6" s="6" t="s">
        <v>108</v>
      </c>
      <c r="G6" s="91">
        <f>IF(ISBLANK(fixtures!$K38),"",fixtures!$K38)</f>
        <v>2</v>
      </c>
      <c r="H6" s="6" t="str">
        <f>IF(ISBLANK(fixtures!$L38),"",":")</f>
        <v>:</v>
      </c>
      <c r="I6" s="93">
        <f>IF(ISBLANK(fixtures!$L38),"",fixtures!$L38)</f>
        <v>1</v>
      </c>
      <c r="J6" s="6" t="str">
        <f>IF(ISBLANK(fixtures!$L38),"",IF(G6&gt;I6,"W",IF(G6=I6,"D","L")))</f>
        <v>W</v>
      </c>
      <c r="K6" s="6"/>
      <c r="L6" s="6"/>
      <c r="M6" s="282">
        <v>28</v>
      </c>
      <c r="N6" s="9" t="s">
        <v>105</v>
      </c>
      <c r="O6" s="284">
        <f ca="1">IFERROR(INDIRECT("fixtures!" &amp; Dashboard!J1 &amp;39) - Dashboard!K1/24,"TBC")</f>
        <v>44801.666666666664</v>
      </c>
      <c r="P6" s="9"/>
      <c r="Q6" s="9" t="s">
        <v>15</v>
      </c>
      <c r="R6" s="9" t="s">
        <v>108</v>
      </c>
      <c r="S6" s="282">
        <f>IF(ISBLANK(fixtures!$K39),"",fixtures!$K39)</f>
        <v>0</v>
      </c>
      <c r="T6" s="9" t="str">
        <f>IF(ISBLANK(fixtures!$L39),"",":")</f>
        <v>:</v>
      </c>
      <c r="U6" s="283">
        <f>IF(ISBLANK(fixtures!$L39),"",fixtures!$L39)</f>
        <v>1</v>
      </c>
      <c r="V6" s="9" t="str">
        <f>IF(ISBLANK(fixtures!$L39),"",IF(S6&gt;U6,"W",IF(S6=U6,"D","L")))</f>
        <v>L</v>
      </c>
      <c r="W6" s="9"/>
      <c r="X6" s="9"/>
      <c r="Y6" s="290">
        <v>27</v>
      </c>
      <c r="Z6" s="262" t="s">
        <v>107</v>
      </c>
      <c r="AA6" s="291">
        <f ca="1">IFERROR(INDIRECT("fixtures!" &amp; Dashboard!J1 &amp;36) - Dashboard!K1/24,"TBC")</f>
        <v>44800.708333333336</v>
      </c>
      <c r="AB6" s="262"/>
      <c r="AC6" s="262" t="s">
        <v>9</v>
      </c>
      <c r="AD6" s="262" t="s">
        <v>106</v>
      </c>
      <c r="AE6" s="290">
        <f>IF(ISBLANK(fixtures!$L36),"",fixtures!$L36)</f>
        <v>0</v>
      </c>
      <c r="AF6" s="262" t="str">
        <f>IF(ISBLANK(fixtures!$L36),"",":")</f>
        <v>:</v>
      </c>
      <c r="AG6" s="292">
        <f>IF(ISBLANK(fixtures!$K36),"",fixtures!$K36)</f>
        <v>9</v>
      </c>
      <c r="AH6" s="262" t="str">
        <f>IF(ISBLANK(fixtures!$L36),"",IF(AE6&gt;AG6,"W",IF(AE6=AG6,"D","L")))</f>
        <v>L</v>
      </c>
      <c r="AI6" s="262"/>
      <c r="AJ6" s="262"/>
      <c r="AK6" s="411">
        <v>27</v>
      </c>
      <c r="AL6" s="410" t="s">
        <v>107</v>
      </c>
      <c r="AM6" s="413">
        <f ca="1">IFERROR(INDIRECT("fixtures!" &amp; Dashboard!J1 &amp;33) - Dashboard!K1/24,"TBC")</f>
        <v>44800.708333333336</v>
      </c>
      <c r="AN6" s="410"/>
      <c r="AO6" s="410" t="s">
        <v>7</v>
      </c>
      <c r="AP6" s="410" t="s">
        <v>108</v>
      </c>
      <c r="AQ6" s="411">
        <f>IF(ISBLANK(fixtures!$K33),"",fixtures!$K33)</f>
        <v>1</v>
      </c>
      <c r="AR6" s="410" t="str">
        <f>IF(ISBLANK(fixtures!$L33),"",":")</f>
        <v>:</v>
      </c>
      <c r="AS6" s="412">
        <f>IF(ISBLANK(fixtures!$L33),"",fixtures!$L33)</f>
        <v>1</v>
      </c>
      <c r="AT6" s="410" t="str">
        <f>IF(ISBLANK(fixtures!$L33),"",IF(AQ6&gt;AS6,"W",IF(AQ6=AS6,"D","L")))</f>
        <v>D</v>
      </c>
      <c r="AU6" s="410"/>
      <c r="AV6" s="410"/>
      <c r="AW6" s="96">
        <v>27</v>
      </c>
      <c r="AX6" s="98" t="s">
        <v>107</v>
      </c>
      <c r="AY6" s="298">
        <f ca="1">IFERROR(INDIRECT("fixtures!" &amp; Dashboard!J1 &amp;34) - Dashboard!K1/24,"TBC")</f>
        <v>44800.708333333336</v>
      </c>
      <c r="AZ6" s="11"/>
      <c r="BA6" s="11" t="s">
        <v>139</v>
      </c>
      <c r="BB6" s="11" t="s">
        <v>108</v>
      </c>
      <c r="BC6" s="96">
        <f>IF(ISBLANK(fixtures!$K34),"",fixtures!$K34)</f>
        <v>1</v>
      </c>
      <c r="BD6" s="11" t="str">
        <f>IF(ISBLANK(fixtures!$L34),"",":")</f>
        <v>:</v>
      </c>
      <c r="BE6" s="98">
        <f>IF(ISBLANK(fixtures!$L34),"",fixtures!$L34)</f>
        <v>0</v>
      </c>
      <c r="BF6" s="11" t="str">
        <f>IF(ISBLANK(fixtures!$L34),"",IF(BC6&gt;BE6,"W",IF(BC6=BE6,"D","L")))</f>
        <v>W</v>
      </c>
      <c r="BG6" s="11"/>
      <c r="BH6" s="11"/>
      <c r="BI6" s="181">
        <v>27</v>
      </c>
      <c r="BJ6" s="15" t="s">
        <v>107</v>
      </c>
      <c r="BK6" s="304">
        <f ca="1">IFERROR(INDIRECT("fixtures!" &amp; Dashboard!J1 &amp;35) - Dashboard!K1/24,"TBC")</f>
        <v>44800.708333333336</v>
      </c>
      <c r="BL6" s="15"/>
      <c r="BM6" s="15" t="s">
        <v>8</v>
      </c>
      <c r="BN6" s="15" t="s">
        <v>108</v>
      </c>
      <c r="BO6" s="181">
        <f>IF(ISBLANK(fixtures!$K35),"",fixtures!$K35)</f>
        <v>2</v>
      </c>
      <c r="BP6" s="15" t="str">
        <f>IF(ISBLANK(fixtures!$L35),"",":")</f>
        <v>:</v>
      </c>
      <c r="BQ6" s="183">
        <f>IF(ISBLANK(fixtures!$L35),"",fixtures!$L35)</f>
        <v>1</v>
      </c>
      <c r="BR6" s="15" t="str">
        <f>IF(ISBLANK(fixtures!$L35),"",IF(BO6&gt;BQ6,"W",IF(BO6=BQ6,"D","L")))</f>
        <v>W</v>
      </c>
      <c r="BS6" s="15"/>
      <c r="BT6" s="15"/>
      <c r="BU6" s="310">
        <v>27</v>
      </c>
      <c r="BV6" s="16" t="s">
        <v>107</v>
      </c>
      <c r="BW6" s="312">
        <f ca="1">IFERROR(INDIRECT("fixtures!" &amp; Dashboard!J1 &amp;37) - Dashboard!K1/24,"TBC")</f>
        <v>44800.708333333336</v>
      </c>
      <c r="BX6" s="16"/>
      <c r="BY6" s="16" t="s">
        <v>10</v>
      </c>
      <c r="BZ6" s="16" t="s">
        <v>106</v>
      </c>
      <c r="CA6" s="310">
        <f>IF(ISBLANK(fixtures!$L37),"",fixtures!$L37)</f>
        <v>2</v>
      </c>
      <c r="CB6" s="16" t="str">
        <f>IF(ISBLANK(fixtures!$L37),"",":")</f>
        <v>:</v>
      </c>
      <c r="CC6" s="311">
        <f>IF(ISBLANK(fixtures!$K37),"",fixtures!$K37)</f>
        <v>4</v>
      </c>
      <c r="CD6" s="16" t="str">
        <f>IF(ISBLANK(fixtures!$L37),"",IF(CA6&gt;CC6,"W",IF(CA6=CC6,"D","L")))</f>
        <v>L</v>
      </c>
      <c r="CE6" s="16"/>
      <c r="CF6" s="16"/>
      <c r="CG6" s="318">
        <v>27</v>
      </c>
      <c r="CH6" s="319" t="s">
        <v>107</v>
      </c>
      <c r="CI6" s="320">
        <f ca="1">IFERROR(INDIRECT("fixtures!" &amp; Dashboard!J1 &amp;33) - Dashboard!K1/24,"TBC")</f>
        <v>44800.708333333336</v>
      </c>
      <c r="CJ6" s="19"/>
      <c r="CK6" s="19" t="s">
        <v>125</v>
      </c>
      <c r="CL6" s="19" t="s">
        <v>106</v>
      </c>
      <c r="CM6" s="318">
        <f>IF(ISBLANK(fixtures!$L33),"",fixtures!$L33)</f>
        <v>1</v>
      </c>
      <c r="CN6" s="19" t="str">
        <f>IF(ISBLANK(fixtures!$L33),"",":")</f>
        <v>:</v>
      </c>
      <c r="CO6" s="319">
        <f>IF(ISBLANK(fixtures!$K33),"",fixtures!$K33)</f>
        <v>1</v>
      </c>
      <c r="CP6" s="19" t="str">
        <f>IF(ISBLANK(fixtures!$L33),"",IF(CM6&gt;CO6,"W",IF(CM6=CO6,"D","L")))</f>
        <v>D</v>
      </c>
      <c r="CQ6" s="19"/>
      <c r="CR6" s="19"/>
      <c r="CS6" s="326">
        <v>27</v>
      </c>
      <c r="CT6" s="178" t="s">
        <v>107</v>
      </c>
      <c r="CU6" s="328">
        <f ca="1">IFERROR(INDIRECT("fixtures!" &amp; Dashboard!J1 &amp;38) - Dashboard!K1/24,"TBC")</f>
        <v>44800.8125</v>
      </c>
      <c r="CV6" s="178"/>
      <c r="CW6" s="178" t="s">
        <v>1</v>
      </c>
      <c r="CX6" s="178" t="s">
        <v>106</v>
      </c>
      <c r="CY6" s="326">
        <f>IF(ISBLANK(fixtures!$L38),"",fixtures!$L38)</f>
        <v>1</v>
      </c>
      <c r="CZ6" s="178" t="str">
        <f>IF(ISBLANK(fixtures!$L38),"",":")</f>
        <v>:</v>
      </c>
      <c r="DA6" s="327">
        <f>IF(ISBLANK(fixtures!$K38),"",fixtures!$K38)</f>
        <v>2</v>
      </c>
      <c r="DB6" s="178" t="str">
        <f>IF(ISBLANK(fixtures!$L38),"",IF(CY6&gt;DA6,"W",IF(CY6=DA6,"D","L")))</f>
        <v>L</v>
      </c>
      <c r="DC6" s="178"/>
      <c r="DD6" s="178"/>
      <c r="DE6" s="334">
        <v>27</v>
      </c>
      <c r="DF6" s="335" t="s">
        <v>107</v>
      </c>
      <c r="DG6" s="336">
        <f ca="1">IFERROR(INDIRECT("fixtures!" &amp; Dashboard!J1 &amp;34) - Dashboard!K1/24,"TBC")</f>
        <v>44800.708333333336</v>
      </c>
      <c r="DH6" s="177"/>
      <c r="DI6" s="177" t="s">
        <v>4</v>
      </c>
      <c r="DJ6" s="177" t="s">
        <v>106</v>
      </c>
      <c r="DK6" s="334">
        <f>IF(ISBLANK(fixtures!$L34),"",fixtures!$L34)</f>
        <v>0</v>
      </c>
      <c r="DL6" s="177" t="str">
        <f>IF(ISBLANK(fixtures!$L34),"",":")</f>
        <v>:</v>
      </c>
      <c r="DM6" s="335">
        <f>IF(ISBLANK(fixtures!$K34),"",fixtures!$K34)</f>
        <v>1</v>
      </c>
      <c r="DN6" s="177" t="str">
        <f>IF(ISBLANK(fixtures!$L34),"",IF(DK6&gt;DM6,"W",IF(DK6=DM6,"D","L")))</f>
        <v>L</v>
      </c>
      <c r="DO6" s="177"/>
      <c r="DP6" s="177"/>
      <c r="DQ6" s="341">
        <v>27</v>
      </c>
      <c r="DR6" s="342" t="s">
        <v>107</v>
      </c>
      <c r="DS6" s="343">
        <f ca="1">IFERROR(INDIRECT("fixtures!" &amp; Dashboard!J1 &amp;35) - Dashboard!K1/24,"TBC")</f>
        <v>44800.708333333336</v>
      </c>
      <c r="DT6" s="21"/>
      <c r="DU6" s="21" t="s">
        <v>5</v>
      </c>
      <c r="DV6" s="21" t="s">
        <v>106</v>
      </c>
      <c r="DW6" s="341">
        <f>IF(ISBLANK(fixtures!$L35),"",fixtures!$L35)</f>
        <v>1</v>
      </c>
      <c r="DX6" s="21" t="str">
        <f>IF(ISBLANK(fixtures!$L35),"",":")</f>
        <v>:</v>
      </c>
      <c r="DY6" s="342">
        <f>IF(ISBLANK(fixtures!$K35),"",fixtures!$K35)</f>
        <v>2</v>
      </c>
      <c r="DZ6" s="21" t="str">
        <f>IF(ISBLANK(fixtures!$L35),"",IF(DW6&gt;DY6,"W",IF(DW6=DY6,"D","L")))</f>
        <v>L</v>
      </c>
      <c r="EA6" s="21"/>
      <c r="EB6" s="21"/>
      <c r="EC6" s="270">
        <v>27</v>
      </c>
      <c r="ED6" s="23" t="s">
        <v>107</v>
      </c>
      <c r="EE6" s="349">
        <f ca="1">IFERROR(INDIRECT("fixtures!" &amp; Dashboard!J1 &amp;36) - Dashboard!K1/24,"TBC")</f>
        <v>44800.708333333336</v>
      </c>
      <c r="EF6" s="23"/>
      <c r="EG6" s="23" t="s">
        <v>3</v>
      </c>
      <c r="EH6" s="23" t="s">
        <v>108</v>
      </c>
      <c r="EI6" s="270">
        <f>IF(ISBLANK(fixtures!$K36),"",fixtures!$K36)</f>
        <v>9</v>
      </c>
      <c r="EJ6" s="23" t="str">
        <f>IF(ISBLANK(fixtures!$L36),"",":")</f>
        <v>:</v>
      </c>
      <c r="EK6" s="272">
        <f>IF(ISBLANK(fixtures!$L36),"",fixtures!$L36)</f>
        <v>0</v>
      </c>
      <c r="EL6" s="23" t="str">
        <f>IF(ISBLANK(fixtures!$L36),"",IF(EI6&gt;EK6,"W",IF(EI6=EK6,"D","L")))</f>
        <v>W</v>
      </c>
      <c r="EM6" s="23"/>
      <c r="EN6" s="23"/>
      <c r="EO6" s="105">
        <v>27</v>
      </c>
      <c r="EP6" s="25" t="s">
        <v>107</v>
      </c>
      <c r="EQ6" s="355">
        <f ca="1">IFERROR(INDIRECT("fixtures!" &amp; Dashboard!J1 &amp;37) - Dashboard!K1/24,"TBC")</f>
        <v>44800.708333333336</v>
      </c>
      <c r="ER6" s="25"/>
      <c r="ES6" s="25" t="s">
        <v>6</v>
      </c>
      <c r="ET6" s="25" t="s">
        <v>108</v>
      </c>
      <c r="EU6" s="105">
        <f>IF(ISBLANK(fixtures!$K37),"",fixtures!$K37)</f>
        <v>4</v>
      </c>
      <c r="EV6" s="25" t="str">
        <f>IF(ISBLANK(fixtures!$L37),"",":")</f>
        <v>:</v>
      </c>
      <c r="EW6" s="107">
        <f>IF(ISBLANK(fixtures!$L37),"",fixtures!$L37)</f>
        <v>2</v>
      </c>
      <c r="EX6" s="25" t="str">
        <f>IF(ISBLANK(fixtures!$L37),"",IF(EU6&gt;EW6,"W",IF(EU6=EW6,"D","L")))</f>
        <v>W</v>
      </c>
      <c r="EY6" s="25"/>
      <c r="EZ6" s="25"/>
      <c r="FA6" s="361">
        <v>27</v>
      </c>
      <c r="FB6" s="27" t="s">
        <v>107</v>
      </c>
      <c r="FC6" s="363">
        <f ca="1">IFERROR(INDIRECT("fixtures!" &amp; Dashboard!J1 &amp;32) - Dashboard!K1/24,"TBC")</f>
        <v>44800.604166666664</v>
      </c>
      <c r="FD6" s="27"/>
      <c r="FE6" s="27" t="s">
        <v>13</v>
      </c>
      <c r="FF6" s="27" t="s">
        <v>106</v>
      </c>
      <c r="FG6" s="361">
        <f>IF(ISBLANK(fixtures!$L32),"",fixtures!$L32)</f>
        <v>1</v>
      </c>
      <c r="FH6" s="27" t="str">
        <f>IF(ISBLANK(fixtures!$L32),"",":")</f>
        <v>:</v>
      </c>
      <c r="FI6" s="362">
        <f>IF(ISBLANK(fixtures!$K32),"",fixtures!$K32)</f>
        <v>0</v>
      </c>
      <c r="FJ6" s="27" t="str">
        <f>IF(ISBLANK(fixtures!$L32),"",IF(FG6&gt;FI6,"W",IF(FG6=FI6,"D","L")))</f>
        <v>W</v>
      </c>
      <c r="FK6" s="27"/>
      <c r="FL6" s="27"/>
      <c r="FM6" s="110">
        <v>28</v>
      </c>
      <c r="FN6" s="29" t="s">
        <v>105</v>
      </c>
      <c r="FO6" s="369">
        <f ca="1">IFERROR(INDIRECT("fixtures!" &amp; Dashboard!J1 &amp;40) - Dashboard!K1/24,"TBC")</f>
        <v>44801.666666666664</v>
      </c>
      <c r="FP6" s="29"/>
      <c r="FQ6" s="29" t="s">
        <v>16</v>
      </c>
      <c r="FR6" s="29" t="s">
        <v>106</v>
      </c>
      <c r="FS6" s="110">
        <f>IF(ISBLANK(fixtures!$L40),"",fixtures!$L40)</f>
        <v>1</v>
      </c>
      <c r="FT6" s="29" t="str">
        <f>IF(ISBLANK(fixtures!$L40),"",":")</f>
        <v>:</v>
      </c>
      <c r="FU6" s="112">
        <f>IF(ISBLANK(fixtures!$K40),"",fixtures!$K40)</f>
        <v>1</v>
      </c>
      <c r="FV6" s="29" t="str">
        <f>IF(ISBLANK(fixtures!$L40),"",IF(FS6&gt;FU6,"W",IF(FS6=FU6,"D","L")))</f>
        <v>D</v>
      </c>
      <c r="FW6" s="29"/>
      <c r="FX6" s="29"/>
      <c r="FY6" s="375">
        <v>28</v>
      </c>
      <c r="FZ6" s="264" t="s">
        <v>105</v>
      </c>
      <c r="GA6" s="377">
        <f ca="1">IFERROR(INDIRECT("fixtures!" &amp; Dashboard!J1 &amp;41) - Dashboard!K1/24,"TBC")</f>
        <v>44801.770833333336</v>
      </c>
      <c r="GB6" s="264"/>
      <c r="GC6" s="264" t="s">
        <v>14</v>
      </c>
      <c r="GD6" s="264" t="s">
        <v>108</v>
      </c>
      <c r="GE6" s="375">
        <f>IF(ISBLANK(fixtures!$K41),"",fixtures!$K41)</f>
        <v>0</v>
      </c>
      <c r="GF6" s="264" t="str">
        <f>IF(ISBLANK(fixtures!$L41),"",":")</f>
        <v>:</v>
      </c>
      <c r="GG6" s="376">
        <f>IF(ISBLANK(fixtures!$L41),"",fixtures!$L41)</f>
        <v>2</v>
      </c>
      <c r="GH6" s="264" t="str">
        <f>IF(ISBLANK(fixtures!$L41),"",IF(GE6&gt;GG6,"W",IF(GE6=GG6,"D","L")))</f>
        <v>L</v>
      </c>
      <c r="GI6" s="264"/>
      <c r="GJ6" s="264"/>
      <c r="GK6" s="382">
        <v>27</v>
      </c>
      <c r="GL6" s="30" t="s">
        <v>107</v>
      </c>
      <c r="GM6" s="384">
        <f ca="1">IFERROR(INDIRECT("fixtures!" &amp; Dashboard!J1 &amp;32) - Dashboard!K1/24,"TBC")</f>
        <v>44800.604166666664</v>
      </c>
      <c r="GN6" s="30"/>
      <c r="GO6" s="30" t="s">
        <v>11</v>
      </c>
      <c r="GP6" s="30" t="s">
        <v>108</v>
      </c>
      <c r="GQ6" s="382">
        <f>IF(ISBLANK(fixtures!$K32),"",fixtures!$K32)</f>
        <v>0</v>
      </c>
      <c r="GR6" s="30" t="str">
        <f>IF(ISBLANK(fixtures!$L32),"",":")</f>
        <v>:</v>
      </c>
      <c r="GS6" s="383">
        <f>IF(ISBLANK(fixtures!$L32),"",fixtures!$L32)</f>
        <v>1</v>
      </c>
      <c r="GT6" s="30" t="str">
        <f>IF(ISBLANK(fixtures!$L32),"",IF(GQ6&gt;GS6,"W",IF(GQ6=GS6,"D","L")))</f>
        <v>L</v>
      </c>
      <c r="GU6" s="30"/>
      <c r="GV6" s="30"/>
      <c r="GW6" s="115">
        <v>28</v>
      </c>
      <c r="GX6" s="32" t="s">
        <v>105</v>
      </c>
      <c r="GY6" s="390">
        <f ca="1">IFERROR(INDIRECT("fixtures!" &amp; Dashboard!J1 &amp;41) - Dashboard!K1/24,"TBC")</f>
        <v>44801.770833333336</v>
      </c>
      <c r="GZ6" s="32"/>
      <c r="HA6" s="32" t="s">
        <v>204</v>
      </c>
      <c r="HB6" s="32" t="s">
        <v>106</v>
      </c>
      <c r="HC6" s="115">
        <f>IF(ISBLANK(fixtures!$L41),"",fixtures!$L41)</f>
        <v>2</v>
      </c>
      <c r="HD6" s="32" t="str">
        <f>IF(ISBLANK(fixtures!$L41),"",":")</f>
        <v>:</v>
      </c>
      <c r="HE6" s="117">
        <f>IF(ISBLANK(fixtures!$K41),"",fixtures!$K41)</f>
        <v>0</v>
      </c>
      <c r="HF6" s="32" t="str">
        <f>IF(ISBLANK(fixtures!$L41),"",IF(HC6&gt;HE6,"W",IF(HC6=HE6,"D","L")))</f>
        <v>W</v>
      </c>
      <c r="HG6" s="32"/>
      <c r="HH6" s="32"/>
      <c r="HI6" s="120">
        <v>28</v>
      </c>
      <c r="HJ6" s="34" t="s">
        <v>105</v>
      </c>
      <c r="HK6" s="396">
        <f ca="1">IFERROR(INDIRECT("fixtures!" &amp; Dashboard!J1 &amp;39) - Dashboard!K1/24,"TBC")</f>
        <v>44801.666666666664</v>
      </c>
      <c r="HL6" s="34"/>
      <c r="HM6" s="34" t="s">
        <v>2</v>
      </c>
      <c r="HN6" s="34" t="s">
        <v>106</v>
      </c>
      <c r="HO6" s="120">
        <f>IF(ISBLANK(fixtures!$L39),"",fixtures!$L39)</f>
        <v>1</v>
      </c>
      <c r="HP6" s="34" t="str">
        <f>IF(ISBLANK(fixtures!$L39),"",":")</f>
        <v>:</v>
      </c>
      <c r="HQ6" s="122">
        <f>IF(ISBLANK(fixtures!$K39),"",fixtures!$K39)</f>
        <v>0</v>
      </c>
      <c r="HR6" s="34" t="str">
        <f>IF(ISBLANK(fixtures!$L39),"",IF(HO6&gt;HQ6,"W",IF(HO6=HQ6,"D","L")))</f>
        <v>W</v>
      </c>
      <c r="HS6" s="34"/>
      <c r="HT6" s="34"/>
      <c r="HU6" s="125">
        <v>28</v>
      </c>
      <c r="HV6" s="36" t="s">
        <v>105</v>
      </c>
      <c r="HW6" s="402">
        <f ca="1">IFERROR(INDIRECT("fixtures!" &amp; Dashboard!J1 &amp;40) - Dashboard!K1/24,"TBC")</f>
        <v>44801.666666666664</v>
      </c>
      <c r="HX6" s="36"/>
      <c r="HY6" s="36" t="s">
        <v>12</v>
      </c>
      <c r="HZ6" s="36" t="s">
        <v>108</v>
      </c>
      <c r="IA6" s="125">
        <f>IF(ISBLANK(fixtures!$K40),"",fixtures!$K40)</f>
        <v>1</v>
      </c>
      <c r="IB6" s="36" t="str">
        <f>IF(ISBLANK(fixtures!$L40),"",":")</f>
        <v>:</v>
      </c>
      <c r="IC6" s="127">
        <f>IF(ISBLANK(fixtures!$L40),"",fixtures!$L40)</f>
        <v>1</v>
      </c>
      <c r="ID6" s="36" t="str">
        <f>IF(ISBLANK(fixtures!$L40),"",IF(IA6&gt;IC6,"W",IF(IA6=IC6,"D","L")))</f>
        <v>D</v>
      </c>
      <c r="IE6" s="36"/>
      <c r="IF6" s="36"/>
      <c r="II6" s="142"/>
    </row>
    <row r="7" spans="1:243" x14ac:dyDescent="0.4">
      <c r="A7" s="91">
        <v>31</v>
      </c>
      <c r="B7" s="6" t="s">
        <v>110</v>
      </c>
      <c r="C7" s="277">
        <f ca="1">IFERROR(INDIRECT("fixtures!" &amp; Dashboard!J1 &amp;46) - Dashboard!K1/24,"TBC")</f>
        <v>44804.895833333336</v>
      </c>
      <c r="D7" s="6"/>
      <c r="E7" s="6" t="s">
        <v>2</v>
      </c>
      <c r="F7" s="6" t="s">
        <v>108</v>
      </c>
      <c r="G7" s="91">
        <f>IF(ISBLANK(fixtures!$K46),"",fixtures!$K46)</f>
        <v>2</v>
      </c>
      <c r="H7" s="6" t="str">
        <f>IF(ISBLANK(fixtures!$L46),"",":")</f>
        <v>:</v>
      </c>
      <c r="I7" s="93">
        <f>IF(ISBLANK(fixtures!$L46),"",fixtures!$L46)</f>
        <v>1</v>
      </c>
      <c r="J7" s="6" t="str">
        <f>IF(ISBLANK(fixtures!$L46),"",IF(G7&gt;I7,"W",IF(G7=I7,"D","L")))</f>
        <v>W</v>
      </c>
      <c r="K7" s="6"/>
      <c r="L7" s="6"/>
      <c r="M7" s="282">
        <v>31</v>
      </c>
      <c r="N7" s="9" t="s">
        <v>110</v>
      </c>
      <c r="O7" s="284">
        <f ca="1">IFERROR(INDIRECT("fixtures!" &amp; Dashboard!J1 &amp;46) - Dashboard!K1/24,"TBC")</f>
        <v>44804.895833333336</v>
      </c>
      <c r="P7" s="9"/>
      <c r="Q7" s="9" t="s">
        <v>1</v>
      </c>
      <c r="R7" s="9" t="s">
        <v>106</v>
      </c>
      <c r="S7" s="282">
        <f>IF(ISBLANK(fixtures!$L46),"",fixtures!$L46)</f>
        <v>1</v>
      </c>
      <c r="T7" s="9" t="str">
        <f>IF(ISBLANK(fixtures!$L46),"",":")</f>
        <v>:</v>
      </c>
      <c r="U7" s="283">
        <f>IF(ISBLANK(fixtures!$K46),"",fixtures!$K46)</f>
        <v>2</v>
      </c>
      <c r="V7" s="9" t="str">
        <f>IF(ISBLANK(fixtures!$L46),"",IF(S7&gt;U7,"W",IF(S7=U7,"D","L")))</f>
        <v>L</v>
      </c>
      <c r="W7" s="9"/>
      <c r="X7" s="9"/>
      <c r="Y7" s="290">
        <v>31</v>
      </c>
      <c r="Z7" s="262" t="s">
        <v>110</v>
      </c>
      <c r="AA7" s="291">
        <f ca="1">IFERROR(INDIRECT("fixtures!" &amp; Dashboard!J1 &amp;47) - Dashboard!K1/24,"TBC")</f>
        <v>44804.895833333336</v>
      </c>
      <c r="AB7" s="262"/>
      <c r="AC7" s="262" t="s">
        <v>16</v>
      </c>
      <c r="AD7" s="262" t="s">
        <v>108</v>
      </c>
      <c r="AE7" s="290">
        <f>IF(ISBLANK(fixtures!$K47),"",fixtures!$K47)</f>
        <v>0</v>
      </c>
      <c r="AF7" s="262" t="str">
        <f>IF(ISBLANK(fixtures!$L47),"",":")</f>
        <v>:</v>
      </c>
      <c r="AG7" s="292">
        <f>IF(ISBLANK(fixtures!$L47),"",fixtures!$L47)</f>
        <v>0</v>
      </c>
      <c r="AH7" s="262" t="str">
        <f>IF(ISBLANK(fixtures!$L47),"",IF(AE7&gt;AG7,"W",IF(AE7=AG7,"D","L")))</f>
        <v>D</v>
      </c>
      <c r="AI7" s="262"/>
      <c r="AJ7" s="262"/>
      <c r="AK7" s="411">
        <v>30</v>
      </c>
      <c r="AL7" s="410" t="s">
        <v>111</v>
      </c>
      <c r="AM7" s="413">
        <f ca="1">IFERROR(INDIRECT("fixtures!" &amp; Dashboard!J1 &amp;42) - Dashboard!K1/24,"TBC")</f>
        <v>44803.895833333336</v>
      </c>
      <c r="AN7" s="410"/>
      <c r="AO7" s="410" t="s">
        <v>6</v>
      </c>
      <c r="AP7" s="410" t="s">
        <v>106</v>
      </c>
      <c r="AQ7" s="411">
        <f>IF(ISBLANK(fixtures!$L42),"",fixtures!$L42)</f>
        <v>1</v>
      </c>
      <c r="AR7" s="410" t="str">
        <f>IF(ISBLANK(fixtures!$L42),"",":")</f>
        <v>:</v>
      </c>
      <c r="AS7" s="412">
        <f>IF(ISBLANK(fixtures!$K42),"",fixtures!$K42)</f>
        <v>1</v>
      </c>
      <c r="AT7" s="410" t="str">
        <f>IF(ISBLANK(fixtures!$L42),"",IF(AQ7&gt;AS7,"W",IF(AQ7=AS7,"D","L")))</f>
        <v>D</v>
      </c>
      <c r="AU7" s="410"/>
      <c r="AV7" s="410"/>
      <c r="AW7" s="96">
        <v>30</v>
      </c>
      <c r="AX7" s="98" t="s">
        <v>111</v>
      </c>
      <c r="AY7" s="298">
        <f ca="1">IFERROR(INDIRECT("fixtures!" &amp; Dashboard!J1 &amp;43) - Dashboard!K1/24,"TBC")</f>
        <v>44803.895833333336</v>
      </c>
      <c r="AZ7" s="11"/>
      <c r="BA7" s="11" t="s">
        <v>126</v>
      </c>
      <c r="BB7" s="11" t="s">
        <v>106</v>
      </c>
      <c r="BC7" s="96">
        <f>IF(ISBLANK(fixtures!$L43),"",fixtures!$L43)</f>
        <v>1</v>
      </c>
      <c r="BD7" s="11" t="str">
        <f>IF(ISBLANK(fixtures!$L43),"",":")</f>
        <v>:</v>
      </c>
      <c r="BE7" s="98">
        <f>IF(ISBLANK(fixtures!$K43),"",fixtures!$K43)</f>
        <v>2</v>
      </c>
      <c r="BF7" s="11" t="str">
        <f>IF(ISBLANK(fixtures!$L43),"",IF(BC7&gt;BE7,"W",IF(BC7=BE7,"D","L")))</f>
        <v>L</v>
      </c>
      <c r="BG7" s="11"/>
      <c r="BH7" s="11"/>
      <c r="BI7" s="181">
        <v>30</v>
      </c>
      <c r="BJ7" s="15" t="s">
        <v>111</v>
      </c>
      <c r="BK7" s="304">
        <f ca="1">IFERROR(INDIRECT("fixtures!" &amp; Dashboard!J1 &amp;44) - Dashboard!K1/24,"TBC")</f>
        <v>44803.90625</v>
      </c>
      <c r="BL7" s="15"/>
      <c r="BM7" s="15" t="s">
        <v>13</v>
      </c>
      <c r="BN7" s="15" t="s">
        <v>106</v>
      </c>
      <c r="BO7" s="181">
        <f>IF(ISBLANK(fixtures!$L44),"",fixtures!$L44)</f>
        <v>1</v>
      </c>
      <c r="BP7" s="15" t="str">
        <f>IF(ISBLANK(fixtures!$L44),"",":")</f>
        <v>:</v>
      </c>
      <c r="BQ7" s="183">
        <f>IF(ISBLANK(fixtures!$K44),"",fixtures!$K44)</f>
        <v>2</v>
      </c>
      <c r="BR7" s="15" t="str">
        <f>IF(ISBLANK(fixtures!$L44),"",IF(BO7&gt;BQ7,"W",IF(BO7=BQ7,"D","L")))</f>
        <v>L</v>
      </c>
      <c r="BS7" s="15"/>
      <c r="BT7" s="15"/>
      <c r="BU7" s="310">
        <v>30</v>
      </c>
      <c r="BV7" s="16" t="s">
        <v>111</v>
      </c>
      <c r="BW7" s="312">
        <f ca="1">IFERROR(INDIRECT("fixtures!" &amp; Dashboard!J1 &amp;42) - Dashboard!K1/24,"TBC")</f>
        <v>44803.895833333336</v>
      </c>
      <c r="BX7" s="16"/>
      <c r="BY7" s="16" t="s">
        <v>125</v>
      </c>
      <c r="BZ7" s="16" t="s">
        <v>108</v>
      </c>
      <c r="CA7" s="310">
        <f>IF(ISBLANK(fixtures!$K42),"",fixtures!$K42)</f>
        <v>1</v>
      </c>
      <c r="CB7" s="16" t="str">
        <f>IF(ISBLANK(fixtures!$L42),"",":")</f>
        <v>:</v>
      </c>
      <c r="CC7" s="311">
        <f>IF(ISBLANK(fixtures!$L42),"",fixtures!$L42)</f>
        <v>1</v>
      </c>
      <c r="CD7" s="16" t="str">
        <f>IF(ISBLANK(fixtures!$L42),"",IF(CA7&gt;CC7,"W",IF(CA7=CC7,"D","L")))</f>
        <v>D</v>
      </c>
      <c r="CE7" s="16"/>
      <c r="CF7" s="16"/>
      <c r="CG7" s="318">
        <v>30</v>
      </c>
      <c r="CH7" s="19" t="s">
        <v>111</v>
      </c>
      <c r="CI7" s="320">
        <f ca="1">IFERROR(INDIRECT("fixtures!" &amp; Dashboard!J1 &amp;45) - Dashboard!K1/24,"TBC")</f>
        <v>44803.916666666664</v>
      </c>
      <c r="CJ7" s="19"/>
      <c r="CK7" s="19" t="s">
        <v>139</v>
      </c>
      <c r="CL7" s="19" t="s">
        <v>106</v>
      </c>
      <c r="CM7" s="318">
        <f>IF(ISBLANK(fixtures!$L45),"",fixtures!$L45)</f>
        <v>1</v>
      </c>
      <c r="CN7" s="19" t="str">
        <f>IF(ISBLANK(fixtures!$L45),"",":")</f>
        <v>:</v>
      </c>
      <c r="CO7" s="319">
        <f>IF(ISBLANK(fixtures!$K45),"",fixtures!$K45)</f>
        <v>1</v>
      </c>
      <c r="CP7" s="19" t="str">
        <f>IF(ISBLANK(fixtures!$L45),"",IF(CM7&gt;CO7,"W",IF(CM7=CO7,"D","L")))</f>
        <v>D</v>
      </c>
      <c r="CQ7" s="19"/>
      <c r="CR7" s="19"/>
      <c r="CS7" s="326">
        <v>30</v>
      </c>
      <c r="CT7" s="178" t="s">
        <v>111</v>
      </c>
      <c r="CU7" s="328">
        <f ca="1">IFERROR(INDIRECT("fixtures!" &amp; Dashboard!J1 &amp;43) - Dashboard!K1/24,"TBC")</f>
        <v>44803.895833333336</v>
      </c>
      <c r="CV7" s="178"/>
      <c r="CW7" s="178" t="s">
        <v>4</v>
      </c>
      <c r="CX7" s="178" t="s">
        <v>108</v>
      </c>
      <c r="CY7" s="326">
        <f>IF(ISBLANK(fixtures!$K43),"",fixtures!$K43)</f>
        <v>2</v>
      </c>
      <c r="CZ7" s="178" t="str">
        <f>IF(ISBLANK(fixtures!$L43),"",":")</f>
        <v>:</v>
      </c>
      <c r="DA7" s="327">
        <f>IF(ISBLANK(fixtures!$L43),"",fixtures!$L43)</f>
        <v>1</v>
      </c>
      <c r="DB7" s="178" t="str">
        <f>IF(ISBLANK(fixtures!$L43),"",IF(CY7&gt;DA7,"W",IF(CY7=DA7,"D","L")))</f>
        <v>W</v>
      </c>
      <c r="DC7" s="178"/>
      <c r="DD7" s="178"/>
      <c r="DE7" s="334">
        <v>30</v>
      </c>
      <c r="DF7" s="177" t="s">
        <v>111</v>
      </c>
      <c r="DG7" s="336">
        <f ca="1">IFERROR(INDIRECT("fixtures!" &amp; Dashboard!J1 &amp;45) - Dashboard!K1/24,"TBC")</f>
        <v>44803.916666666664</v>
      </c>
      <c r="DH7" s="177"/>
      <c r="DI7" s="177" t="s">
        <v>7</v>
      </c>
      <c r="DJ7" s="177" t="s">
        <v>108</v>
      </c>
      <c r="DK7" s="334">
        <f>IF(ISBLANK(fixtures!$K45),"",fixtures!$K45)</f>
        <v>1</v>
      </c>
      <c r="DL7" s="177" t="str">
        <f>IF(ISBLANK(fixtures!$L45),"",":")</f>
        <v>:</v>
      </c>
      <c r="DM7" s="335">
        <f>IF(ISBLANK(fixtures!$L45),"",fixtures!$L45)</f>
        <v>1</v>
      </c>
      <c r="DN7" s="177" t="str">
        <f>IF(ISBLANK(fixtures!$L45),"",IF(DK7&gt;DM7,"W",IF(DK7=DM7,"D","L")))</f>
        <v>D</v>
      </c>
      <c r="DO7" s="177"/>
      <c r="DP7" s="177"/>
      <c r="DQ7" s="344" t="s">
        <v>18</v>
      </c>
      <c r="DR7" s="21"/>
      <c r="DS7" s="343"/>
      <c r="DT7" s="21"/>
      <c r="DU7" s="21"/>
      <c r="DV7" s="21"/>
      <c r="DW7" s="341"/>
      <c r="DX7" s="21"/>
      <c r="DY7" s="342"/>
      <c r="DZ7" s="21"/>
      <c r="EA7" s="21"/>
      <c r="EB7" s="21"/>
      <c r="EC7" s="270">
        <v>31</v>
      </c>
      <c r="ED7" s="23" t="s">
        <v>110</v>
      </c>
      <c r="EE7" s="349">
        <f ca="1">IFERROR(INDIRECT("fixtures!" &amp; Dashboard!J1 &amp;50) - Dashboard!K1/24,"TBC")</f>
        <v>44804.916666666664</v>
      </c>
      <c r="EF7" s="23"/>
      <c r="EG7" s="23" t="s">
        <v>12</v>
      </c>
      <c r="EH7" s="23" t="s">
        <v>108</v>
      </c>
      <c r="EI7" s="270">
        <f>IF(ISBLANK(fixtures!$K50),"",fixtures!$K50)</f>
        <v>2</v>
      </c>
      <c r="EJ7" s="23" t="str">
        <f>IF(ISBLANK(fixtures!$L50),"",":")</f>
        <v>:</v>
      </c>
      <c r="EK7" s="272">
        <f>IF(ISBLANK(fixtures!$L50),"",fixtures!$L50)</f>
        <v>1</v>
      </c>
      <c r="EL7" s="23" t="str">
        <f>IF(ISBLANK(fixtures!$L50),"",IF(EI7&gt;EK7,"W",IF(EI7=EK7,"D","L")))</f>
        <v>W</v>
      </c>
      <c r="EM7" s="23"/>
      <c r="EN7" s="23"/>
      <c r="EO7" s="105">
        <v>31</v>
      </c>
      <c r="EP7" s="25" t="s">
        <v>110</v>
      </c>
      <c r="EQ7" s="355">
        <f ca="1">IFERROR(INDIRECT("fixtures!" &amp; Dashboard!J1 &amp;48) - Dashboard!K1/24,"TBC")</f>
        <v>44804.895833333336</v>
      </c>
      <c r="ER7" s="25"/>
      <c r="ES7" s="25" t="s">
        <v>204</v>
      </c>
      <c r="ET7" s="25" t="s">
        <v>108</v>
      </c>
      <c r="EU7" s="105">
        <f>IF(ISBLANK(fixtures!$K48),"",fixtures!$K48)</f>
        <v>6</v>
      </c>
      <c r="EV7" s="25" t="str">
        <f>IF(ISBLANK(fixtures!$L48),"",":")</f>
        <v>:</v>
      </c>
      <c r="EW7" s="107">
        <f>IF(ISBLANK(fixtures!$L48),"",fixtures!$L48)</f>
        <v>0</v>
      </c>
      <c r="EX7" s="25" t="str">
        <f>IF(ISBLANK(fixtures!$L48),"",IF(EU7&gt;EW7,"W",IF(EU7=EW7,"D","L")))</f>
        <v>W</v>
      </c>
      <c r="EY7" s="25"/>
      <c r="EZ7" s="25"/>
      <c r="FA7" s="364" t="s">
        <v>18</v>
      </c>
      <c r="FB7" s="27"/>
      <c r="FC7" s="363"/>
      <c r="FD7" s="27"/>
      <c r="FE7" s="27"/>
      <c r="FF7" s="27"/>
      <c r="FG7" s="361"/>
      <c r="FH7" s="27"/>
      <c r="FI7" s="362"/>
      <c r="FJ7" s="27"/>
      <c r="FK7" s="27"/>
      <c r="FL7" s="27"/>
      <c r="FM7" s="110">
        <v>31</v>
      </c>
      <c r="FN7" s="29" t="s">
        <v>110</v>
      </c>
      <c r="FO7" s="369">
        <f ca="1">IFERROR(INDIRECT("fixtures!" &amp; Dashboard!J1 &amp;50) - Dashboard!K1/24,"TBC")</f>
        <v>44804.916666666664</v>
      </c>
      <c r="FP7" s="29"/>
      <c r="FQ7" s="29" t="s">
        <v>9</v>
      </c>
      <c r="FR7" s="29" t="s">
        <v>106</v>
      </c>
      <c r="FS7" s="110">
        <f>IF(ISBLANK(fixtures!$L50),"",fixtures!$L50)</f>
        <v>1</v>
      </c>
      <c r="FT7" s="29" t="str">
        <f>IF(ISBLANK(fixtures!$L50),"",":")</f>
        <v>:</v>
      </c>
      <c r="FU7" s="112">
        <f>IF(ISBLANK(fixtures!$K50),"",fixtures!$K50)</f>
        <v>2</v>
      </c>
      <c r="FV7" s="29" t="str">
        <f>IF(ISBLANK(fixtures!$L50),"",IF(FS7&gt;FU7,"W",IF(FS7=FU7,"D","L")))</f>
        <v>L</v>
      </c>
      <c r="FW7" s="29"/>
      <c r="FX7" s="29"/>
      <c r="FY7" s="375">
        <v>31</v>
      </c>
      <c r="FZ7" s="264" t="s">
        <v>110</v>
      </c>
      <c r="GA7" s="377">
        <f ca="1">IFERROR(INDIRECT("fixtures!" &amp; Dashboard!J1 &amp;48) - Dashboard!K1/24,"TBC")</f>
        <v>44804.895833333336</v>
      </c>
      <c r="GB7" s="264"/>
      <c r="GC7" s="264" t="s">
        <v>10</v>
      </c>
      <c r="GD7" s="264" t="s">
        <v>106</v>
      </c>
      <c r="GE7" s="375">
        <f>IF(ISBLANK(fixtures!$L48),"",fixtures!$L48)</f>
        <v>0</v>
      </c>
      <c r="GF7" s="264" t="str">
        <f>IF(ISBLANK(fixtures!$L48),"",":")</f>
        <v>:</v>
      </c>
      <c r="GG7" s="376">
        <f>IF(ISBLANK(fixtures!$K48),"",fixtures!$K48)</f>
        <v>6</v>
      </c>
      <c r="GH7" s="264" t="str">
        <f>IF(ISBLANK(fixtures!$L48),"",IF(GE7&gt;GG7,"W",IF(GE7=GG7,"D","L")))</f>
        <v>L</v>
      </c>
      <c r="GI7" s="264"/>
      <c r="GJ7" s="264"/>
      <c r="GK7" s="382">
        <v>30</v>
      </c>
      <c r="GL7" s="30" t="s">
        <v>111</v>
      </c>
      <c r="GM7" s="384">
        <f ca="1">IFERROR(INDIRECT("fixtures!" &amp; Dashboard!J1 &amp;44) - Dashboard!K1/24,"TBC")</f>
        <v>44803.90625</v>
      </c>
      <c r="GN7" s="30"/>
      <c r="GO7" s="30" t="s">
        <v>5</v>
      </c>
      <c r="GP7" s="30" t="s">
        <v>108</v>
      </c>
      <c r="GQ7" s="382">
        <f>IF(ISBLANK(fixtures!$K44),"",fixtures!$K44)</f>
        <v>2</v>
      </c>
      <c r="GR7" s="30" t="str">
        <f>IF(ISBLANK(fixtures!$L44),"",":")</f>
        <v>:</v>
      </c>
      <c r="GS7" s="383">
        <f>IF(ISBLANK(fixtures!$L44),"",fixtures!$L44)</f>
        <v>1</v>
      </c>
      <c r="GT7" s="30" t="str">
        <f>IF(ISBLANK(fixtures!$L44),"",IF(GQ7&gt;GS7,"W",IF(GQ7=GS7,"D","L")))</f>
        <v>W</v>
      </c>
      <c r="GU7" s="30"/>
      <c r="GV7" s="30"/>
      <c r="GW7" s="115">
        <v>31</v>
      </c>
      <c r="GX7" s="32" t="s">
        <v>110</v>
      </c>
      <c r="GY7" s="390">
        <f ca="1">IFERROR(INDIRECT("fixtures!" &amp; Dashboard!J1 &amp;49) - Dashboard!K1/24,"TBC")</f>
        <v>44804.90625</v>
      </c>
      <c r="GZ7" s="32"/>
      <c r="HA7" s="32" t="s">
        <v>15</v>
      </c>
      <c r="HB7" s="32" t="s">
        <v>106</v>
      </c>
      <c r="HC7" s="115">
        <f>IF(ISBLANK(fixtures!$L49),"",fixtures!$L49)</f>
        <v>1</v>
      </c>
      <c r="HD7" s="32" t="str">
        <f>IF(ISBLANK(fixtures!$L49),"",":")</f>
        <v>:</v>
      </c>
      <c r="HE7" s="117">
        <f>IF(ISBLANK(fixtures!$K49),"",fixtures!$K49)</f>
        <v>1</v>
      </c>
      <c r="HF7" s="32" t="str">
        <f>IF(ISBLANK(fixtures!$L49),"",IF(HC7&gt;HE7,"W",IF(HC7=HE7,"D","L")))</f>
        <v>D</v>
      </c>
      <c r="HG7" s="32"/>
      <c r="HH7" s="32"/>
      <c r="HI7" s="120">
        <v>31</v>
      </c>
      <c r="HJ7" s="34" t="s">
        <v>110</v>
      </c>
      <c r="HK7" s="396">
        <f ca="1">IFERROR(INDIRECT("fixtures!" &amp; Dashboard!J1 &amp;49) - Dashboard!K1/24,"TBC")</f>
        <v>44804.90625</v>
      </c>
      <c r="HL7" s="34"/>
      <c r="HM7" s="34" t="s">
        <v>14</v>
      </c>
      <c r="HN7" s="34" t="s">
        <v>108</v>
      </c>
      <c r="HO7" s="120">
        <f>IF(ISBLANK(fixtures!$K49),"",fixtures!$K49)</f>
        <v>1</v>
      </c>
      <c r="HP7" s="34" t="str">
        <f>IF(ISBLANK(fixtures!$L49),"",":")</f>
        <v>:</v>
      </c>
      <c r="HQ7" s="122">
        <f>IF(ISBLANK(fixtures!$L49),"",fixtures!$L49)</f>
        <v>1</v>
      </c>
      <c r="HR7" s="34" t="str">
        <f>IF(ISBLANK(fixtures!$L49),"",IF(HO7&gt;HQ7,"W",IF(HO7=HQ7,"D","L")))</f>
        <v>D</v>
      </c>
      <c r="HS7" s="34"/>
      <c r="HT7" s="34"/>
      <c r="HU7" s="125">
        <v>31</v>
      </c>
      <c r="HV7" s="36" t="s">
        <v>110</v>
      </c>
      <c r="HW7" s="402">
        <f ca="1">IFERROR(INDIRECT("fixtures!" &amp; Dashboard!J1 &amp;47) - Dashboard!K1/24,"TBC")</f>
        <v>44804.895833333336</v>
      </c>
      <c r="HX7" s="36"/>
      <c r="HY7" s="36" t="s">
        <v>3</v>
      </c>
      <c r="HZ7" s="36" t="s">
        <v>106</v>
      </c>
      <c r="IA7" s="125">
        <f>IF(ISBLANK(fixtures!$L47),"",fixtures!$L47)</f>
        <v>0</v>
      </c>
      <c r="IB7" s="36" t="str">
        <f>IF(ISBLANK(fixtures!$L47),"",":")</f>
        <v>:</v>
      </c>
      <c r="IC7" s="127">
        <f>IF(ISBLANK(fixtures!$K47),"",fixtures!$K47)</f>
        <v>0</v>
      </c>
      <c r="ID7" s="36" t="str">
        <f>IF(ISBLANK(fixtures!$L47),"",IF(IA7&gt;IC7,"W",IF(IA7=IC7,"D","L")))</f>
        <v>D</v>
      </c>
      <c r="IE7" s="36"/>
      <c r="IF7" s="36"/>
      <c r="II7" s="142"/>
    </row>
    <row r="8" spans="1:243" x14ac:dyDescent="0.4">
      <c r="A8" s="278" t="s">
        <v>18</v>
      </c>
      <c r="B8" s="6"/>
      <c r="C8" s="277"/>
      <c r="D8" s="6"/>
      <c r="E8" s="6"/>
      <c r="F8" s="6"/>
      <c r="G8" s="91"/>
      <c r="H8" s="6"/>
      <c r="I8" s="93"/>
      <c r="J8" s="6"/>
      <c r="K8" s="6"/>
      <c r="L8" s="6"/>
      <c r="M8" s="285" t="s">
        <v>18</v>
      </c>
      <c r="N8" s="9"/>
      <c r="O8" s="284"/>
      <c r="P8" s="9"/>
      <c r="Q8" s="9"/>
      <c r="R8" s="9"/>
      <c r="S8" s="282"/>
      <c r="T8" s="9"/>
      <c r="U8" s="283"/>
      <c r="V8" s="9"/>
      <c r="W8" s="9"/>
      <c r="X8" s="9"/>
      <c r="Y8" s="293" t="s">
        <v>18</v>
      </c>
      <c r="Z8" s="262"/>
      <c r="AA8" s="291"/>
      <c r="AB8" s="262"/>
      <c r="AC8" s="262"/>
      <c r="AD8" s="262"/>
      <c r="AE8" s="290"/>
      <c r="AF8" s="262"/>
      <c r="AG8" s="292"/>
      <c r="AH8" s="262"/>
      <c r="AI8" s="262"/>
      <c r="AJ8" s="262"/>
      <c r="AK8" s="414" t="s">
        <v>18</v>
      </c>
      <c r="AL8" s="410"/>
      <c r="AM8" s="413"/>
      <c r="AN8" s="410"/>
      <c r="AO8" s="410"/>
      <c r="AP8" s="410"/>
      <c r="AQ8" s="411"/>
      <c r="AR8" s="410"/>
      <c r="AS8" s="412"/>
      <c r="AT8" s="410"/>
      <c r="AU8" s="410"/>
      <c r="AV8" s="410"/>
      <c r="AW8" s="299" t="s">
        <v>18</v>
      </c>
      <c r="AX8" s="11"/>
      <c r="AY8" s="298"/>
      <c r="AZ8" s="11"/>
      <c r="BA8" s="11"/>
      <c r="BB8" s="11"/>
      <c r="BC8" s="96"/>
      <c r="BD8" s="11"/>
      <c r="BE8" s="98"/>
      <c r="BF8" s="11"/>
      <c r="BG8" s="11"/>
      <c r="BH8" s="11"/>
      <c r="BI8" s="305" t="s">
        <v>18</v>
      </c>
      <c r="BJ8" s="15"/>
      <c r="BK8" s="304"/>
      <c r="BL8" s="15"/>
      <c r="BM8" s="15"/>
      <c r="BN8" s="15"/>
      <c r="BO8" s="181"/>
      <c r="BP8" s="15"/>
      <c r="BQ8" s="183"/>
      <c r="BR8" s="15"/>
      <c r="BS8" s="15"/>
      <c r="BT8" s="15"/>
      <c r="BU8" s="313" t="s">
        <v>18</v>
      </c>
      <c r="BV8" s="16"/>
      <c r="BW8" s="312"/>
      <c r="BX8" s="16"/>
      <c r="BY8" s="16"/>
      <c r="BZ8" s="16"/>
      <c r="CA8" s="310"/>
      <c r="CB8" s="16"/>
      <c r="CC8" s="311"/>
      <c r="CD8" s="16"/>
      <c r="CE8" s="16"/>
      <c r="CF8" s="16"/>
      <c r="CG8" s="321" t="s">
        <v>18</v>
      </c>
      <c r="CH8" s="19"/>
      <c r="CI8" s="320"/>
      <c r="CJ8" s="19"/>
      <c r="CK8" s="19"/>
      <c r="CL8" s="19"/>
      <c r="CM8" s="318"/>
      <c r="CN8" s="19"/>
      <c r="CO8" s="319"/>
      <c r="CP8" s="19"/>
      <c r="CQ8" s="19"/>
      <c r="CR8" s="19"/>
      <c r="CS8" s="329" t="s">
        <v>18</v>
      </c>
      <c r="CT8" s="178"/>
      <c r="CU8" s="328"/>
      <c r="CV8" s="178"/>
      <c r="CW8" s="178"/>
      <c r="CX8" s="178"/>
      <c r="CY8" s="326"/>
      <c r="CZ8" s="178"/>
      <c r="DA8" s="327"/>
      <c r="DB8" s="178"/>
      <c r="DC8" s="178"/>
      <c r="DD8" s="178"/>
      <c r="DE8" s="337" t="s">
        <v>18</v>
      </c>
      <c r="DF8" s="177"/>
      <c r="DG8" s="336"/>
      <c r="DH8" s="177"/>
      <c r="DI8" s="177"/>
      <c r="DJ8" s="177"/>
      <c r="DK8" s="334"/>
      <c r="DL8" s="177"/>
      <c r="DM8" s="335"/>
      <c r="DN8" s="177"/>
      <c r="DO8" s="177"/>
      <c r="DP8" s="177"/>
      <c r="DQ8" s="341">
        <v>1</v>
      </c>
      <c r="DR8" s="21" t="s">
        <v>582</v>
      </c>
      <c r="DS8" s="343">
        <f ca="1">IFERROR(INDIRECT("fixtures!" &amp; Dashboard!J1 &amp;51) - Dashboard!K1/24,"TBC")</f>
        <v>44805.916666666664</v>
      </c>
      <c r="DT8" s="21"/>
      <c r="DU8" s="21" t="s">
        <v>11</v>
      </c>
      <c r="DV8" s="21" t="s">
        <v>108</v>
      </c>
      <c r="DW8" s="341">
        <f>IF(ISBLANK(fixtures!$K51),"",fixtures!$K51)</f>
        <v>0</v>
      </c>
      <c r="DX8" s="21" t="str">
        <f>IF(ISBLANK(fixtures!$L51),"",":")</f>
        <v>:</v>
      </c>
      <c r="DY8" s="342">
        <f>IF(ISBLANK(fixtures!$L51),"",fixtures!$L51)</f>
        <v>1</v>
      </c>
      <c r="DZ8" s="21" t="str">
        <f>IF(ISBLANK(fixtures!$L51),"",IF(DW8&gt;DY8,"W",IF(DW8=DY8,"D","L")))</f>
        <v>L</v>
      </c>
      <c r="EA8" s="21"/>
      <c r="EB8" s="21"/>
      <c r="EC8" s="350" t="s">
        <v>18</v>
      </c>
      <c r="ED8" s="23"/>
      <c r="EE8" s="349"/>
      <c r="EF8" s="23"/>
      <c r="EG8" s="23"/>
      <c r="EH8" s="23"/>
      <c r="EI8" s="270"/>
      <c r="EJ8" s="23"/>
      <c r="EK8" s="272"/>
      <c r="EL8" s="23"/>
      <c r="EM8" s="23"/>
      <c r="EN8" s="23"/>
      <c r="EO8" s="356" t="s">
        <v>18</v>
      </c>
      <c r="EP8" s="25"/>
      <c r="EQ8" s="355"/>
      <c r="ER8" s="25"/>
      <c r="ES8" s="25"/>
      <c r="ET8" s="25"/>
      <c r="EU8" s="105"/>
      <c r="EV8" s="25"/>
      <c r="EW8" s="107"/>
      <c r="EX8" s="25"/>
      <c r="EY8" s="25"/>
      <c r="EZ8" s="25"/>
      <c r="FA8" s="361">
        <v>1</v>
      </c>
      <c r="FB8" s="27" t="s">
        <v>582</v>
      </c>
      <c r="FC8" s="363">
        <f ca="1">IFERROR(INDIRECT("fixtures!" &amp; Dashboard!J1 &amp;51) - Dashboard!K1/24,"TBC")</f>
        <v>44805.916666666664</v>
      </c>
      <c r="FD8" s="27"/>
      <c r="FE8" s="27" t="s">
        <v>8</v>
      </c>
      <c r="FF8" s="27" t="s">
        <v>106</v>
      </c>
      <c r="FG8" s="361">
        <f>IF(ISBLANK(fixtures!$L51),"",fixtures!$L51)</f>
        <v>1</v>
      </c>
      <c r="FH8" s="27" t="str">
        <f>IF(ISBLANK(fixtures!$L51),"",":")</f>
        <v>:</v>
      </c>
      <c r="FI8" s="362">
        <f>IF(ISBLANK(fixtures!$K51),"",fixtures!$K51)</f>
        <v>0</v>
      </c>
      <c r="FJ8" s="27" t="str">
        <f>IF(ISBLANK(fixtures!$L51),"",IF(FG8&gt;FI8,"W",IF(FG8=FI8,"D","L")))</f>
        <v>W</v>
      </c>
      <c r="FK8" s="27"/>
      <c r="FL8" s="27"/>
      <c r="FM8" s="370" t="s">
        <v>18</v>
      </c>
      <c r="FN8" s="29"/>
      <c r="FO8" s="369"/>
      <c r="FP8" s="29"/>
      <c r="FQ8" s="29"/>
      <c r="FR8" s="29"/>
      <c r="FS8" s="110"/>
      <c r="FT8" s="29"/>
      <c r="FU8" s="112"/>
      <c r="FV8" s="29"/>
      <c r="FW8" s="29"/>
      <c r="FX8" s="29"/>
      <c r="FY8" s="378" t="s">
        <v>18</v>
      </c>
      <c r="FZ8" s="264"/>
      <c r="GA8" s="377"/>
      <c r="GB8" s="264"/>
      <c r="GC8" s="264"/>
      <c r="GD8" s="264"/>
      <c r="GE8" s="375"/>
      <c r="GF8" s="264"/>
      <c r="GG8" s="376"/>
      <c r="GH8" s="264"/>
      <c r="GI8" s="264"/>
      <c r="GJ8" s="264"/>
      <c r="GK8" s="385" t="s">
        <v>18</v>
      </c>
      <c r="GL8" s="30"/>
      <c r="GM8" s="384"/>
      <c r="GN8" s="30"/>
      <c r="GO8" s="30"/>
      <c r="GP8" s="30"/>
      <c r="GQ8" s="382"/>
      <c r="GR8" s="30"/>
      <c r="GS8" s="383"/>
      <c r="GT8" s="30"/>
      <c r="GU8" s="30"/>
      <c r="GV8" s="30"/>
      <c r="GW8" s="391" t="s">
        <v>18</v>
      </c>
      <c r="GX8" s="32"/>
      <c r="GY8" s="390"/>
      <c r="GZ8" s="32"/>
      <c r="HA8" s="32"/>
      <c r="HB8" s="32"/>
      <c r="HC8" s="115"/>
      <c r="HD8" s="32"/>
      <c r="HE8" s="117"/>
      <c r="HF8" s="32"/>
      <c r="HG8" s="32"/>
      <c r="HH8" s="32"/>
      <c r="HI8" s="397" t="s">
        <v>18</v>
      </c>
      <c r="HJ8" s="34"/>
      <c r="HK8" s="396"/>
      <c r="HL8" s="34"/>
      <c r="HM8" s="34"/>
      <c r="HN8" s="34"/>
      <c r="HO8" s="120"/>
      <c r="HP8" s="34"/>
      <c r="HQ8" s="122"/>
      <c r="HR8" s="34"/>
      <c r="HS8" s="34"/>
      <c r="HT8" s="34"/>
      <c r="HU8" s="403" t="s">
        <v>18</v>
      </c>
      <c r="HV8" s="36"/>
      <c r="HW8" s="402"/>
      <c r="HX8" s="36"/>
      <c r="HY8" s="36"/>
      <c r="HZ8" s="36"/>
      <c r="IA8" s="125"/>
      <c r="IB8" s="36"/>
      <c r="IC8" s="127"/>
      <c r="ID8" s="36"/>
      <c r="IE8" s="36"/>
      <c r="IF8" s="36"/>
      <c r="II8" s="142"/>
    </row>
    <row r="9" spans="1:243" x14ac:dyDescent="0.4">
      <c r="A9" s="91">
        <v>4</v>
      </c>
      <c r="B9" s="6" t="s">
        <v>105</v>
      </c>
      <c r="C9" s="277">
        <f ca="1">IFERROR(INDIRECT("fixtures!" &amp; Dashboard!J1 &amp;61) - Dashboard!K1/24,"TBC")</f>
        <v>44808.770833333336</v>
      </c>
      <c r="D9" s="6"/>
      <c r="E9" s="6" t="s">
        <v>11</v>
      </c>
      <c r="F9" s="6" t="s">
        <v>106</v>
      </c>
      <c r="G9" s="91">
        <f>IF(ISBLANK(fixtures!$L61),"",fixtures!$L61)</f>
        <v>1</v>
      </c>
      <c r="H9" s="6" t="str">
        <f>IF(ISBLANK(fixtures!$L61),"",":")</f>
        <v>:</v>
      </c>
      <c r="I9" s="93">
        <f>IF(ISBLANK(fixtures!$K61),"",fixtures!$K61)</f>
        <v>3</v>
      </c>
      <c r="J9" s="6" t="str">
        <f>IF(ISBLANK(fixtures!$L61),"",IF(G9&gt;I9,"W",IF(G9=I9,"D","L")))</f>
        <v>L</v>
      </c>
      <c r="K9" s="6"/>
      <c r="L9" s="6"/>
      <c r="M9" s="282">
        <v>3</v>
      </c>
      <c r="N9" s="9" t="s">
        <v>107</v>
      </c>
      <c r="O9" s="284">
        <f ca="1">IFERROR(INDIRECT("fixtures!" &amp; Dashboard!J1 &amp;59) - Dashboard!K1/24,"TBC")</f>
        <v>44807.8125</v>
      </c>
      <c r="P9" s="9"/>
      <c r="Q9" s="9" t="s">
        <v>10</v>
      </c>
      <c r="R9" s="9" t="s">
        <v>108</v>
      </c>
      <c r="S9" s="282">
        <f>IF(ISBLANK(fixtures!$K59),"",fixtures!$K59)</f>
        <v>1</v>
      </c>
      <c r="T9" s="9" t="str">
        <f>IF(ISBLANK(fixtures!$L59),"",":")</f>
        <v>:</v>
      </c>
      <c r="U9" s="283">
        <f>IF(ISBLANK(fixtures!$L59),"",fixtures!$L59)</f>
        <v>1</v>
      </c>
      <c r="V9" s="9" t="str">
        <f>IF(ISBLANK(fixtures!$L59),"",IF(S9&gt;U9,"W",IF(S9=U9,"D","L")))</f>
        <v>D</v>
      </c>
      <c r="W9" s="9"/>
      <c r="X9" s="9"/>
      <c r="Y9" s="290">
        <v>3</v>
      </c>
      <c r="Z9" s="262" t="s">
        <v>107</v>
      </c>
      <c r="AA9" s="291">
        <f ca="1">IFERROR(INDIRECT("fixtures!" &amp; Dashboard!J1 &amp;56) - Dashboard!K1/24,"TBC")</f>
        <v>44807.708333333336</v>
      </c>
      <c r="AB9" s="262"/>
      <c r="AC9" s="262" t="s">
        <v>204</v>
      </c>
      <c r="AD9" s="262" t="s">
        <v>106</v>
      </c>
      <c r="AE9" s="290">
        <f>IF(ISBLANK(fixtures!$L56),"",fixtures!$L56)</f>
        <v>3</v>
      </c>
      <c r="AF9" s="262" t="str">
        <f>IF(ISBLANK(fixtures!$L56),"",":")</f>
        <v>:</v>
      </c>
      <c r="AG9" s="292">
        <f>IF(ISBLANK(fixtures!$K56),"",fixtures!$K56)</f>
        <v>2</v>
      </c>
      <c r="AH9" s="262" t="str">
        <f>IF(ISBLANK(fixtures!$L56),"",IF(AE9&gt;AG9,"W",IF(AE9=AG9,"D","L")))</f>
        <v>W</v>
      </c>
      <c r="AI9" s="262"/>
      <c r="AJ9" s="262"/>
      <c r="AK9" s="411">
        <v>3</v>
      </c>
      <c r="AL9" s="410" t="s">
        <v>107</v>
      </c>
      <c r="AM9" s="413">
        <f ca="1">IFERROR(INDIRECT("fixtures!" &amp; Dashboard!J1 &amp;53) - Dashboard!K1/24,"TBC")</f>
        <v>44807.708333333336</v>
      </c>
      <c r="AN9" s="410"/>
      <c r="AO9" s="410" t="s">
        <v>139</v>
      </c>
      <c r="AP9" s="410" t="s">
        <v>108</v>
      </c>
      <c r="AQ9" s="411">
        <f>IF(ISBLANK(fixtures!$K53),"",fixtures!$K53)</f>
        <v>5</v>
      </c>
      <c r="AR9" s="410" t="str">
        <f>IF(ISBLANK(fixtures!$L53),"",":")</f>
        <v>:</v>
      </c>
      <c r="AS9" s="412">
        <f>IF(ISBLANK(fixtures!$L53),"",fixtures!$L53)</f>
        <v>2</v>
      </c>
      <c r="AT9" s="410" t="str">
        <f>IF(ISBLANK(fixtures!$L53),"",IF(AQ9&gt;AS9,"W",IF(AQ9=AS9,"D","L")))</f>
        <v>W</v>
      </c>
      <c r="AU9" s="410"/>
      <c r="AV9" s="410"/>
      <c r="AW9" s="96">
        <v>4</v>
      </c>
      <c r="AX9" s="11" t="s">
        <v>105</v>
      </c>
      <c r="AY9" s="298">
        <f ca="1">IFERROR(INDIRECT("fixtures!" &amp; Dashboard!J1 &amp;60) - Dashboard!K1/24,"TBC")</f>
        <v>44808.666666666664</v>
      </c>
      <c r="AZ9" s="11"/>
      <c r="BA9" s="11" t="s">
        <v>8</v>
      </c>
      <c r="BB9" s="11" t="s">
        <v>108</v>
      </c>
      <c r="BC9" s="96">
        <f>IF(ISBLANK(fixtures!$K60),"",fixtures!$K60)</f>
        <v>5</v>
      </c>
      <c r="BD9" s="11" t="str">
        <f>IF(ISBLANK(fixtures!$L60),"",":")</f>
        <v>:</v>
      </c>
      <c r="BE9" s="98">
        <f>IF(ISBLANK(fixtures!$L60),"",fixtures!$L60)</f>
        <v>2</v>
      </c>
      <c r="BF9" s="11" t="str">
        <f>IF(ISBLANK(fixtures!$L60),"",IF(BC9&gt;BE9,"W",IF(BC9=BE9,"D","L")))</f>
        <v>W</v>
      </c>
      <c r="BG9" s="11"/>
      <c r="BH9" s="11"/>
      <c r="BI9" s="181">
        <v>3</v>
      </c>
      <c r="BJ9" s="15" t="s">
        <v>107</v>
      </c>
      <c r="BK9" s="304">
        <f ca="1">IFERROR(INDIRECT("fixtures!" &amp; Dashboard!J1 &amp;54) - Dashboard!K1/24,"TBC")</f>
        <v>44807.708333333336</v>
      </c>
      <c r="BL9" s="15"/>
      <c r="BM9" s="15" t="s">
        <v>15</v>
      </c>
      <c r="BN9" s="15" t="s">
        <v>108</v>
      </c>
      <c r="BO9" s="181">
        <f>IF(ISBLANK(fixtures!$K54),"",fixtures!$K54)</f>
        <v>2</v>
      </c>
      <c r="BP9" s="15" t="str">
        <f>IF(ISBLANK(fixtures!$L54),"",":")</f>
        <v>:</v>
      </c>
      <c r="BQ9" s="183">
        <f>IF(ISBLANK(fixtures!$L54),"",fixtures!$L54)</f>
        <v>1</v>
      </c>
      <c r="BR9" s="15" t="str">
        <f>IF(ISBLANK(fixtures!$L54),"",IF(BO9&gt;BQ9,"W",IF(BO9=BQ9,"D","L")))</f>
        <v>W</v>
      </c>
      <c r="BS9" s="15"/>
      <c r="BT9" s="15"/>
      <c r="BU9" s="310">
        <v>3</v>
      </c>
      <c r="BV9" s="16" t="s">
        <v>107</v>
      </c>
      <c r="BW9" s="312">
        <f ca="1">IFERROR(INDIRECT("fixtures!" &amp; Dashboard!J1 &amp;55) - Dashboard!K1/24,"TBC")</f>
        <v>44807.708333333336</v>
      </c>
      <c r="BX9" s="16"/>
      <c r="BY9" s="16" t="s">
        <v>12</v>
      </c>
      <c r="BZ9" s="16" t="s">
        <v>106</v>
      </c>
      <c r="CA9" s="310">
        <f>IF(ISBLANK(fixtures!$L55),"",fixtures!$L55)</f>
        <v>0</v>
      </c>
      <c r="CB9" s="16" t="str">
        <f>IF(ISBLANK(fixtures!$L55),"",":")</f>
        <v>:</v>
      </c>
      <c r="CC9" s="311">
        <f>IF(ISBLANK(fixtures!$K55),"",fixtures!$K55)</f>
        <v>0</v>
      </c>
      <c r="CD9" s="16" t="str">
        <f>IF(ISBLANK(fixtures!$L55),"",IF(CA9&gt;CC9,"W",IF(CA9=CC9,"D","L")))</f>
        <v>D</v>
      </c>
      <c r="CE9" s="16"/>
      <c r="CF9" s="16"/>
      <c r="CG9" s="318">
        <v>3</v>
      </c>
      <c r="CH9" s="19" t="s">
        <v>107</v>
      </c>
      <c r="CI9" s="320">
        <f ca="1">IFERROR(INDIRECT("fixtures!" &amp; Dashboard!J1 &amp;52) - Dashboard!K1/24,"TBC")</f>
        <v>44807.604166666664</v>
      </c>
      <c r="CJ9" s="19"/>
      <c r="CK9" s="19" t="s">
        <v>9</v>
      </c>
      <c r="CL9" s="19" t="s">
        <v>108</v>
      </c>
      <c r="CM9" s="318">
        <f>IF(ISBLANK(fixtures!$K52),"",fixtures!$K52)</f>
        <v>0</v>
      </c>
      <c r="CN9" s="19" t="str">
        <f>IF(ISBLANK(fixtures!$L52),"",":")</f>
        <v>:</v>
      </c>
      <c r="CO9" s="319">
        <f>IF(ISBLANK(fixtures!$L52),"",fixtures!$L52)</f>
        <v>0</v>
      </c>
      <c r="CP9" s="19" t="str">
        <f>IF(ISBLANK(fixtures!$L52),"",IF(CM9&gt;CO9,"W",IF(CM9=CO9,"D","L")))</f>
        <v>D</v>
      </c>
      <c r="CQ9" s="19"/>
      <c r="CR9" s="19"/>
      <c r="CS9" s="326">
        <v>3</v>
      </c>
      <c r="CT9" s="178" t="s">
        <v>107</v>
      </c>
      <c r="CU9" s="328">
        <f ca="1">IFERROR(INDIRECT("fixtures!" &amp; Dashboard!J1 &amp;57) - Dashboard!K1/24,"TBC")</f>
        <v>44807.708333333336</v>
      </c>
      <c r="CV9" s="178"/>
      <c r="CW9" s="178" t="s">
        <v>14</v>
      </c>
      <c r="CX9" s="178" t="s">
        <v>106</v>
      </c>
      <c r="CY9" s="326">
        <f>IF(ISBLANK(fixtures!$L57),"",fixtures!$L57)</f>
        <v>1</v>
      </c>
      <c r="CZ9" s="178" t="str">
        <f>IF(ISBLANK(fixtures!$L57),"",":")</f>
        <v>:</v>
      </c>
      <c r="DA9" s="327">
        <f>IF(ISBLANK(fixtures!$K57),"",fixtures!$K57)</f>
        <v>2</v>
      </c>
      <c r="DB9" s="178" t="str">
        <f>IF(ISBLANK(fixtures!$L57),"",IF(CY9&gt;DA9,"W",IF(CY9=DA9,"D","L")))</f>
        <v>L</v>
      </c>
      <c r="DC9" s="178"/>
      <c r="DD9" s="178"/>
      <c r="DE9" s="334">
        <v>3</v>
      </c>
      <c r="DF9" s="177" t="s">
        <v>107</v>
      </c>
      <c r="DG9" s="336">
        <f ca="1">IFERROR(INDIRECT("fixtures!" &amp; Dashboard!J1 &amp;53) - Dashboard!K1/24,"TBC")</f>
        <v>44807.708333333336</v>
      </c>
      <c r="DH9" s="177"/>
      <c r="DI9" s="177" t="s">
        <v>125</v>
      </c>
      <c r="DJ9" s="177" t="s">
        <v>106</v>
      </c>
      <c r="DK9" s="334">
        <f>IF(ISBLANK(fixtures!$L53),"",fixtures!$L53)</f>
        <v>2</v>
      </c>
      <c r="DL9" s="177" t="str">
        <f>IF(ISBLANK(fixtures!$L53),"",":")</f>
        <v>:</v>
      </c>
      <c r="DM9" s="335">
        <f>IF(ISBLANK(fixtures!$K53),"",fixtures!$K53)</f>
        <v>5</v>
      </c>
      <c r="DN9" s="177" t="str">
        <f>IF(ISBLANK(fixtures!$L53),"",IF(DK9&gt;DM9,"W",IF(DK9=DM9,"D","L")))</f>
        <v>L</v>
      </c>
      <c r="DO9" s="177"/>
      <c r="DP9" s="177"/>
      <c r="DQ9" s="341">
        <v>4</v>
      </c>
      <c r="DR9" s="21" t="s">
        <v>105</v>
      </c>
      <c r="DS9" s="343">
        <f ca="1">IFERROR(INDIRECT("fixtures!" &amp; Dashboard!J1 &amp;60) - Dashboard!K1/24,"TBC")</f>
        <v>44808.666666666664</v>
      </c>
      <c r="DT9" s="21"/>
      <c r="DU9" s="21" t="s">
        <v>4</v>
      </c>
      <c r="DV9" s="21" t="s">
        <v>106</v>
      </c>
      <c r="DW9" s="341">
        <f>IF(ISBLANK(fixtures!$L60),"",fixtures!$L60)</f>
        <v>2</v>
      </c>
      <c r="DX9" s="21" t="str">
        <f>IF(ISBLANK(fixtures!$L60),"",":")</f>
        <v>:</v>
      </c>
      <c r="DY9" s="342">
        <f>IF(ISBLANK(fixtures!$K60),"",fixtures!$K60)</f>
        <v>5</v>
      </c>
      <c r="DZ9" s="21" t="str">
        <f>IF(ISBLANK(fixtures!$L60),"",IF(DW9&gt;DY9,"W",IF(DW9=DY9,"D","L")))</f>
        <v>L</v>
      </c>
      <c r="EA9" s="21"/>
      <c r="EB9" s="21"/>
      <c r="EC9" s="270">
        <v>3</v>
      </c>
      <c r="ED9" s="23" t="s">
        <v>107</v>
      </c>
      <c r="EE9" s="349">
        <f ca="1">IFERROR(INDIRECT("fixtures!" &amp; Dashboard!J1 &amp;52) - Dashboard!K1/24,"TBC")</f>
        <v>44807.604166666664</v>
      </c>
      <c r="EF9" s="23"/>
      <c r="EG9" s="23" t="s">
        <v>7</v>
      </c>
      <c r="EH9" s="23" t="s">
        <v>106</v>
      </c>
      <c r="EI9" s="270">
        <f>IF(ISBLANK(fixtures!$L52),"",fixtures!$L52)</f>
        <v>0</v>
      </c>
      <c r="EJ9" s="23" t="str">
        <f>IF(ISBLANK(fixtures!$L52),"",":")</f>
        <v>:</v>
      </c>
      <c r="EK9" s="272">
        <f>IF(ISBLANK(fixtures!$K52),"",fixtures!$K52)</f>
        <v>0</v>
      </c>
      <c r="EL9" s="23" t="str">
        <f>IF(ISBLANK(fixtures!$L52),"",IF(EI9&gt;EK9,"W",IF(EI9=EK9,"D","L")))</f>
        <v>D</v>
      </c>
      <c r="EM9" s="23"/>
      <c r="EN9" s="23"/>
      <c r="EO9" s="105">
        <v>3</v>
      </c>
      <c r="EP9" s="25" t="s">
        <v>107</v>
      </c>
      <c r="EQ9" s="355">
        <f ca="1">IFERROR(INDIRECT("fixtures!" &amp; Dashboard!J1 &amp;59) - Dashboard!K1/24,"TBC")</f>
        <v>44807.8125</v>
      </c>
      <c r="ER9" s="25"/>
      <c r="ES9" s="25" t="s">
        <v>2</v>
      </c>
      <c r="ET9" s="25" t="s">
        <v>106</v>
      </c>
      <c r="EU9" s="105">
        <f>IF(ISBLANK(fixtures!$L59),"",fixtures!$L59)</f>
        <v>1</v>
      </c>
      <c r="EV9" s="25" t="str">
        <f>IF(ISBLANK(fixtures!$L59),"",":")</f>
        <v>:</v>
      </c>
      <c r="EW9" s="107">
        <f>IF(ISBLANK(fixtures!$K59),"",fixtures!$K59)</f>
        <v>1</v>
      </c>
      <c r="EX9" s="25" t="str">
        <f>IF(ISBLANK(fixtures!$L59),"",IF(EU9&gt;EW9,"W",IF(EU9=EW9,"D","L")))</f>
        <v>D</v>
      </c>
      <c r="EY9" s="25"/>
      <c r="EZ9" s="25"/>
      <c r="FA9" s="361">
        <v>4</v>
      </c>
      <c r="FB9" s="27" t="s">
        <v>105</v>
      </c>
      <c r="FC9" s="363">
        <f ca="1">IFERROR(INDIRECT("fixtures!" &amp; Dashboard!J1 &amp;61) - Dashboard!K1/24,"TBC")</f>
        <v>44808.770833333336</v>
      </c>
      <c r="FD9" s="27"/>
      <c r="FE9" s="27" t="s">
        <v>1</v>
      </c>
      <c r="FF9" s="27" t="s">
        <v>108</v>
      </c>
      <c r="FG9" s="361">
        <f>IF(ISBLANK(fixtures!$K61),"",fixtures!$K61)</f>
        <v>3</v>
      </c>
      <c r="FH9" s="27" t="str">
        <f>IF(ISBLANK(fixtures!$L61),"",":")</f>
        <v>:</v>
      </c>
      <c r="FI9" s="362">
        <f>IF(ISBLANK(fixtures!$L61),"",fixtures!$L61)</f>
        <v>1</v>
      </c>
      <c r="FJ9" s="27" t="str">
        <f>IF(ISBLANK(fixtures!$L61),"",IF(FG9&gt;FI9,"W",IF(FG9=FI9,"D","L")))</f>
        <v>W</v>
      </c>
      <c r="FK9" s="27"/>
      <c r="FL9" s="27"/>
      <c r="FM9" s="110">
        <v>3</v>
      </c>
      <c r="FN9" s="29" t="s">
        <v>107</v>
      </c>
      <c r="FO9" s="369">
        <f ca="1">IFERROR(INDIRECT("fixtures!" &amp; Dashboard!J1 &amp;55) - Dashboard!K1/24,"TBC")</f>
        <v>44807.708333333336</v>
      </c>
      <c r="FP9" s="29"/>
      <c r="FQ9" s="29" t="s">
        <v>6</v>
      </c>
      <c r="FR9" s="29" t="s">
        <v>108</v>
      </c>
      <c r="FS9" s="110">
        <f>IF(ISBLANK(fixtures!$K55),"",fixtures!$K55)</f>
        <v>0</v>
      </c>
      <c r="FT9" s="29" t="str">
        <f>IF(ISBLANK(fixtures!$L55),"",":")</f>
        <v>:</v>
      </c>
      <c r="FU9" s="112">
        <f>IF(ISBLANK(fixtures!$L55),"",fixtures!$L55)</f>
        <v>0</v>
      </c>
      <c r="FV9" s="29" t="str">
        <f>IF(ISBLANK(fixtures!$L55),"",IF(FS9&gt;FU9,"W",IF(FS9=FU9,"D","L")))</f>
        <v>D</v>
      </c>
      <c r="FW9" s="29"/>
      <c r="FX9" s="29"/>
      <c r="FY9" s="375">
        <v>3</v>
      </c>
      <c r="FZ9" s="264" t="s">
        <v>107</v>
      </c>
      <c r="GA9" s="377">
        <f ca="1">IFERROR(INDIRECT("fixtures!" &amp; Dashboard!J1 &amp;56) - Dashboard!K1/24,"TBC")</f>
        <v>44807.708333333336</v>
      </c>
      <c r="GB9" s="264"/>
      <c r="GC9" s="264" t="s">
        <v>3</v>
      </c>
      <c r="GD9" s="264" t="s">
        <v>108</v>
      </c>
      <c r="GE9" s="375">
        <f>IF(ISBLANK(fixtures!$K56),"",fixtures!$K56)</f>
        <v>2</v>
      </c>
      <c r="GF9" s="264" t="str">
        <f>IF(ISBLANK(fixtures!$L56),"",":")</f>
        <v>:</v>
      </c>
      <c r="GG9" s="376">
        <f>IF(ISBLANK(fixtures!$L56),"",fixtures!$L56)</f>
        <v>3</v>
      </c>
      <c r="GH9" s="264" t="str">
        <f>IF(ISBLANK(fixtures!$L56),"",IF(GE9&gt;GG9,"W",IF(GE9=GG9,"D","L")))</f>
        <v>L</v>
      </c>
      <c r="GI9" s="264"/>
      <c r="GJ9" s="264"/>
      <c r="GK9" s="382">
        <v>3</v>
      </c>
      <c r="GL9" s="30" t="s">
        <v>107</v>
      </c>
      <c r="GM9" s="384">
        <f ca="1">IFERROR(INDIRECT("fixtures!" &amp; Dashboard!J1 &amp;58) - Dashboard!K1/24,"TBC")</f>
        <v>44807.708333333336</v>
      </c>
      <c r="GN9" s="30"/>
      <c r="GO9" s="30" t="s">
        <v>16</v>
      </c>
      <c r="GP9" s="30" t="s">
        <v>106</v>
      </c>
      <c r="GQ9" s="382">
        <f>IF(ISBLANK(fixtures!$L58),"",fixtures!$L58)</f>
        <v>0</v>
      </c>
      <c r="GR9" s="30" t="str">
        <f>IF(ISBLANK(fixtures!$L58),"",":")</f>
        <v>:</v>
      </c>
      <c r="GS9" s="383">
        <f>IF(ISBLANK(fixtures!$K58),"",fixtures!$K58)</f>
        <v>1</v>
      </c>
      <c r="GT9" s="30" t="str">
        <f>IF(ISBLANK(fixtures!$L58),"",IF(GQ9&gt;GS9,"W",IF(GQ9=GS9,"D","L")))</f>
        <v>L</v>
      </c>
      <c r="GU9" s="30"/>
      <c r="GV9" s="30"/>
      <c r="GW9" s="115">
        <v>3</v>
      </c>
      <c r="GX9" s="32" t="s">
        <v>107</v>
      </c>
      <c r="GY9" s="390">
        <f ca="1">IFERROR(INDIRECT("fixtures!" &amp; Dashboard!J1 &amp;57) - Dashboard!K1/24,"TBC")</f>
        <v>44807.708333333336</v>
      </c>
      <c r="GZ9" s="32"/>
      <c r="HA9" s="32" t="s">
        <v>126</v>
      </c>
      <c r="HB9" s="32" t="s">
        <v>108</v>
      </c>
      <c r="HC9" s="115">
        <f>IF(ISBLANK(fixtures!$K57),"",fixtures!$K57)</f>
        <v>2</v>
      </c>
      <c r="HD9" s="32" t="str">
        <f>IF(ISBLANK(fixtures!$L57),"",":")</f>
        <v>:</v>
      </c>
      <c r="HE9" s="117">
        <f>IF(ISBLANK(fixtures!$L57),"",fixtures!$L57)</f>
        <v>1</v>
      </c>
      <c r="HF9" s="32" t="str">
        <f>IF(ISBLANK(fixtures!$L57),"",IF(HC9&gt;HE9,"W",IF(HC9=HE9,"D","L")))</f>
        <v>W</v>
      </c>
      <c r="HG9" s="32"/>
      <c r="HH9" s="32"/>
      <c r="HI9" s="120">
        <v>3</v>
      </c>
      <c r="HJ9" s="34" t="s">
        <v>107</v>
      </c>
      <c r="HK9" s="396">
        <f ca="1">IFERROR(INDIRECT("fixtures!" &amp; Dashboard!J1 &amp;54) - Dashboard!K1/24,"TBC")</f>
        <v>44807.708333333336</v>
      </c>
      <c r="HL9" s="34"/>
      <c r="HM9" s="34" t="s">
        <v>5</v>
      </c>
      <c r="HN9" s="34" t="s">
        <v>106</v>
      </c>
      <c r="HO9" s="120">
        <f>IF(ISBLANK(fixtures!$L54),"",fixtures!$L54)</f>
        <v>1</v>
      </c>
      <c r="HP9" s="34" t="str">
        <f>IF(ISBLANK(fixtures!$L54),"",":")</f>
        <v>:</v>
      </c>
      <c r="HQ9" s="122">
        <f>IF(ISBLANK(fixtures!$K54),"",fixtures!$K54)</f>
        <v>2</v>
      </c>
      <c r="HR9" s="34" t="str">
        <f>IF(ISBLANK(fixtures!$L54),"",IF(HO9&gt;HQ9,"W",IF(HO9=HQ9,"D","L")))</f>
        <v>L</v>
      </c>
      <c r="HS9" s="34"/>
      <c r="HT9" s="34"/>
      <c r="HU9" s="125">
        <v>3</v>
      </c>
      <c r="HV9" s="36" t="s">
        <v>107</v>
      </c>
      <c r="HW9" s="402">
        <f ca="1">IFERROR(INDIRECT("fixtures!" &amp; Dashboard!J1 &amp;58) - Dashboard!K1/24,"TBC")</f>
        <v>44807.708333333336</v>
      </c>
      <c r="HX9" s="36"/>
      <c r="HY9" s="36" t="s">
        <v>13</v>
      </c>
      <c r="HZ9" s="36" t="s">
        <v>108</v>
      </c>
      <c r="IA9" s="125">
        <f>IF(ISBLANK(fixtures!$K58),"",fixtures!$K58)</f>
        <v>1</v>
      </c>
      <c r="IB9" s="36" t="str">
        <f>IF(ISBLANK(fixtures!$L58),"",":")</f>
        <v>:</v>
      </c>
      <c r="IC9" s="127">
        <f>IF(ISBLANK(fixtures!$L58),"",fixtures!$L58)</f>
        <v>0</v>
      </c>
      <c r="ID9" s="36" t="str">
        <f>IF(ISBLANK(fixtures!$L58),"",IF(IA9&gt;IC9,"W",IF(IA9=IC9,"D","L")))</f>
        <v>W</v>
      </c>
      <c r="IE9" s="36"/>
      <c r="IF9" s="36"/>
      <c r="II9" s="142"/>
    </row>
    <row r="10" spans="1:243" x14ac:dyDescent="0.4">
      <c r="A10" s="91">
        <v>18</v>
      </c>
      <c r="B10" s="6" t="s">
        <v>105</v>
      </c>
      <c r="C10" s="277">
        <f ca="1">IFERROR(INDIRECT("fixtures!" &amp; Dashboard!J1 &amp;67) - Dashboard!K1/24,"TBC")</f>
        <v>44822.583333333336</v>
      </c>
      <c r="D10" s="6"/>
      <c r="E10" s="6" t="s">
        <v>125</v>
      </c>
      <c r="F10" s="6" t="s">
        <v>106</v>
      </c>
      <c r="G10" s="91">
        <f>IF(ISBLANK(fixtures!$L67),"",fixtures!$L67)</f>
        <v>3</v>
      </c>
      <c r="H10" s="6" t="str">
        <f>IF(ISBLANK(fixtures!$L67),"",":")</f>
        <v>:</v>
      </c>
      <c r="I10" s="93">
        <f>IF(ISBLANK(fixtures!$K67),"",fixtures!$K67)</f>
        <v>0</v>
      </c>
      <c r="J10" s="6" t="str">
        <f>IF(ISBLANK(fixtures!$L67),"",IF(G10&gt;I10,"W",IF(G10=I10,"D","L")))</f>
        <v>W</v>
      </c>
      <c r="K10" s="6"/>
      <c r="L10" s="6"/>
      <c r="M10" s="282">
        <v>16</v>
      </c>
      <c r="N10" s="9" t="s">
        <v>146</v>
      </c>
      <c r="O10" s="284">
        <f ca="1">IFERROR(INDIRECT("fixtures!" &amp; Dashboard!J1 &amp;62) - Dashboard!K1/24,"TBC")</f>
        <v>44820.916666666664</v>
      </c>
      <c r="P10" s="9"/>
      <c r="Q10" s="9" t="s">
        <v>13</v>
      </c>
      <c r="R10" s="9" t="s">
        <v>108</v>
      </c>
      <c r="S10" s="282">
        <f>IF(ISBLANK(fixtures!$K62),"",fixtures!$K62)</f>
        <v>1</v>
      </c>
      <c r="T10" s="9" t="str">
        <f>IF(ISBLANK(fixtures!$L62),"",":")</f>
        <v>:</v>
      </c>
      <c r="U10" s="283">
        <f>IF(ISBLANK(fixtures!$L62),"",fixtures!$L62)</f>
        <v>0</v>
      </c>
      <c r="V10" s="9" t="str">
        <f>IF(ISBLANK(fixtures!$L62),"",IF(S10&gt;U10,"W",IF(S10=U10,"D","L")))</f>
        <v>W</v>
      </c>
      <c r="W10" s="9"/>
      <c r="X10" s="9"/>
      <c r="Y10" s="290">
        <v>17</v>
      </c>
      <c r="Z10" s="262" t="s">
        <v>107</v>
      </c>
      <c r="AA10" s="291">
        <f ca="1">IFERROR(INDIRECT("fixtures!" &amp; Dashboard!J1 &amp;65) - Dashboard!K1/24,"TBC")</f>
        <v>44821.708333333336</v>
      </c>
      <c r="AB10" s="262"/>
      <c r="AC10" s="262" t="s">
        <v>12</v>
      </c>
      <c r="AD10" s="262" t="s">
        <v>106</v>
      </c>
      <c r="AE10" s="290">
        <f>IF(ISBLANK(fixtures!$L65),"",fixtures!$L65)</f>
        <v>1</v>
      </c>
      <c r="AF10" s="262" t="str">
        <f>IF(ISBLANK(fixtures!$L65),"",":")</f>
        <v>:</v>
      </c>
      <c r="AG10" s="292">
        <f>IF(ISBLANK(fixtures!$K65),"",fixtures!$K65)</f>
        <v>1</v>
      </c>
      <c r="AH10" s="262" t="str">
        <f>IF(ISBLANK(fixtures!$L65),"",IF(AE10&gt;AG10,"W",IF(AE10=AG10,"D","L")))</f>
        <v>D</v>
      </c>
      <c r="AI10" s="262"/>
      <c r="AJ10" s="262"/>
      <c r="AK10" s="411">
        <v>18</v>
      </c>
      <c r="AL10" s="410" t="s">
        <v>105</v>
      </c>
      <c r="AM10" s="413">
        <f ca="1">IFERROR(INDIRECT("fixtures!" &amp; Dashboard!J1 &amp;67) - Dashboard!K1/24,"TBC")</f>
        <v>44822.583333333336</v>
      </c>
      <c r="AN10" s="410"/>
      <c r="AO10" s="410" t="s">
        <v>1</v>
      </c>
      <c r="AP10" s="410" t="s">
        <v>108</v>
      </c>
      <c r="AQ10" s="411">
        <f>IF(ISBLANK(fixtures!$K67),"",fixtures!$K67)</f>
        <v>0</v>
      </c>
      <c r="AR10" s="410" t="str">
        <f>IF(ISBLANK(fixtures!$L67),"",":")</f>
        <v>:</v>
      </c>
      <c r="AS10" s="412">
        <f>IF(ISBLANK(fixtures!$L67),"",fixtures!$L67)</f>
        <v>3</v>
      </c>
      <c r="AT10" s="410" t="str">
        <f>IF(ISBLANK(fixtures!$L67),"",IF(AQ10&gt;AS10,"W",IF(AQ10=AS10,"D","L")))</f>
        <v>L</v>
      </c>
      <c r="AU10" s="410"/>
      <c r="AV10" s="410"/>
      <c r="AW10" s="299" t="s">
        <v>19</v>
      </c>
      <c r="AX10" s="11"/>
      <c r="AY10" s="298"/>
      <c r="AZ10" s="11"/>
      <c r="BA10" s="11"/>
      <c r="BB10" s="11"/>
      <c r="BC10" s="96"/>
      <c r="BD10" s="11"/>
      <c r="BE10" s="98"/>
      <c r="BF10" s="11"/>
      <c r="BG10" s="11"/>
      <c r="BH10" s="11"/>
      <c r="BI10" s="305" t="s">
        <v>19</v>
      </c>
      <c r="BJ10" s="15"/>
      <c r="BK10" s="304"/>
      <c r="BL10" s="15"/>
      <c r="BM10" s="15"/>
      <c r="BN10" s="15"/>
      <c r="BO10" s="181"/>
      <c r="BP10" s="15"/>
      <c r="BQ10" s="183"/>
      <c r="BR10" s="15"/>
      <c r="BS10" s="15"/>
      <c r="BT10" s="15"/>
      <c r="BU10" s="313" t="s">
        <v>19</v>
      </c>
      <c r="BV10" s="16"/>
      <c r="BW10" s="312"/>
      <c r="BX10" s="16"/>
      <c r="BY10" s="16"/>
      <c r="BZ10" s="16"/>
      <c r="CA10" s="310"/>
      <c r="CB10" s="16"/>
      <c r="CC10" s="311"/>
      <c r="CD10" s="16"/>
      <c r="CE10" s="16"/>
      <c r="CF10" s="16"/>
      <c r="CG10" s="318">
        <v>18</v>
      </c>
      <c r="CH10" s="19" t="s">
        <v>105</v>
      </c>
      <c r="CI10" s="320">
        <f ca="1">IFERROR(INDIRECT("fixtures!" &amp; Dashboard!J1 &amp;68) - Dashboard!K1/24,"TBC")</f>
        <v>44822.677083333336</v>
      </c>
      <c r="CJ10" s="19"/>
      <c r="CK10" s="19" t="s">
        <v>15</v>
      </c>
      <c r="CL10" s="19" t="s">
        <v>108</v>
      </c>
      <c r="CM10" s="318">
        <f>IF(ISBLANK(fixtures!$K68),"",fixtures!$K68)</f>
        <v>1</v>
      </c>
      <c r="CN10" s="19" t="str">
        <f>IF(ISBLANK(fixtures!$L68),"",":")</f>
        <v>:</v>
      </c>
      <c r="CO10" s="319">
        <f>IF(ISBLANK(fixtures!$L68),"",fixtures!$L68)</f>
        <v>0</v>
      </c>
      <c r="CP10" s="19" t="str">
        <f>IF(ISBLANK(fixtures!$L68),"",IF(CM10&gt;CO10,"W",IF(CM10=CO10,"D","L")))</f>
        <v>W</v>
      </c>
      <c r="CQ10" s="19"/>
      <c r="CR10" s="19"/>
      <c r="CS10" s="326">
        <v>16</v>
      </c>
      <c r="CT10" s="178" t="s">
        <v>146</v>
      </c>
      <c r="CU10" s="328">
        <f ca="1">IFERROR(INDIRECT("fixtures!" &amp; Dashboard!J1 &amp;63) - Dashboard!K1/24,"TBC")</f>
        <v>44820.916666666664</v>
      </c>
      <c r="CV10" s="178"/>
      <c r="CW10" s="178" t="s">
        <v>204</v>
      </c>
      <c r="CX10" s="178" t="s">
        <v>106</v>
      </c>
      <c r="CY10" s="326">
        <f>IF(ISBLANK(fixtures!$L63),"",fixtures!$L63)</f>
        <v>3</v>
      </c>
      <c r="CZ10" s="178" t="str">
        <f>IF(ISBLANK(fixtures!$L63),"",":")</f>
        <v>:</v>
      </c>
      <c r="DA10" s="327">
        <f>IF(ISBLANK(fixtures!$K63),"",fixtures!$K63)</f>
        <v>2</v>
      </c>
      <c r="DB10" s="178" t="str">
        <f>IF(ISBLANK(fixtures!$L63),"",IF(CY10&gt;DA10,"W",IF(CY10=DA10,"D","L")))</f>
        <v>W</v>
      </c>
      <c r="DC10" s="178"/>
      <c r="DD10" s="178"/>
      <c r="DE10" s="337" t="s">
        <v>19</v>
      </c>
      <c r="DF10" s="177"/>
      <c r="DG10" s="336"/>
      <c r="DH10" s="177"/>
      <c r="DI10" s="177"/>
      <c r="DJ10" s="177"/>
      <c r="DK10" s="334"/>
      <c r="DL10" s="177"/>
      <c r="DM10" s="335"/>
      <c r="DN10" s="177"/>
      <c r="DO10" s="177"/>
      <c r="DP10" s="177"/>
      <c r="DQ10" s="341">
        <v>17</v>
      </c>
      <c r="DR10" s="21" t="s">
        <v>107</v>
      </c>
      <c r="DS10" s="343">
        <f ca="1">IFERROR(INDIRECT("fixtures!" &amp; Dashboard!J1 &amp;66) - Dashboard!K1/24,"TBC")</f>
        <v>44821.8125</v>
      </c>
      <c r="DT10" s="21"/>
      <c r="DU10" s="21" t="s">
        <v>14</v>
      </c>
      <c r="DV10" s="21" t="s">
        <v>106</v>
      </c>
      <c r="DW10" s="341">
        <f>IF(ISBLANK(fixtures!$L66),"",fixtures!$L66)</f>
        <v>2</v>
      </c>
      <c r="DX10" s="21" t="str">
        <f>IF(ISBLANK(fixtures!$L66),"",":")</f>
        <v>:</v>
      </c>
      <c r="DY10" s="342">
        <f>IF(ISBLANK(fixtures!$K66),"",fixtures!$K66)</f>
        <v>6</v>
      </c>
      <c r="DZ10" s="21" t="str">
        <f>IF(ISBLANK(fixtures!$L66),"",IF(DW10&gt;DY10,"W",IF(DW10=DY10,"D","L")))</f>
        <v>L</v>
      </c>
      <c r="EA10" s="21"/>
      <c r="EB10" s="21"/>
      <c r="EC10" s="350" t="s">
        <v>19</v>
      </c>
      <c r="ED10" s="23"/>
      <c r="EE10" s="349"/>
      <c r="EF10" s="23"/>
      <c r="EG10" s="23"/>
      <c r="EH10" s="23"/>
      <c r="EI10" s="270"/>
      <c r="EJ10" s="23"/>
      <c r="EK10" s="272"/>
      <c r="EL10" s="23"/>
      <c r="EM10" s="23"/>
      <c r="EN10" s="23"/>
      <c r="EO10" s="105">
        <v>17</v>
      </c>
      <c r="EP10" s="25" t="s">
        <v>107</v>
      </c>
      <c r="EQ10" s="355">
        <f ca="1">IFERROR(INDIRECT("fixtures!" &amp; Dashboard!J1 &amp;64) - Dashboard!K1/24,"TBC")</f>
        <v>44821.604166666664</v>
      </c>
      <c r="ER10" s="25"/>
      <c r="ES10" s="25" t="s">
        <v>16</v>
      </c>
      <c r="ET10" s="25" t="s">
        <v>106</v>
      </c>
      <c r="EU10" s="105">
        <f>IF(ISBLANK(fixtures!$L64),"",fixtures!$L64)</f>
        <v>3</v>
      </c>
      <c r="EV10" s="25" t="str">
        <f>IF(ISBLANK(fixtures!$L64),"",":")</f>
        <v>:</v>
      </c>
      <c r="EW10" s="107">
        <f>IF(ISBLANK(fixtures!$K64),"",fixtures!$K64)</f>
        <v>0</v>
      </c>
      <c r="EX10" s="25" t="str">
        <f>IF(ISBLANK(fixtures!$L64),"",IF(EU10&gt;EW10,"W",IF(EU10=EW10,"D","L")))</f>
        <v>W</v>
      </c>
      <c r="EY10" s="25"/>
      <c r="EZ10" s="25"/>
      <c r="FA10" s="364" t="s">
        <v>19</v>
      </c>
      <c r="FB10" s="27"/>
      <c r="FC10" s="363"/>
      <c r="FD10" s="27"/>
      <c r="FE10" s="27"/>
      <c r="FF10" s="27"/>
      <c r="FG10" s="361"/>
      <c r="FH10" s="27"/>
      <c r="FI10" s="362"/>
      <c r="FJ10" s="27"/>
      <c r="FK10" s="27"/>
      <c r="FL10" s="27"/>
      <c r="FM10" s="110">
        <v>17</v>
      </c>
      <c r="FN10" s="29" t="s">
        <v>107</v>
      </c>
      <c r="FO10" s="369">
        <f ca="1">IFERROR(INDIRECT("fixtures!" &amp; Dashboard!J1 &amp;65) - Dashboard!K1/24,"TBC")</f>
        <v>44821.708333333336</v>
      </c>
      <c r="FP10" s="29"/>
      <c r="FQ10" s="29" t="s">
        <v>3</v>
      </c>
      <c r="FR10" s="29" t="s">
        <v>108</v>
      </c>
      <c r="FS10" s="110">
        <f>IF(ISBLANK(fixtures!$K65),"",fixtures!$K65)</f>
        <v>1</v>
      </c>
      <c r="FT10" s="29" t="str">
        <f>IF(ISBLANK(fixtures!$L65),"",":")</f>
        <v>:</v>
      </c>
      <c r="FU10" s="112">
        <f>IF(ISBLANK(fixtures!$L65),"",fixtures!$L65)</f>
        <v>1</v>
      </c>
      <c r="FV10" s="29" t="str">
        <f>IF(ISBLANK(fixtures!$L65),"",IF(FS10&gt;FU10,"W",IF(FS10=FU10,"D","L")))</f>
        <v>D</v>
      </c>
      <c r="FW10" s="29"/>
      <c r="FX10" s="29"/>
      <c r="FY10" s="375">
        <v>16</v>
      </c>
      <c r="FZ10" s="264" t="s">
        <v>146</v>
      </c>
      <c r="GA10" s="377">
        <f ca="1">IFERROR(INDIRECT("fixtures!" &amp; Dashboard!J1 &amp;63) - Dashboard!K1/24,"TBC")</f>
        <v>44820.916666666664</v>
      </c>
      <c r="GB10" s="264"/>
      <c r="GC10" s="264" t="s">
        <v>126</v>
      </c>
      <c r="GD10" s="264" t="s">
        <v>108</v>
      </c>
      <c r="GE10" s="375">
        <f>IF(ISBLANK(fixtures!$K63),"",fixtures!$K63)</f>
        <v>2</v>
      </c>
      <c r="GF10" s="264" t="str">
        <f>IF(ISBLANK(fixtures!$L63),"",":")</f>
        <v>:</v>
      </c>
      <c r="GG10" s="376">
        <f>IF(ISBLANK(fixtures!$L63),"",fixtures!$L63)</f>
        <v>3</v>
      </c>
      <c r="GH10" s="264" t="str">
        <f>IF(ISBLANK(fixtures!$L63),"",IF(GE10&gt;GG10,"W",IF(GE10=GG10,"D","L")))</f>
        <v>L</v>
      </c>
      <c r="GI10" s="264"/>
      <c r="GJ10" s="264"/>
      <c r="GK10" s="382">
        <v>16</v>
      </c>
      <c r="GL10" s="30" t="s">
        <v>146</v>
      </c>
      <c r="GM10" s="384">
        <f ca="1">IFERROR(INDIRECT("fixtures!" &amp; Dashboard!J1 &amp;62) - Dashboard!K1/24,"TBC")</f>
        <v>44820.916666666664</v>
      </c>
      <c r="GN10" s="30"/>
      <c r="GO10" s="30" t="s">
        <v>2</v>
      </c>
      <c r="GP10" s="30" t="s">
        <v>106</v>
      </c>
      <c r="GQ10" s="382">
        <f>IF(ISBLANK(fixtures!$L62),"",fixtures!$L62)</f>
        <v>0</v>
      </c>
      <c r="GR10" s="30" t="str">
        <f>IF(ISBLANK(fixtures!$L62),"",":")</f>
        <v>:</v>
      </c>
      <c r="GS10" s="383">
        <f>IF(ISBLANK(fixtures!$K62),"",fixtures!$K62)</f>
        <v>1</v>
      </c>
      <c r="GT10" s="30" t="str">
        <f>IF(ISBLANK(fixtures!$L62),"",IF(GQ10&gt;GS10,"W",IF(GQ10=GS10,"D","L")))</f>
        <v>L</v>
      </c>
      <c r="GU10" s="30"/>
      <c r="GV10" s="30"/>
      <c r="GW10" s="115">
        <v>17</v>
      </c>
      <c r="GX10" s="32" t="s">
        <v>107</v>
      </c>
      <c r="GY10" s="390">
        <f ca="1">IFERROR(INDIRECT("fixtures!" &amp; Dashboard!J1 &amp;66) - Dashboard!K1/24,"TBC")</f>
        <v>44821.8125</v>
      </c>
      <c r="GZ10" s="32"/>
      <c r="HA10" s="32" t="s">
        <v>8</v>
      </c>
      <c r="HB10" s="32" t="s">
        <v>108</v>
      </c>
      <c r="HC10" s="115">
        <f>IF(ISBLANK(fixtures!$K66),"",fixtures!$K66)</f>
        <v>6</v>
      </c>
      <c r="HD10" s="32" t="str">
        <f>IF(ISBLANK(fixtures!$L66),"",":")</f>
        <v>:</v>
      </c>
      <c r="HE10" s="117">
        <f>IF(ISBLANK(fixtures!$L66),"",fixtures!$L66)</f>
        <v>2</v>
      </c>
      <c r="HF10" s="32" t="str">
        <f>IF(ISBLANK(fixtures!$L66),"",IF(HC10&gt;HE10,"W",IF(HC10=HE10,"D","L")))</f>
        <v>W</v>
      </c>
      <c r="HG10" s="32"/>
      <c r="HH10" s="32"/>
      <c r="HI10" s="120">
        <v>18</v>
      </c>
      <c r="HJ10" s="34" t="s">
        <v>105</v>
      </c>
      <c r="HK10" s="396">
        <f ca="1">IFERROR(INDIRECT("fixtures!" &amp; Dashboard!J1 &amp;68) - Dashboard!K1/24,"TBC")</f>
        <v>44822.677083333336</v>
      </c>
      <c r="HL10" s="34"/>
      <c r="HM10" s="34" t="s">
        <v>7</v>
      </c>
      <c r="HN10" s="34" t="s">
        <v>106</v>
      </c>
      <c r="HO10" s="120">
        <f>IF(ISBLANK(fixtures!$L68),"",fixtures!$L68)</f>
        <v>0</v>
      </c>
      <c r="HP10" s="34" t="str">
        <f>IF(ISBLANK(fixtures!$L68),"",":")</f>
        <v>:</v>
      </c>
      <c r="HQ10" s="122">
        <f>IF(ISBLANK(fixtures!$K68),"",fixtures!$K68)</f>
        <v>1</v>
      </c>
      <c r="HR10" s="34" t="str">
        <f>IF(ISBLANK(fixtures!$L68),"",IF(HO10&gt;HQ10,"W",IF(HO10=HQ10,"D","L")))</f>
        <v>L</v>
      </c>
      <c r="HS10" s="34"/>
      <c r="HT10" s="34"/>
      <c r="HU10" s="125">
        <v>17</v>
      </c>
      <c r="HV10" s="36" t="s">
        <v>107</v>
      </c>
      <c r="HW10" s="402">
        <f ca="1">IFERROR(INDIRECT("fixtures!" &amp; Dashboard!J1 &amp;64) - Dashboard!K1/24,"TBC")</f>
        <v>44821.604166666664</v>
      </c>
      <c r="HX10" s="36"/>
      <c r="HY10" s="36" t="s">
        <v>10</v>
      </c>
      <c r="HZ10" s="36" t="s">
        <v>108</v>
      </c>
      <c r="IA10" s="125">
        <f>IF(ISBLANK(fixtures!$K64),"",fixtures!$K64)</f>
        <v>0</v>
      </c>
      <c r="IB10" s="36" t="str">
        <f>IF(ISBLANK(fixtures!$L64),"",":")</f>
        <v>:</v>
      </c>
      <c r="IC10" s="127">
        <f>IF(ISBLANK(fixtures!$L64),"",fixtures!$L64)</f>
        <v>3</v>
      </c>
      <c r="ID10" s="36" t="str">
        <f>IF(ISBLANK(fixtures!$L64),"",IF(IA10&gt;IC10,"W",IF(IA10=IC10,"D","L")))</f>
        <v>L</v>
      </c>
      <c r="IE10" s="36"/>
      <c r="IF10" s="36"/>
    </row>
    <row r="11" spans="1:243" x14ac:dyDescent="0.4">
      <c r="A11" s="278" t="s">
        <v>19</v>
      </c>
      <c r="B11" s="6"/>
      <c r="C11" s="277"/>
      <c r="D11" s="6"/>
      <c r="E11" s="6"/>
      <c r="F11" s="6"/>
      <c r="G11" s="91"/>
      <c r="H11" s="6"/>
      <c r="I11" s="93"/>
      <c r="J11" s="6"/>
      <c r="K11" s="6"/>
      <c r="L11" s="6"/>
      <c r="M11" s="285" t="s">
        <v>19</v>
      </c>
      <c r="N11" s="283"/>
      <c r="O11" s="284"/>
      <c r="P11" s="9"/>
      <c r="Q11" s="9"/>
      <c r="R11" s="9"/>
      <c r="S11" s="282"/>
      <c r="T11" s="9"/>
      <c r="U11" s="283"/>
      <c r="V11" s="9"/>
      <c r="W11" s="9"/>
      <c r="X11" s="9"/>
      <c r="Y11" s="293" t="s">
        <v>19</v>
      </c>
      <c r="Z11" s="262"/>
      <c r="AA11" s="291"/>
      <c r="AB11" s="262"/>
      <c r="AC11" s="262"/>
      <c r="AD11" s="262"/>
      <c r="AE11" s="290"/>
      <c r="AF11" s="262"/>
      <c r="AG11" s="292"/>
      <c r="AH11" s="262"/>
      <c r="AI11" s="262"/>
      <c r="AJ11" s="262"/>
      <c r="AK11" s="414" t="s">
        <v>19</v>
      </c>
      <c r="AL11" s="410"/>
      <c r="AM11" s="413"/>
      <c r="AN11" s="410"/>
      <c r="AO11" s="410"/>
      <c r="AP11" s="410"/>
      <c r="AQ11" s="411"/>
      <c r="AR11" s="410"/>
      <c r="AS11" s="412"/>
      <c r="AT11" s="410"/>
      <c r="AU11" s="410"/>
      <c r="AV11" s="410"/>
      <c r="AW11" s="96">
        <v>1</v>
      </c>
      <c r="AX11" s="11" t="s">
        <v>107</v>
      </c>
      <c r="AY11" s="298">
        <f ca="1">IFERROR(INDIRECT("fixtures!" &amp; Dashboard!J1 &amp;73) - Dashboard!K1/24,"TBC")</f>
        <v>44835.708333333336</v>
      </c>
      <c r="AZ11" s="11"/>
      <c r="BA11" s="11" t="s">
        <v>9</v>
      </c>
      <c r="BB11" s="11" t="s">
        <v>106</v>
      </c>
      <c r="BC11" s="96">
        <f>IF(ISBLANK(fixtures!$L73),"",fixtures!$L73)</f>
        <v>3</v>
      </c>
      <c r="BD11" s="11" t="str">
        <f>IF(ISBLANK(fixtures!$L73),"",":")</f>
        <v>:</v>
      </c>
      <c r="BE11" s="98">
        <f>IF(ISBLANK(fixtures!$K73),"",fixtures!$K73)</f>
        <v>3</v>
      </c>
      <c r="BF11" s="11" t="str">
        <f>IF(ISBLANK(fixtures!$L73),"",IF(BC11&gt;BE11,"W",IF(BC11=BE11,"D","L")))</f>
        <v>D</v>
      </c>
      <c r="BG11" s="11"/>
      <c r="BH11" s="11"/>
      <c r="BI11" s="181">
        <v>1</v>
      </c>
      <c r="BJ11" s="15" t="s">
        <v>107</v>
      </c>
      <c r="BK11" s="304">
        <f ca="1">IFERROR(INDIRECT("fixtures!" &amp; Dashboard!J1 &amp;71) - Dashboard!K1/24,"TBC")</f>
        <v>44835.708333333336</v>
      </c>
      <c r="BL11" s="15"/>
      <c r="BM11" s="15" t="s">
        <v>6</v>
      </c>
      <c r="BN11" s="15" t="s">
        <v>106</v>
      </c>
      <c r="BO11" s="181">
        <f>IF(ISBLANK(fixtures!$L71),"",fixtures!$L71)</f>
        <v>2</v>
      </c>
      <c r="BP11" s="15" t="str">
        <f>IF(ISBLANK(fixtures!$L71),"",":")</f>
        <v>:</v>
      </c>
      <c r="BQ11" s="183">
        <f>IF(ISBLANK(fixtures!$K71),"",fixtures!$K71)</f>
        <v>1</v>
      </c>
      <c r="BR11" s="15" t="str">
        <f>IF(ISBLANK(fixtures!$L71),"",IF(BO11&gt;BQ11,"W",IF(BO11=BQ11,"D","L")))</f>
        <v>W</v>
      </c>
      <c r="BS11" s="15"/>
      <c r="BT11" s="15"/>
      <c r="BU11" s="310">
        <v>1</v>
      </c>
      <c r="BV11" s="16" t="s">
        <v>107</v>
      </c>
      <c r="BW11" s="312">
        <f ca="1">IFERROR(INDIRECT("fixtures!" &amp; Dashboard!J1 &amp;71) - Dashboard!K1/24,"TBC")</f>
        <v>44835.708333333336</v>
      </c>
      <c r="BX11" s="16"/>
      <c r="BY11" s="16" t="s">
        <v>5</v>
      </c>
      <c r="BZ11" s="16" t="s">
        <v>108</v>
      </c>
      <c r="CA11" s="310">
        <f>IF(ISBLANK(fixtures!$K71),"",fixtures!$K71)</f>
        <v>1</v>
      </c>
      <c r="CB11" s="16" t="str">
        <f>IF(ISBLANK(fixtures!$L71),"",":")</f>
        <v>:</v>
      </c>
      <c r="CC11" s="311">
        <f>IF(ISBLANK(fixtures!$L71),"",fixtures!$L71)</f>
        <v>2</v>
      </c>
      <c r="CD11" s="16" t="str">
        <f>IF(ISBLANK(fixtures!$L71),"",IF(CA11&gt;CC11,"W",IF(CA11=CC11,"D","L")))</f>
        <v>L</v>
      </c>
      <c r="CE11" s="16"/>
      <c r="CF11" s="16"/>
      <c r="CG11" s="321" t="s">
        <v>19</v>
      </c>
      <c r="CH11" s="19"/>
      <c r="CI11" s="320"/>
      <c r="CJ11" s="19"/>
      <c r="CK11" s="19"/>
      <c r="CL11" s="19"/>
      <c r="CM11" s="318"/>
      <c r="CN11" s="19"/>
      <c r="CO11" s="319"/>
      <c r="CP11" s="19"/>
      <c r="CQ11" s="19"/>
      <c r="CR11" s="19"/>
      <c r="CS11" s="329" t="s">
        <v>19</v>
      </c>
      <c r="CT11" s="178"/>
      <c r="CU11" s="328"/>
      <c r="CV11" s="178"/>
      <c r="CW11" s="178"/>
      <c r="CX11" s="178"/>
      <c r="CY11" s="326"/>
      <c r="CZ11" s="178"/>
      <c r="DA11" s="327"/>
      <c r="DB11" s="178"/>
      <c r="DC11" s="178"/>
      <c r="DD11" s="178"/>
      <c r="DE11" s="334">
        <v>2</v>
      </c>
      <c r="DF11" s="177" t="s">
        <v>105</v>
      </c>
      <c r="DG11" s="336">
        <f ca="1">IFERROR(INDIRECT("fixtures!" &amp; Dashboard!J1 &amp;77) - Dashboard!K1/24,"TBC")</f>
        <v>44836.770833333336</v>
      </c>
      <c r="DH11" s="177"/>
      <c r="DI11" s="177" t="s">
        <v>2</v>
      </c>
      <c r="DJ11" s="177" t="s">
        <v>108</v>
      </c>
      <c r="DK11" s="334">
        <f>IF(ISBLANK(fixtures!$K77),"",fixtures!$K77)</f>
        <v>0</v>
      </c>
      <c r="DL11" s="177" t="str">
        <f>IF(ISBLANK(fixtures!$L77),"",":")</f>
        <v>:</v>
      </c>
      <c r="DM11" s="335">
        <f>IF(ISBLANK(fixtures!$L77),"",fixtures!$L77)</f>
        <v>0</v>
      </c>
      <c r="DN11" s="177" t="str">
        <f>IF(ISBLANK(fixtures!$L77),"",IF(DK11&gt;DM11,"W",IF(DK11=DM11,"D","L")))</f>
        <v>D</v>
      </c>
      <c r="DO11" s="177"/>
      <c r="DP11" s="177"/>
      <c r="DQ11" s="344" t="s">
        <v>19</v>
      </c>
      <c r="DR11" s="21"/>
      <c r="DS11" s="343"/>
      <c r="DT11" s="21"/>
      <c r="DU11" s="21"/>
      <c r="DV11" s="21"/>
      <c r="DW11" s="341"/>
      <c r="DX11" s="21"/>
      <c r="DY11" s="342"/>
      <c r="DZ11" s="21"/>
      <c r="EA11" s="21"/>
      <c r="EB11" s="21"/>
      <c r="EC11" s="270">
        <v>1</v>
      </c>
      <c r="ED11" s="23" t="s">
        <v>107</v>
      </c>
      <c r="EE11" s="349">
        <f ca="1">IFERROR(INDIRECT("fixtures!" &amp; Dashboard!J1 &amp;73) - Dashboard!K1/24,"TBC")</f>
        <v>44835.708333333336</v>
      </c>
      <c r="EF11" s="23"/>
      <c r="EG11" s="23" t="s">
        <v>4</v>
      </c>
      <c r="EH11" s="23" t="s">
        <v>108</v>
      </c>
      <c r="EI11" s="270">
        <f>IF(ISBLANK(fixtures!$K73),"",fixtures!$K73)</f>
        <v>3</v>
      </c>
      <c r="EJ11" s="23" t="str">
        <f>IF(ISBLANK(fixtures!$L73),"",":")</f>
        <v>:</v>
      </c>
      <c r="EK11" s="272">
        <f>IF(ISBLANK(fixtures!$L73),"",fixtures!$L73)</f>
        <v>3</v>
      </c>
      <c r="EL11" s="23" t="str">
        <f>IF(ISBLANK(fixtures!$L73),"",IF(EI11&gt;EK11,"W",IF(EI11=EK11,"D","L")))</f>
        <v>D</v>
      </c>
      <c r="EM11" s="23"/>
      <c r="EN11" s="23"/>
      <c r="EO11" s="356" t="s">
        <v>19</v>
      </c>
      <c r="EP11" s="25"/>
      <c r="EQ11" s="355"/>
      <c r="ER11" s="25"/>
      <c r="ES11" s="25"/>
      <c r="ET11" s="25"/>
      <c r="EU11" s="105"/>
      <c r="EV11" s="25"/>
      <c r="EW11" s="107"/>
      <c r="EX11" s="25"/>
      <c r="EY11" s="25"/>
      <c r="EZ11" s="25"/>
      <c r="FA11" s="361">
        <v>2</v>
      </c>
      <c r="FB11" s="27" t="s">
        <v>105</v>
      </c>
      <c r="FC11" s="363">
        <f ca="1">IFERROR(INDIRECT("fixtures!" &amp; Dashboard!J1 &amp;76) - Dashboard!K1/24,"TBC")</f>
        <v>44836.666666666664</v>
      </c>
      <c r="FD11" s="27"/>
      <c r="FE11" s="27" t="s">
        <v>10</v>
      </c>
      <c r="FF11" s="27" t="s">
        <v>106</v>
      </c>
      <c r="FG11" s="361">
        <f>IF(ISBLANK(fixtures!$L76),"",fixtures!$L76)</f>
        <v>3</v>
      </c>
      <c r="FH11" s="27" t="str">
        <f>IF(ISBLANK(fixtures!$L76),"",":")</f>
        <v>:</v>
      </c>
      <c r="FI11" s="362">
        <f>IF(ISBLANK(fixtures!$K76),"",fixtures!$K76)</f>
        <v>6</v>
      </c>
      <c r="FJ11" s="27" t="str">
        <f>IF(ISBLANK(fixtures!$L76),"",IF(FG11&gt;FI11,"W",IF(FG11=FI11,"D","L")))</f>
        <v>L</v>
      </c>
      <c r="FK11" s="27"/>
      <c r="FL11" s="27"/>
      <c r="FM11" s="370" t="s">
        <v>19</v>
      </c>
      <c r="FN11" s="29"/>
      <c r="FO11" s="369"/>
      <c r="FP11" s="29"/>
      <c r="FQ11" s="29"/>
      <c r="FR11" s="29"/>
      <c r="FS11" s="110"/>
      <c r="FT11" s="29"/>
      <c r="FU11" s="112"/>
      <c r="FV11" s="29"/>
      <c r="FW11" s="29"/>
      <c r="FX11" s="29"/>
      <c r="FY11" s="378" t="s">
        <v>19</v>
      </c>
      <c r="FZ11" s="264"/>
      <c r="GA11" s="377"/>
      <c r="GB11" s="264"/>
      <c r="GC11" s="264"/>
      <c r="GD11" s="264"/>
      <c r="GE11" s="375"/>
      <c r="GF11" s="264"/>
      <c r="GG11" s="376"/>
      <c r="GH11" s="264"/>
      <c r="GI11" s="264"/>
      <c r="GJ11" s="264"/>
      <c r="GK11" s="385" t="s">
        <v>19</v>
      </c>
      <c r="GL11" s="30"/>
      <c r="GM11" s="384"/>
      <c r="GN11" s="30"/>
      <c r="GO11" s="30"/>
      <c r="GP11" s="30"/>
      <c r="GQ11" s="382"/>
      <c r="GR11" s="30"/>
      <c r="GS11" s="383"/>
      <c r="GT11" s="30"/>
      <c r="GU11" s="30"/>
      <c r="GV11" s="30"/>
      <c r="GW11" s="391" t="s">
        <v>19</v>
      </c>
      <c r="GX11" s="32"/>
      <c r="GY11" s="390"/>
      <c r="GZ11" s="32"/>
      <c r="HA11" s="32"/>
      <c r="HB11" s="32"/>
      <c r="HC11" s="115"/>
      <c r="HD11" s="32"/>
      <c r="HE11" s="117"/>
      <c r="HF11" s="32"/>
      <c r="HG11" s="32"/>
      <c r="HH11" s="32"/>
      <c r="HI11" s="397" t="s">
        <v>19</v>
      </c>
      <c r="HJ11" s="34"/>
      <c r="HK11" s="396"/>
      <c r="HL11" s="34"/>
      <c r="HM11" s="34"/>
      <c r="HN11" s="34"/>
      <c r="HO11" s="120"/>
      <c r="HP11" s="34"/>
      <c r="HQ11" s="122"/>
      <c r="HR11" s="34"/>
      <c r="HS11" s="34"/>
      <c r="HT11" s="34"/>
      <c r="HU11" s="403" t="s">
        <v>19</v>
      </c>
      <c r="HV11" s="36"/>
      <c r="HW11" s="402"/>
      <c r="HX11" s="36"/>
      <c r="HY11" s="36"/>
      <c r="HZ11" s="36"/>
      <c r="IA11" s="125"/>
      <c r="IB11" s="36"/>
      <c r="IC11" s="127"/>
      <c r="ID11" s="36"/>
      <c r="IE11" s="36"/>
      <c r="IF11" s="36"/>
      <c r="II11" s="142"/>
    </row>
    <row r="12" spans="1:243" x14ac:dyDescent="0.4">
      <c r="A12" s="91">
        <v>1</v>
      </c>
      <c r="B12" s="6" t="s">
        <v>107</v>
      </c>
      <c r="C12" s="277">
        <f ca="1">IFERROR(INDIRECT("fixtures!" &amp; Dashboard!J1 &amp;69) - Dashboard!K1/24,"TBC")</f>
        <v>44835.604166666664</v>
      </c>
      <c r="D12" s="6"/>
      <c r="E12" s="6" t="s">
        <v>14</v>
      </c>
      <c r="F12" s="6" t="s">
        <v>108</v>
      </c>
      <c r="G12" s="91">
        <f>IF(ISBLANK(fixtures!$K69),"",fixtures!$K69)</f>
        <v>3</v>
      </c>
      <c r="H12" s="6" t="str">
        <f>IF(ISBLANK(fixtures!$L69),"",":")</f>
        <v>:</v>
      </c>
      <c r="I12" s="93">
        <f>IF(ISBLANK(fixtures!$L69),"",fixtures!$L69)</f>
        <v>1</v>
      </c>
      <c r="J12" s="6" t="str">
        <f>IF(ISBLANK(fixtures!$L69),"",IF(G12&gt;I12,"W",IF(G12=I12,"D","L")))</f>
        <v>W</v>
      </c>
      <c r="K12" s="6"/>
      <c r="L12" s="6"/>
      <c r="M12" s="282">
        <v>2</v>
      </c>
      <c r="N12" s="9" t="s">
        <v>105</v>
      </c>
      <c r="O12" s="284">
        <f ca="1">IFERROR(INDIRECT("fixtures!" &amp; Dashboard!J1 &amp;77) - Dashboard!K1/24,"TBC")</f>
        <v>44836.770833333336</v>
      </c>
      <c r="P12" s="9"/>
      <c r="Q12" s="9" t="s">
        <v>139</v>
      </c>
      <c r="R12" s="9" t="s">
        <v>106</v>
      </c>
      <c r="S12" s="282">
        <f>IF(ISBLANK(fixtures!$L77),"",fixtures!$L77)</f>
        <v>0</v>
      </c>
      <c r="T12" s="9" t="str">
        <f>IF(ISBLANK(fixtures!$L77),"",":")</f>
        <v>:</v>
      </c>
      <c r="U12" s="283">
        <f>IF(ISBLANK(fixtures!$K77),"",fixtures!$K77)</f>
        <v>0</v>
      </c>
      <c r="V12" s="9" t="str">
        <f>IF(ISBLANK(fixtures!$L77),"",IF(S12&gt;U12,"W",IF(S12=U12,"D","L")))</f>
        <v>D</v>
      </c>
      <c r="W12" s="9"/>
      <c r="X12" s="9"/>
      <c r="Y12" s="290">
        <v>1</v>
      </c>
      <c r="Z12" s="262" t="s">
        <v>107</v>
      </c>
      <c r="AA12" s="291">
        <f ca="1">IFERROR(INDIRECT("fixtures!" &amp; Dashboard!J1 &amp;70) - Dashboard!K1/24,"TBC")</f>
        <v>44835.708333333336</v>
      </c>
      <c r="AB12" s="262"/>
      <c r="AC12" s="262" t="s">
        <v>125</v>
      </c>
      <c r="AD12" s="262" t="s">
        <v>108</v>
      </c>
      <c r="AE12" s="290">
        <f>IF(ISBLANK(fixtures!$K70),"",fixtures!$K70)</f>
        <v>0</v>
      </c>
      <c r="AF12" s="262" t="str">
        <f>IF(ISBLANK(fixtures!$L70),"",":")</f>
        <v>:</v>
      </c>
      <c r="AG12" s="292">
        <f>IF(ISBLANK(fixtures!$L70),"",fixtures!$L70)</f>
        <v>0</v>
      </c>
      <c r="AH12" s="262" t="str">
        <f>IF(ISBLANK(fixtures!$L70),"",IF(AE12&gt;AG12,"W",IF(AE12=AG12,"D","L")))</f>
        <v>D</v>
      </c>
      <c r="AI12" s="262"/>
      <c r="AJ12" s="262"/>
      <c r="AK12" s="411">
        <v>1</v>
      </c>
      <c r="AL12" s="410" t="s">
        <v>107</v>
      </c>
      <c r="AM12" s="413">
        <f ca="1">IFERROR(INDIRECT("fixtures!" &amp; Dashboard!J1 &amp;70) - Dashboard!K1/24,"TBC")</f>
        <v>44835.708333333336</v>
      </c>
      <c r="AN12" s="410"/>
      <c r="AO12" s="410" t="s">
        <v>3</v>
      </c>
      <c r="AP12" s="410" t="s">
        <v>106</v>
      </c>
      <c r="AQ12" s="411">
        <f>IF(ISBLANK(fixtures!$L70),"",fixtures!$L70)</f>
        <v>0</v>
      </c>
      <c r="AR12" s="410" t="str">
        <f>IF(ISBLANK(fixtures!$L70),"",":")</f>
        <v>:</v>
      </c>
      <c r="AS12" s="412">
        <f>IF(ISBLANK(fixtures!$K70),"",fixtures!$K70)</f>
        <v>0</v>
      </c>
      <c r="AT12" s="410" t="str">
        <f>IF(ISBLANK(fixtures!$L70),"",IF(AQ12&gt;AS12,"W",IF(AQ12=AS12,"D","L")))</f>
        <v>D</v>
      </c>
      <c r="AU12" s="410"/>
      <c r="AV12" s="410"/>
      <c r="AW12" s="96">
        <v>8</v>
      </c>
      <c r="AX12" s="11" t="s">
        <v>107</v>
      </c>
      <c r="AY12" s="298">
        <f ca="1">IFERROR(INDIRECT("fixtures!" &amp; Dashboard!J1 &amp;83) - Dashboard!K1/24,"TBC")</f>
        <v>44842.8125</v>
      </c>
      <c r="AZ12" s="11"/>
      <c r="BA12" s="11" t="s">
        <v>14</v>
      </c>
      <c r="BB12" s="11" t="s">
        <v>108</v>
      </c>
      <c r="BC12" s="96">
        <f>IF(ISBLANK(fixtures!$K83),"",fixtures!$K83)</f>
        <v>0</v>
      </c>
      <c r="BD12" s="11" t="str">
        <f>IF(ISBLANK(fixtures!$L83),"",":")</f>
        <v>:</v>
      </c>
      <c r="BE12" s="98">
        <f>IF(ISBLANK(fixtures!$L83),"",fixtures!$L83)</f>
        <v>1</v>
      </c>
      <c r="BF12" s="11" t="str">
        <f>IF(ISBLANK(fixtures!$L83),"",IF(BC12&gt;BE12,"W",IF(BC12=BE12,"D","L")))</f>
        <v>L</v>
      </c>
      <c r="BG12" s="11"/>
      <c r="BH12" s="11"/>
      <c r="BI12" s="181">
        <v>8</v>
      </c>
      <c r="BJ12" s="15" t="s">
        <v>107</v>
      </c>
      <c r="BK12" s="304">
        <f ca="1">IFERROR(INDIRECT("fixtures!" &amp; Dashboard!J1 &amp;80) - Dashboard!K1/24,"TBC")</f>
        <v>44842.708333333336</v>
      </c>
      <c r="BL12" s="15"/>
      <c r="BM12" s="15" t="s">
        <v>16</v>
      </c>
      <c r="BN12" s="15" t="s">
        <v>108</v>
      </c>
      <c r="BO12" s="181">
        <f>IF(ISBLANK(fixtures!$K80),"",fixtures!$K80)</f>
        <v>3</v>
      </c>
      <c r="BP12" s="15" t="str">
        <f>IF(ISBLANK(fixtures!$L80),"",":")</f>
        <v>:</v>
      </c>
      <c r="BQ12" s="183">
        <f>IF(ISBLANK(fixtures!$L80),"",fixtures!$L80)</f>
        <v>0</v>
      </c>
      <c r="BR12" s="15" t="str">
        <f>IF(ISBLANK(fixtures!$L80),"",IF(BO12&gt;BQ12,"W",IF(BO12=BQ12,"D","L")))</f>
        <v>W</v>
      </c>
      <c r="BS12" s="15"/>
      <c r="BT12" s="15"/>
      <c r="BU12" s="310">
        <v>9</v>
      </c>
      <c r="BV12" s="16" t="s">
        <v>105</v>
      </c>
      <c r="BW12" s="312">
        <f ca="1">IFERROR(INDIRECT("fixtures!" &amp; Dashboard!J1 &amp;84) - Dashboard!K1/24,"TBC")</f>
        <v>44843.666666666664</v>
      </c>
      <c r="BX12" s="16"/>
      <c r="BY12" s="16" t="s">
        <v>139</v>
      </c>
      <c r="BZ12" s="16" t="s">
        <v>108</v>
      </c>
      <c r="CA12" s="310">
        <f>IF(ISBLANK(fixtures!$K84),"",fixtures!$K84)</f>
        <v>2</v>
      </c>
      <c r="CB12" s="16" t="str">
        <f>IF(ISBLANK(fixtures!$L84),"",":")</f>
        <v>:</v>
      </c>
      <c r="CC12" s="311">
        <f>IF(ISBLANK(fixtures!$L84),"",fixtures!$L84)</f>
        <v>1</v>
      </c>
      <c r="CD12" s="16" t="str">
        <f>IF(ISBLANK(fixtures!$L84),"",IF(CA12&gt;CC12,"W",IF(CA12=CC12,"D","L")))</f>
        <v>W</v>
      </c>
      <c r="CE12" s="16"/>
      <c r="CF12" s="16"/>
      <c r="CG12" s="318">
        <v>1</v>
      </c>
      <c r="CH12" s="19" t="s">
        <v>107</v>
      </c>
      <c r="CI12" s="320">
        <f ca="1">IFERROR(INDIRECT("fixtures!" &amp; Dashboard!J1 &amp;74) - Dashboard!K1/24,"TBC")</f>
        <v>44835.708333333336</v>
      </c>
      <c r="CJ12" s="19"/>
      <c r="CK12" s="19" t="s">
        <v>13</v>
      </c>
      <c r="CL12" s="19" t="s">
        <v>106</v>
      </c>
      <c r="CM12" s="318">
        <f>IF(ISBLANK(fixtures!$L74),"",fixtures!$L74)</f>
        <v>2</v>
      </c>
      <c r="CN12" s="19" t="str">
        <f>IF(ISBLANK(fixtures!$L74),"",":")</f>
        <v>:</v>
      </c>
      <c r="CO12" s="319">
        <f>IF(ISBLANK(fixtures!$K74),"",fixtures!$K74)</f>
        <v>1</v>
      </c>
      <c r="CP12" s="19" t="str">
        <f>IF(ISBLANK(fixtures!$L74),"",IF(CM12&gt;CO12,"W",IF(CM12=CO12,"D","L")))</f>
        <v>W</v>
      </c>
      <c r="CQ12" s="19"/>
      <c r="CR12" s="19"/>
      <c r="CS12" s="326">
        <v>1</v>
      </c>
      <c r="CT12" s="178" t="s">
        <v>107</v>
      </c>
      <c r="CU12" s="328">
        <f ca="1">IFERROR(INDIRECT("fixtures!" &amp; Dashboard!J1 &amp;72) - Dashboard!K1/24,"TBC")</f>
        <v>44835.708333333336</v>
      </c>
      <c r="CV12" s="178"/>
      <c r="CW12" s="178" t="s">
        <v>12</v>
      </c>
      <c r="CX12" s="178" t="s">
        <v>108</v>
      </c>
      <c r="CY12" s="326">
        <f>IF(ISBLANK(fixtures!$K72),"",fixtures!$K72)</f>
        <v>1</v>
      </c>
      <c r="CZ12" s="178" t="str">
        <f>IF(ISBLANK(fixtures!$L72),"",":")</f>
        <v>:</v>
      </c>
      <c r="DA12" s="327">
        <f>IF(ISBLANK(fixtures!$L72),"",fixtures!$L72)</f>
        <v>4</v>
      </c>
      <c r="DB12" s="178" t="str">
        <f>IF(ISBLANK(fixtures!$L72),"",IF(CY12&gt;DA12,"W",IF(CY12=DA12,"D","L")))</f>
        <v>L</v>
      </c>
      <c r="DC12" s="178"/>
      <c r="DD12" s="178"/>
      <c r="DE12" s="334">
        <v>9</v>
      </c>
      <c r="DF12" s="177" t="s">
        <v>105</v>
      </c>
      <c r="DG12" s="336">
        <f ca="1">IFERROR(INDIRECT("fixtures!" &amp; Dashboard!J1 &amp;84) - Dashboard!K1/24,"TBC")</f>
        <v>44843.666666666664</v>
      </c>
      <c r="DH12" s="177"/>
      <c r="DI12" s="177" t="s">
        <v>6</v>
      </c>
      <c r="DJ12" s="177" t="s">
        <v>106</v>
      </c>
      <c r="DK12" s="334">
        <f>IF(ISBLANK(fixtures!$L84),"",fixtures!$L84)</f>
        <v>1</v>
      </c>
      <c r="DL12" s="177" t="str">
        <f>IF(ISBLANK(fixtures!$L84),"",":")</f>
        <v>:</v>
      </c>
      <c r="DM12" s="335">
        <f>IF(ISBLANK(fixtures!$K84),"",fixtures!$K84)</f>
        <v>2</v>
      </c>
      <c r="DN12" s="177" t="str">
        <f>IF(ISBLANK(fixtures!$L84),"",IF(DK12&gt;DM12,"W",IF(DK12=DM12,"D","L")))</f>
        <v>L</v>
      </c>
      <c r="DO12" s="177"/>
      <c r="DP12" s="177"/>
      <c r="DQ12" s="341">
        <v>3</v>
      </c>
      <c r="DR12" s="21" t="s">
        <v>109</v>
      </c>
      <c r="DS12" s="343">
        <f ca="1">IFERROR(INDIRECT("fixtures!" &amp; Dashboard!J1 &amp;78) - Dashboard!K1/24,"TBC")</f>
        <v>44837.916666666664</v>
      </c>
      <c r="DT12" s="21"/>
      <c r="DU12" s="21" t="s">
        <v>204</v>
      </c>
      <c r="DV12" s="21" t="s">
        <v>108</v>
      </c>
      <c r="DW12" s="341">
        <f>IF(ISBLANK(fixtures!$K78),"",fixtures!$K78)</f>
        <v>4</v>
      </c>
      <c r="DX12" s="21" t="str">
        <f>IF(ISBLANK(fixtures!$L78),"",":")</f>
        <v>:</v>
      </c>
      <c r="DY12" s="342">
        <f>IF(ISBLANK(fixtures!$L78),"",fixtures!$L78)</f>
        <v>0</v>
      </c>
      <c r="DZ12" s="21" t="str">
        <f>IF(ISBLANK(fixtures!$L78),"",IF(DW12&gt;DY12,"W",IF(DW12=DY12,"D","L")))</f>
        <v>W</v>
      </c>
      <c r="EA12" s="21"/>
      <c r="EB12" s="21"/>
      <c r="EC12" s="270">
        <v>9</v>
      </c>
      <c r="ED12" s="23" t="s">
        <v>105</v>
      </c>
      <c r="EE12" s="349">
        <f ca="1">IFERROR(INDIRECT("fixtures!" &amp; Dashboard!J1 &amp;86) - Dashboard!K1/24,"TBC")</f>
        <v>44843.770833333336</v>
      </c>
      <c r="EF12" s="23"/>
      <c r="EG12" s="23" t="s">
        <v>1</v>
      </c>
      <c r="EH12" s="23" t="s">
        <v>106</v>
      </c>
      <c r="EI12" s="270">
        <f>IF(ISBLANK(fixtures!$L86),"",fixtures!$L86)</f>
        <v>2</v>
      </c>
      <c r="EJ12" s="23" t="str">
        <f>IF(ISBLANK(fixtures!$L86),"",":")</f>
        <v>:</v>
      </c>
      <c r="EK12" s="272">
        <f>IF(ISBLANK(fixtures!$K86),"",fixtures!$K86)</f>
        <v>3</v>
      </c>
      <c r="EL12" s="23" t="str">
        <f>IF(ISBLANK(fixtures!$L86),"",IF(EI12&gt;EK12,"W",IF(EI12=EK12,"D","L")))</f>
        <v>L</v>
      </c>
      <c r="EM12" s="23"/>
      <c r="EN12" s="23"/>
      <c r="EO12" s="105">
        <v>2</v>
      </c>
      <c r="EP12" s="25" t="s">
        <v>105</v>
      </c>
      <c r="EQ12" s="355">
        <f ca="1">IFERROR(INDIRECT("fixtures!" &amp; Dashboard!J1 &amp;76) - Dashboard!K1/24,"TBC")</f>
        <v>44836.666666666664</v>
      </c>
      <c r="ER12" s="25"/>
      <c r="ES12" s="25" t="s">
        <v>11</v>
      </c>
      <c r="ET12" s="25" t="s">
        <v>108</v>
      </c>
      <c r="EU12" s="105">
        <f>IF(ISBLANK(fixtures!$K76),"",fixtures!$K76)</f>
        <v>6</v>
      </c>
      <c r="EV12" s="25" t="str">
        <f>IF(ISBLANK(fixtures!$L76),"",":")</f>
        <v>:</v>
      </c>
      <c r="EW12" s="107">
        <f>IF(ISBLANK(fixtures!$L76),"",fixtures!$L76)</f>
        <v>3</v>
      </c>
      <c r="EX12" s="25" t="str">
        <f>IF(ISBLANK(fixtures!$L76),"",IF(EU12&gt;EW12,"W",IF(EU12=EW12,"D","L")))</f>
        <v>W</v>
      </c>
      <c r="EY12" s="25"/>
      <c r="EZ12" s="25"/>
      <c r="FA12" s="361">
        <v>9</v>
      </c>
      <c r="FB12" s="27" t="s">
        <v>105</v>
      </c>
      <c r="FC12" s="363">
        <f ca="1">IFERROR(INDIRECT("fixtures!" &amp; Dashboard!J1 &amp;87) - Dashboard!K1/24,"TBC")</f>
        <v>44843.875</v>
      </c>
      <c r="FD12" s="27"/>
      <c r="FE12" s="27" t="s">
        <v>7</v>
      </c>
      <c r="FF12" s="27" t="s">
        <v>106</v>
      </c>
      <c r="FG12" s="361">
        <f>IF(ISBLANK(fixtures!$L87),"",fixtures!$L87)</f>
        <v>2</v>
      </c>
      <c r="FH12" s="27" t="str">
        <f>IF(ISBLANK(fixtures!$L87),"",":")</f>
        <v>:</v>
      </c>
      <c r="FI12" s="362">
        <f>IF(ISBLANK(fixtures!$K87),"",fixtures!$K87)</f>
        <v>1</v>
      </c>
      <c r="FJ12" s="27" t="str">
        <f>IF(ISBLANK(fixtures!$L87),"",IF(FG12&gt;FI12,"W",IF(FG12=FI12,"D","L")))</f>
        <v>W</v>
      </c>
      <c r="FK12" s="27"/>
      <c r="FL12" s="27"/>
      <c r="FM12" s="110">
        <v>1</v>
      </c>
      <c r="FN12" s="29" t="s">
        <v>107</v>
      </c>
      <c r="FO12" s="369">
        <f ca="1">IFERROR(INDIRECT("fixtures!" &amp; Dashboard!J1 &amp;72) - Dashboard!K1/24,"TBC")</f>
        <v>44835.708333333336</v>
      </c>
      <c r="FP12" s="29"/>
      <c r="FQ12" s="29" t="s">
        <v>126</v>
      </c>
      <c r="FR12" s="29" t="s">
        <v>106</v>
      </c>
      <c r="FS12" s="110">
        <f>IF(ISBLANK(fixtures!$L72),"",fixtures!$L72)</f>
        <v>4</v>
      </c>
      <c r="FT12" s="29" t="str">
        <f>IF(ISBLANK(fixtures!$L72),"",":")</f>
        <v>:</v>
      </c>
      <c r="FU12" s="112">
        <f>IF(ISBLANK(fixtures!$K72),"",fixtures!$K72)</f>
        <v>1</v>
      </c>
      <c r="FV12" s="29" t="str">
        <f>IF(ISBLANK(fixtures!$L72),"",IF(FS12&gt;FU12,"W",IF(FS12=FU12,"D","L")))</f>
        <v>W</v>
      </c>
      <c r="FW12" s="29"/>
      <c r="FX12" s="29"/>
      <c r="FY12" s="375">
        <v>3</v>
      </c>
      <c r="FZ12" s="264" t="s">
        <v>109</v>
      </c>
      <c r="GA12" s="377">
        <f ca="1">IFERROR(INDIRECT("fixtures!" &amp; Dashboard!J1 &amp;78) - Dashboard!K1/24,"TBC")</f>
        <v>44837.916666666664</v>
      </c>
      <c r="GB12" s="264"/>
      <c r="GC12" s="264" t="s">
        <v>8</v>
      </c>
      <c r="GD12" s="264" t="s">
        <v>106</v>
      </c>
      <c r="GE12" s="375">
        <f>IF(ISBLANK(fixtures!$L78),"",fixtures!$L78)</f>
        <v>0</v>
      </c>
      <c r="GF12" s="264" t="str">
        <f>IF(ISBLANK(fixtures!$L78),"",":")</f>
        <v>:</v>
      </c>
      <c r="GG12" s="376">
        <f>IF(ISBLANK(fixtures!$K78),"",fixtures!$K78)</f>
        <v>4</v>
      </c>
      <c r="GH12" s="264" t="str">
        <f>IF(ISBLANK(fixtures!$L78),"",IF(GE12&gt;GG12,"W",IF(GE12=GG12,"D","L")))</f>
        <v>L</v>
      </c>
      <c r="GI12" s="264"/>
      <c r="GJ12" s="264"/>
      <c r="GK12" s="382">
        <v>1</v>
      </c>
      <c r="GL12" s="30" t="s">
        <v>107</v>
      </c>
      <c r="GM12" s="384">
        <f ca="1">IFERROR(INDIRECT("fixtures!" &amp; Dashboard!J1 &amp;74) - Dashboard!K1/24,"TBC")</f>
        <v>44835.708333333336</v>
      </c>
      <c r="GN12" s="30"/>
      <c r="GO12" s="30" t="s">
        <v>7</v>
      </c>
      <c r="GP12" s="30" t="s">
        <v>108</v>
      </c>
      <c r="GQ12" s="382">
        <f>IF(ISBLANK(fixtures!$K74),"",fixtures!$K74)</f>
        <v>1</v>
      </c>
      <c r="GR12" s="30" t="str">
        <f>IF(ISBLANK(fixtures!$L74),"",":")</f>
        <v>:</v>
      </c>
      <c r="GS12" s="383">
        <f>IF(ISBLANK(fixtures!$L74),"",fixtures!$L74)</f>
        <v>2</v>
      </c>
      <c r="GT12" s="30" t="str">
        <f>IF(ISBLANK(fixtures!$L74),"",IF(GQ12&gt;GS12,"W",IF(GQ12=GS12,"D","L")))</f>
        <v>L</v>
      </c>
      <c r="GU12" s="30"/>
      <c r="GV12" s="30"/>
      <c r="GW12" s="115">
        <v>1</v>
      </c>
      <c r="GX12" s="32" t="s">
        <v>107</v>
      </c>
      <c r="GY12" s="390">
        <f ca="1">IFERROR(INDIRECT("fixtures!" &amp; Dashboard!J1 &amp;69) - Dashboard!K1/24,"TBC")</f>
        <v>44835.604166666664</v>
      </c>
      <c r="GZ12" s="32"/>
      <c r="HA12" s="32" t="s">
        <v>1</v>
      </c>
      <c r="HB12" s="32" t="s">
        <v>106</v>
      </c>
      <c r="HC12" s="115">
        <f>IF(ISBLANK(fixtures!$L69),"",fixtures!$L69)</f>
        <v>1</v>
      </c>
      <c r="HD12" s="32" t="str">
        <f>IF(ISBLANK(fixtures!$L69),"",":")</f>
        <v>:</v>
      </c>
      <c r="HE12" s="117">
        <f>IF(ISBLANK(fixtures!$K69),"",fixtures!$K69)</f>
        <v>3</v>
      </c>
      <c r="HF12" s="32" t="str">
        <f>IF(ISBLANK(fixtures!$L69),"",IF(HC12&gt;HE12,"W",IF(HC12=HE12,"D","L")))</f>
        <v>L</v>
      </c>
      <c r="HG12" s="32"/>
      <c r="HH12" s="32"/>
      <c r="HI12" s="120">
        <v>1</v>
      </c>
      <c r="HJ12" s="34" t="s">
        <v>107</v>
      </c>
      <c r="HK12" s="396">
        <f ca="1">IFERROR(INDIRECT("fixtures!" &amp; Dashboard!J1 &amp;75) - Dashboard!K1/24,"TBC")</f>
        <v>44835.8125</v>
      </c>
      <c r="HL12" s="34"/>
      <c r="HM12" s="34" t="s">
        <v>16</v>
      </c>
      <c r="HN12" s="34" t="s">
        <v>108</v>
      </c>
      <c r="HO12" s="120">
        <f>IF(ISBLANK(fixtures!$K75),"",fixtures!$K75)</f>
        <v>2</v>
      </c>
      <c r="HP12" s="34" t="str">
        <f>IF(ISBLANK(fixtures!$L75),"",":")</f>
        <v>:</v>
      </c>
      <c r="HQ12" s="122">
        <f>IF(ISBLANK(fixtures!$L75),"",fixtures!$L75)</f>
        <v>0</v>
      </c>
      <c r="HR12" s="34" t="str">
        <f>IF(ISBLANK(fixtures!$L75),"",IF(HO12&gt;HQ12,"W",IF(HO12=HQ12,"D","L")))</f>
        <v>W</v>
      </c>
      <c r="HS12" s="34"/>
      <c r="HT12" s="34"/>
      <c r="HU12" s="125">
        <v>1</v>
      </c>
      <c r="HV12" s="36" t="s">
        <v>107</v>
      </c>
      <c r="HW12" s="402">
        <f ca="1">IFERROR(INDIRECT("fixtures!" &amp; Dashboard!J1 &amp;75) - Dashboard!K1/24,"TBC")</f>
        <v>44835.8125</v>
      </c>
      <c r="HX12" s="36"/>
      <c r="HY12" s="36" t="s">
        <v>15</v>
      </c>
      <c r="HZ12" s="36" t="s">
        <v>106</v>
      </c>
      <c r="IA12" s="125">
        <f>IF(ISBLANK(fixtures!$L75),"",fixtures!$L75)</f>
        <v>0</v>
      </c>
      <c r="IB12" s="36" t="str">
        <f>IF(ISBLANK(fixtures!$L75),"",":")</f>
        <v>:</v>
      </c>
      <c r="IC12" s="127">
        <f>IF(ISBLANK(fixtures!$K75),"",fixtures!$K75)</f>
        <v>2</v>
      </c>
      <c r="ID12" s="36" t="str">
        <f>IF(ISBLANK(fixtures!$L75),"",IF(IA12&gt;IC12,"W",IF(IA12=IC12,"D","L")))</f>
        <v>L</v>
      </c>
      <c r="IE12" s="36"/>
      <c r="IF12" s="36"/>
      <c r="II12" s="142"/>
    </row>
    <row r="13" spans="1:243" x14ac:dyDescent="0.4">
      <c r="A13" s="91">
        <v>9</v>
      </c>
      <c r="B13" s="93" t="s">
        <v>105</v>
      </c>
      <c r="C13" s="277">
        <f ca="1">IFERROR(INDIRECT("fixtures!" &amp; Dashboard!J1 &amp;86) - Dashboard!K1/24,"TBC")</f>
        <v>44843.770833333336</v>
      </c>
      <c r="D13" s="6"/>
      <c r="E13" s="6" t="s">
        <v>9</v>
      </c>
      <c r="F13" s="6" t="s">
        <v>108</v>
      </c>
      <c r="G13" s="91">
        <f>IF(ISBLANK(fixtures!$K86),"",fixtures!$K86)</f>
        <v>3</v>
      </c>
      <c r="H13" s="6" t="str">
        <f>IF(ISBLANK(fixtures!$L86),"",":")</f>
        <v>:</v>
      </c>
      <c r="I13" s="93">
        <f>IF(ISBLANK(fixtures!$L86),"",fixtures!$L86)</f>
        <v>2</v>
      </c>
      <c r="J13" s="6" t="str">
        <f>IF(ISBLANK(fixtures!$L86),"",IF(G13&gt;I13,"W",IF(G13=I13,"D","L")))</f>
        <v>W</v>
      </c>
      <c r="K13" s="6"/>
      <c r="L13" s="6"/>
      <c r="M13" s="282">
        <v>10</v>
      </c>
      <c r="N13" s="9" t="s">
        <v>109</v>
      </c>
      <c r="O13" s="284">
        <f ca="1">IFERROR(INDIRECT("fixtures!" &amp; Dashboard!J1 &amp;88) - Dashboard!K1/24,"TBC")</f>
        <v>44844.916666666664</v>
      </c>
      <c r="P13" s="9"/>
      <c r="Q13" s="9" t="s">
        <v>204</v>
      </c>
      <c r="R13" s="9" t="s">
        <v>106</v>
      </c>
      <c r="S13" s="282">
        <f>IF(ISBLANK(fixtures!$L88),"",fixtures!$L88)</f>
        <v>1</v>
      </c>
      <c r="T13" s="9" t="str">
        <f>IF(ISBLANK(fixtures!$L88),"",":")</f>
        <v>:</v>
      </c>
      <c r="U13" s="283">
        <f>IF(ISBLANK(fixtures!$K88),"",fixtures!$K88)</f>
        <v>1</v>
      </c>
      <c r="V13" s="9" t="str">
        <f>IF(ISBLANK(fixtures!$L88),"",IF(S13&gt;U13,"W",IF(S13=U13,"D","L")))</f>
        <v>D</v>
      </c>
      <c r="W13" s="9"/>
      <c r="X13" s="9"/>
      <c r="Y13" s="290">
        <v>8</v>
      </c>
      <c r="Z13" s="262" t="s">
        <v>107</v>
      </c>
      <c r="AA13" s="291">
        <f ca="1">IFERROR(INDIRECT("fixtures!" &amp; Dashboard!J1 &amp;79) - Dashboard!K1/24,"TBC")</f>
        <v>44842.708333333336</v>
      </c>
      <c r="AB13" s="262"/>
      <c r="AC13" s="262" t="s">
        <v>8</v>
      </c>
      <c r="AD13" s="262" t="s">
        <v>108</v>
      </c>
      <c r="AE13" s="290">
        <f>IF(ISBLANK(fixtures!$K79),"",fixtures!$K79)</f>
        <v>2</v>
      </c>
      <c r="AF13" s="262" t="str">
        <f>IF(ISBLANK(fixtures!$L79),"",":")</f>
        <v>:</v>
      </c>
      <c r="AG13" s="292">
        <f>IF(ISBLANK(fixtures!$L79),"",fixtures!$L79)</f>
        <v>1</v>
      </c>
      <c r="AH13" s="262" t="str">
        <f>IF(ISBLANK(fixtures!$L79),"",IF(AE13&gt;AG13,"W",IF(AE13=AG13,"D","L")))</f>
        <v>W</v>
      </c>
      <c r="AI13" s="262"/>
      <c r="AJ13" s="262"/>
      <c r="AK13" s="411">
        <v>8</v>
      </c>
      <c r="AL13" s="410" t="s">
        <v>107</v>
      </c>
      <c r="AM13" s="413">
        <f ca="1">IFERROR(INDIRECT("fixtures!" &amp; Dashboard!J1 &amp;82) - Dashboard!K1/24,"TBC")</f>
        <v>44842.708333333336</v>
      </c>
      <c r="AN13" s="410"/>
      <c r="AO13" s="410" t="s">
        <v>12</v>
      </c>
      <c r="AP13" s="410" t="s">
        <v>106</v>
      </c>
      <c r="AQ13" s="411">
        <f>IF(ISBLANK(fixtures!$L82),"",fixtures!$L82)</f>
        <v>1</v>
      </c>
      <c r="AR13" s="410" t="str">
        <f>IF(ISBLANK(fixtures!$L82),"",":")</f>
        <v>:</v>
      </c>
      <c r="AS13" s="412">
        <f>IF(ISBLANK(fixtures!$K82),"",fixtures!$K82)</f>
        <v>5</v>
      </c>
      <c r="AT13" s="410" t="str">
        <f>IF(ISBLANK(fixtures!$L82),"",IF(AQ13&gt;AS13,"W",IF(AQ13=AS13,"D","L")))</f>
        <v>L</v>
      </c>
      <c r="AU13" s="410"/>
      <c r="AV13" s="410"/>
      <c r="AW13" s="96">
        <v>14</v>
      </c>
      <c r="AX13" s="11" t="s">
        <v>146</v>
      </c>
      <c r="AY13" s="298">
        <f ca="1">IFERROR(INDIRECT("fixtures!" &amp; Dashboard!J1 &amp;89) - Dashboard!K1/24,"TBC")</f>
        <v>44848.916666666664</v>
      </c>
      <c r="AZ13" s="11"/>
      <c r="BA13" s="11" t="s">
        <v>125</v>
      </c>
      <c r="BB13" s="11" t="s">
        <v>106</v>
      </c>
      <c r="BC13" s="96">
        <f>IF(ISBLANK(fixtures!$L89),"",fixtures!$L89)</f>
        <v>0</v>
      </c>
      <c r="BD13" s="11" t="str">
        <f>IF(ISBLANK(fixtures!$L89),"",":")</f>
        <v>:</v>
      </c>
      <c r="BE13" s="98">
        <f>IF(ISBLANK(fixtures!$K89),"",fixtures!$K89)</f>
        <v>2</v>
      </c>
      <c r="BF13" s="11" t="str">
        <f>IF(ISBLANK(fixtures!$L89),"",IF(BC13&gt;BE13,"W",IF(BC13=BE13,"D","L")))</f>
        <v>L</v>
      </c>
      <c r="BG13" s="11"/>
      <c r="BH13" s="11"/>
      <c r="BI13" s="181">
        <v>16</v>
      </c>
      <c r="BJ13" s="15" t="s">
        <v>105</v>
      </c>
      <c r="BK13" s="304">
        <f ca="1">IFERROR(INDIRECT("fixtures!" &amp; Dashboard!J1 &amp;94) - Dashboard!K1/24,"TBC")</f>
        <v>44850.666666666664</v>
      </c>
      <c r="BL13" s="15"/>
      <c r="BM13" s="15" t="s">
        <v>2</v>
      </c>
      <c r="BN13" s="15" t="s">
        <v>106</v>
      </c>
      <c r="BO13" s="181">
        <f>IF(ISBLANK(fixtures!$L94),"",fixtures!$L94)</f>
        <v>2</v>
      </c>
      <c r="BP13" s="15" t="str">
        <f>IF(ISBLANK(fixtures!$L94),"",":")</f>
        <v>:</v>
      </c>
      <c r="BQ13" s="183">
        <f>IF(ISBLANK(fixtures!$K94),"",fixtures!$K94)</f>
        <v>0</v>
      </c>
      <c r="BR13" s="15" t="str">
        <f>IF(ISBLANK(fixtures!$L94),"",IF(BO13&gt;BQ13,"W",IF(BO13=BQ13,"D","L")))</f>
        <v>W</v>
      </c>
      <c r="BS13" s="15"/>
      <c r="BT13" s="15"/>
      <c r="BU13" s="310">
        <v>15</v>
      </c>
      <c r="BV13" s="16" t="s">
        <v>107</v>
      </c>
      <c r="BW13" s="312">
        <f ca="1">IFERROR(INDIRECT("fixtures!" &amp; Dashboard!J1 &amp;90) - Dashboard!K1/24,"TBC")</f>
        <v>44849.604166666664</v>
      </c>
      <c r="BX13" s="16"/>
      <c r="BY13" s="16" t="s">
        <v>8</v>
      </c>
      <c r="BZ13" s="16" t="s">
        <v>106</v>
      </c>
      <c r="CA13" s="310">
        <f>IF(ISBLANK(fixtures!$L90),"",fixtures!$L90)</f>
        <v>0</v>
      </c>
      <c r="CB13" s="16" t="str">
        <f>IF(ISBLANK(fixtures!$L90),"",":")</f>
        <v>:</v>
      </c>
      <c r="CC13" s="311">
        <f>IF(ISBLANK(fixtures!$K90),"",fixtures!$K90)</f>
        <v>0</v>
      </c>
      <c r="CD13" s="16" t="str">
        <f>IF(ISBLANK(fixtures!$L90),"",IF(CA13&gt;CC13,"W",IF(CA13=CC13,"D","L")))</f>
        <v>D</v>
      </c>
      <c r="CE13" s="16"/>
      <c r="CF13" s="16"/>
      <c r="CG13" s="318">
        <v>9</v>
      </c>
      <c r="CH13" s="19" t="s">
        <v>105</v>
      </c>
      <c r="CI13" s="320">
        <f ca="1">IFERROR(INDIRECT("fixtures!" &amp; Dashboard!J1 &amp;87) - Dashboard!K1/24,"TBC")</f>
        <v>44843.875</v>
      </c>
      <c r="CJ13" s="19"/>
      <c r="CK13" s="19" t="s">
        <v>11</v>
      </c>
      <c r="CL13" s="19" t="s">
        <v>108</v>
      </c>
      <c r="CM13" s="318">
        <f>IF(ISBLANK(fixtures!$K87),"",fixtures!$K87)</f>
        <v>1</v>
      </c>
      <c r="CN13" s="19" t="str">
        <f>IF(ISBLANK(fixtures!$L87),"",":")</f>
        <v>:</v>
      </c>
      <c r="CO13" s="319">
        <f>IF(ISBLANK(fixtures!$L87),"",fixtures!$L87)</f>
        <v>2</v>
      </c>
      <c r="CP13" s="19" t="str">
        <f>IF(ISBLANK(fixtures!$L87),"",IF(CM13&gt;CO13,"W",IF(CM13=CO13,"D","L")))</f>
        <v>L</v>
      </c>
      <c r="CQ13" s="19"/>
      <c r="CR13" s="19"/>
      <c r="CS13" s="326">
        <v>9</v>
      </c>
      <c r="CT13" s="178" t="s">
        <v>105</v>
      </c>
      <c r="CU13" s="328">
        <f ca="1">IFERROR(INDIRECT("fixtures!" &amp; Dashboard!J1 &amp;85) - Dashboard!K1/24,"TBC")</f>
        <v>44843.666666666664</v>
      </c>
      <c r="CV13" s="178"/>
      <c r="CW13" s="178" t="s">
        <v>15</v>
      </c>
      <c r="CX13" s="178" t="s">
        <v>106</v>
      </c>
      <c r="CY13" s="326">
        <f>IF(ISBLANK(fixtures!$L85),"",fixtures!$L85)</f>
        <v>1</v>
      </c>
      <c r="CZ13" s="178" t="str">
        <f>IF(ISBLANK(fixtures!$L85),"",":")</f>
        <v>:</v>
      </c>
      <c r="DA13" s="327">
        <f>IF(ISBLANK(fixtures!$K85),"",fixtures!$K85)</f>
        <v>3</v>
      </c>
      <c r="DB13" s="178" t="str">
        <f>IF(ISBLANK(fixtures!$L85),"",IF(CY13&gt;DA13,"W",IF(CY13=DA13,"D","L")))</f>
        <v>L</v>
      </c>
      <c r="DC13" s="178"/>
      <c r="DD13" s="178"/>
      <c r="DE13" s="334">
        <v>16</v>
      </c>
      <c r="DF13" s="177" t="s">
        <v>105</v>
      </c>
      <c r="DG13" s="336">
        <f ca="1">IFERROR(INDIRECT("fixtures!" &amp; Dashboard!J1 &amp;95) - Dashboard!K1/24,"TBC")</f>
        <v>44850.666666666664</v>
      </c>
      <c r="DH13" s="177"/>
      <c r="DI13" s="177" t="s">
        <v>1</v>
      </c>
      <c r="DJ13" s="177" t="s">
        <v>108</v>
      </c>
      <c r="DK13" s="334">
        <f>IF(ISBLANK(fixtures!$K95),"",fixtures!$K95)</f>
        <v>0</v>
      </c>
      <c r="DL13" s="177" t="str">
        <f>IF(ISBLANK(fixtures!$L95),"",":")</f>
        <v>:</v>
      </c>
      <c r="DM13" s="335">
        <f>IF(ISBLANK(fixtures!$L95),"",fixtures!$L95)</f>
        <v>1</v>
      </c>
      <c r="DN13" s="177" t="str">
        <f>IF(ISBLANK(fixtures!$L95),"",IF(DK13&gt;DM13,"W",IF(DK13=DM13,"D","L")))</f>
        <v>L</v>
      </c>
      <c r="DO13" s="177"/>
      <c r="DP13" s="177"/>
      <c r="DQ13" s="341">
        <v>8</v>
      </c>
      <c r="DR13" s="21" t="s">
        <v>107</v>
      </c>
      <c r="DS13" s="343">
        <f ca="1">IFERROR(INDIRECT("fixtures!" &amp; Dashboard!J1 &amp;79) - Dashboard!K1/24,"TBC")</f>
        <v>44842.708333333336</v>
      </c>
      <c r="DT13" s="21"/>
      <c r="DU13" s="21" t="s">
        <v>3</v>
      </c>
      <c r="DV13" s="21" t="s">
        <v>106</v>
      </c>
      <c r="DW13" s="341">
        <f>IF(ISBLANK(fixtures!$L79),"",fixtures!$L79)</f>
        <v>1</v>
      </c>
      <c r="DX13" s="21" t="str">
        <f>IF(ISBLANK(fixtures!$L79),"",":")</f>
        <v>:</v>
      </c>
      <c r="DY13" s="342">
        <f>IF(ISBLANK(fixtures!$K79),"",fixtures!$K79)</f>
        <v>2</v>
      </c>
      <c r="DZ13" s="21" t="str">
        <f>IF(ISBLANK(fixtures!$L79),"",IF(DW13&gt;DY13,"W",IF(DW13=DY13,"D","L")))</f>
        <v>L</v>
      </c>
      <c r="EA13" s="21"/>
      <c r="EB13" s="21"/>
      <c r="EC13" s="270">
        <v>16</v>
      </c>
      <c r="ED13" s="23" t="s">
        <v>105</v>
      </c>
      <c r="EE13" s="349">
        <f ca="1">IFERROR(INDIRECT("fixtures!" &amp; Dashboard!J1 &amp;98) - Dashboard!K1/24,"TBC")</f>
        <v>44850.770833333336</v>
      </c>
      <c r="EF13" s="23"/>
      <c r="EG13" s="23" t="s">
        <v>10</v>
      </c>
      <c r="EH13" s="23" t="s">
        <v>108</v>
      </c>
      <c r="EI13" s="270">
        <f>IF(ISBLANK(fixtures!$K98),"",fixtures!$K98)</f>
        <v>1</v>
      </c>
      <c r="EJ13" s="23" t="str">
        <f>IF(ISBLANK(fixtures!$L98),"",":")</f>
        <v>:</v>
      </c>
      <c r="EK13" s="272">
        <f>IF(ISBLANK(fixtures!$L98),"",fixtures!$L98)</f>
        <v>0</v>
      </c>
      <c r="EL13" s="23" t="str">
        <f>IF(ISBLANK(fixtures!$L98),"",IF(EI13&gt;EK13,"W",IF(EI13=EK13,"D","L")))</f>
        <v>W</v>
      </c>
      <c r="EM13" s="23"/>
      <c r="EN13" s="23"/>
      <c r="EO13" s="105">
        <v>8</v>
      </c>
      <c r="EP13" s="25" t="s">
        <v>107</v>
      </c>
      <c r="EQ13" s="355">
        <f ca="1">IFERROR(INDIRECT("fixtures!" &amp; Dashboard!J1 &amp;81) - Dashboard!K1/24,"TBC")</f>
        <v>44842.708333333336</v>
      </c>
      <c r="ER13" s="25"/>
      <c r="ES13" s="25" t="s">
        <v>13</v>
      </c>
      <c r="ET13" s="25" t="s">
        <v>108</v>
      </c>
      <c r="EU13" s="105">
        <f>IF(ISBLANK(fixtures!$K81),"",fixtures!$K81)</f>
        <v>4</v>
      </c>
      <c r="EV13" s="25" t="str">
        <f>IF(ISBLANK(fixtures!$L81),"",":")</f>
        <v>:</v>
      </c>
      <c r="EW13" s="107">
        <f>IF(ISBLANK(fixtures!$L81),"",fixtures!$L81)</f>
        <v>0</v>
      </c>
      <c r="EX13" s="25" t="str">
        <f>IF(ISBLANK(fixtures!$L81),"",IF(EU13&gt;EW13,"W",IF(EU13=EW13,"D","L")))</f>
        <v>W</v>
      </c>
      <c r="EY13" s="25"/>
      <c r="EZ13" s="25"/>
      <c r="FA13" s="361">
        <v>16</v>
      </c>
      <c r="FB13" s="27" t="s">
        <v>105</v>
      </c>
      <c r="FC13" s="363">
        <f ca="1">IFERROR(INDIRECT("fixtures!" &amp; Dashboard!J1 &amp;96) - Dashboard!K1/24,"TBC")</f>
        <v>44850.666666666664</v>
      </c>
      <c r="FD13" s="27"/>
      <c r="FE13" s="27" t="s">
        <v>12</v>
      </c>
      <c r="FF13" s="27" t="s">
        <v>108</v>
      </c>
      <c r="FG13" s="361">
        <f>IF(ISBLANK(fixtures!$K96),"",fixtures!$K96)</f>
        <v>0</v>
      </c>
      <c r="FH13" s="27" t="str">
        <f>IF(ISBLANK(fixtures!$L96),"",":")</f>
        <v>:</v>
      </c>
      <c r="FI13" s="362">
        <f>IF(ISBLANK(fixtures!$L96),"",fixtures!$L96)</f>
        <v>0</v>
      </c>
      <c r="FJ13" s="27" t="str">
        <f>IF(ISBLANK(fixtures!$L96),"",IF(FG13&gt;FI13,"W",IF(FG13=FI13,"D","L")))</f>
        <v>D</v>
      </c>
      <c r="FK13" s="27"/>
      <c r="FL13" s="27"/>
      <c r="FM13" s="110">
        <v>8</v>
      </c>
      <c r="FN13" s="29" t="s">
        <v>107</v>
      </c>
      <c r="FO13" s="369">
        <f ca="1">IFERROR(INDIRECT("fixtures!" &amp; Dashboard!J1 &amp;82) - Dashboard!K1/24,"TBC")</f>
        <v>44842.708333333336</v>
      </c>
      <c r="FP13" s="29"/>
      <c r="FQ13" s="29" t="s">
        <v>125</v>
      </c>
      <c r="FR13" s="29" t="s">
        <v>108</v>
      </c>
      <c r="FS13" s="110">
        <f>IF(ISBLANK(fixtures!$K82),"",fixtures!$K82)</f>
        <v>5</v>
      </c>
      <c r="FT13" s="29" t="str">
        <f>IF(ISBLANK(fixtures!$L82),"",":")</f>
        <v>:</v>
      </c>
      <c r="FU13" s="112">
        <f>IF(ISBLANK(fixtures!$L82),"",fixtures!$L82)</f>
        <v>1</v>
      </c>
      <c r="FV13" s="29" t="str">
        <f>IF(ISBLANK(fixtures!$L82),"",IF(FS13&gt;FU13,"W",IF(FS13=FU13,"D","L")))</f>
        <v>W</v>
      </c>
      <c r="FW13" s="29"/>
      <c r="FX13" s="29"/>
      <c r="FY13" s="375">
        <v>10</v>
      </c>
      <c r="FZ13" s="264" t="s">
        <v>109</v>
      </c>
      <c r="GA13" s="377">
        <f ca="1">IFERROR(INDIRECT("fixtures!" &amp; Dashboard!J1 &amp;88) - Dashboard!K1/24,"TBC")</f>
        <v>44844.916666666664</v>
      </c>
      <c r="GB13" s="264"/>
      <c r="GC13" s="264" t="s">
        <v>2</v>
      </c>
      <c r="GD13" s="264" t="s">
        <v>108</v>
      </c>
      <c r="GE13" s="375">
        <f>IF(ISBLANK(fixtures!$K88),"",fixtures!$K88)</f>
        <v>1</v>
      </c>
      <c r="GF13" s="264" t="str">
        <f>IF(ISBLANK(fixtures!$L88),"",":")</f>
        <v>:</v>
      </c>
      <c r="GG13" s="376">
        <f>IF(ISBLANK(fixtures!$L88),"",fixtures!$L88)</f>
        <v>1</v>
      </c>
      <c r="GH13" s="264" t="str">
        <f>IF(ISBLANK(fixtures!$L88),"",IF(GE13&gt;GG13,"W",IF(GE13=GG13,"D","L")))</f>
        <v>D</v>
      </c>
      <c r="GI13" s="264"/>
      <c r="GJ13" s="264"/>
      <c r="GK13" s="382">
        <v>8</v>
      </c>
      <c r="GL13" s="30" t="s">
        <v>107</v>
      </c>
      <c r="GM13" s="384">
        <f ca="1">IFERROR(INDIRECT("fixtures!" &amp; Dashboard!J1 &amp;81) - Dashboard!K1/24,"TBC")</f>
        <v>44842.708333333336</v>
      </c>
      <c r="GN13" s="30"/>
      <c r="GO13" s="30" t="s">
        <v>10</v>
      </c>
      <c r="GP13" s="30" t="s">
        <v>106</v>
      </c>
      <c r="GQ13" s="382">
        <f>IF(ISBLANK(fixtures!$L81),"",fixtures!$L81)</f>
        <v>0</v>
      </c>
      <c r="GR13" s="30" t="str">
        <f>IF(ISBLANK(fixtures!$L81),"",":")</f>
        <v>:</v>
      </c>
      <c r="GS13" s="383">
        <f>IF(ISBLANK(fixtures!$K81),"",fixtures!$K81)</f>
        <v>4</v>
      </c>
      <c r="GT13" s="30" t="str">
        <f>IF(ISBLANK(fixtures!$L81),"",IF(GQ13&gt;GS13,"W",IF(GQ13=GS13,"D","L")))</f>
        <v>L</v>
      </c>
      <c r="GU13" s="30"/>
      <c r="GV13" s="30"/>
      <c r="GW13" s="115">
        <v>8</v>
      </c>
      <c r="GX13" s="32" t="s">
        <v>107</v>
      </c>
      <c r="GY13" s="390">
        <f ca="1">IFERROR(INDIRECT("fixtures!" &amp; Dashboard!J1 &amp;83) - Dashboard!K1/24,"TBC")</f>
        <v>44842.8125</v>
      </c>
      <c r="GZ13" s="32"/>
      <c r="HA13" s="32" t="s">
        <v>4</v>
      </c>
      <c r="HB13" s="32" t="s">
        <v>106</v>
      </c>
      <c r="HC13" s="115">
        <f>IF(ISBLANK(fixtures!$L83),"",fixtures!$L83)</f>
        <v>1</v>
      </c>
      <c r="HD13" s="32" t="str">
        <f>IF(ISBLANK(fixtures!$L83),"",":")</f>
        <v>:</v>
      </c>
      <c r="HE13" s="117">
        <f>IF(ISBLANK(fixtures!$K83),"",fixtures!$K83)</f>
        <v>0</v>
      </c>
      <c r="HF13" s="32" t="str">
        <f>IF(ISBLANK(fixtures!$L83),"",IF(HC13&gt;HE13,"W",IF(HC13=HE13,"D","L")))</f>
        <v>W</v>
      </c>
      <c r="HG13" s="32"/>
      <c r="HH13" s="32"/>
      <c r="HI13" s="120">
        <v>9</v>
      </c>
      <c r="HJ13" s="34" t="s">
        <v>105</v>
      </c>
      <c r="HK13" s="396">
        <f ca="1">IFERROR(INDIRECT("fixtures!" &amp; Dashboard!J1 &amp;85) - Dashboard!K1/24,"TBC")</f>
        <v>44843.666666666664</v>
      </c>
      <c r="HL13" s="34"/>
      <c r="HM13" s="34" t="s">
        <v>126</v>
      </c>
      <c r="HN13" s="34" t="s">
        <v>108</v>
      </c>
      <c r="HO13" s="120">
        <f>IF(ISBLANK(fixtures!$K85),"",fixtures!$K85)</f>
        <v>3</v>
      </c>
      <c r="HP13" s="34" t="str">
        <f>IF(ISBLANK(fixtures!$L85),"",":")</f>
        <v>:</v>
      </c>
      <c r="HQ13" s="122">
        <f>IF(ISBLANK(fixtures!$L85),"",fixtures!$L85)</f>
        <v>1</v>
      </c>
      <c r="HR13" s="34" t="str">
        <f>IF(ISBLANK(fixtures!$L85),"",IF(HO13&gt;HQ13,"W",IF(HO13=HQ13,"D","L")))</f>
        <v>W</v>
      </c>
      <c r="HS13" s="34"/>
      <c r="HT13" s="34"/>
      <c r="HU13" s="125">
        <v>8</v>
      </c>
      <c r="HV13" s="36" t="s">
        <v>107</v>
      </c>
      <c r="HW13" s="402">
        <f ca="1">IFERROR(INDIRECT("fixtures!" &amp; Dashboard!J1 &amp;80) - Dashboard!K1/24,"TBC")</f>
        <v>44842.708333333336</v>
      </c>
      <c r="HX13" s="36"/>
      <c r="HY13" s="36" t="s">
        <v>5</v>
      </c>
      <c r="HZ13" s="36" t="s">
        <v>106</v>
      </c>
      <c r="IA13" s="125">
        <f>IF(ISBLANK(fixtures!$L80),"",fixtures!$L80)</f>
        <v>0</v>
      </c>
      <c r="IB13" s="36" t="str">
        <f>IF(ISBLANK(fixtures!$L80),"",":")</f>
        <v>:</v>
      </c>
      <c r="IC13" s="127">
        <f>IF(ISBLANK(fixtures!$K80),"",fixtures!$K80)</f>
        <v>3</v>
      </c>
      <c r="ID13" s="36" t="str">
        <f>IF(ISBLANK(fixtures!$L80),"",IF(IA13&gt;IC13,"W",IF(IA13=IC13,"D","L")))</f>
        <v>L</v>
      </c>
      <c r="IE13" s="36"/>
      <c r="IF13" s="36"/>
    </row>
    <row r="14" spans="1:243" x14ac:dyDescent="0.4">
      <c r="A14" s="91">
        <v>16</v>
      </c>
      <c r="B14" s="6" t="s">
        <v>105</v>
      </c>
      <c r="C14" s="277">
        <f ca="1">IFERROR(INDIRECT("fixtures!" &amp; Dashboard!J1 &amp;95) - Dashboard!K1/24,"TBC")</f>
        <v>44850.666666666664</v>
      </c>
      <c r="D14" s="6"/>
      <c r="E14" s="489" t="s">
        <v>139</v>
      </c>
      <c r="F14" s="6" t="s">
        <v>106</v>
      </c>
      <c r="G14" s="91">
        <f>IF(ISBLANK(fixtures!$L95),"",fixtures!$L95)</f>
        <v>1</v>
      </c>
      <c r="H14" s="6" t="str">
        <f>IF(ISBLANK(fixtures!$L95),"",":")</f>
        <v>:</v>
      </c>
      <c r="I14" s="93">
        <f>IF(ISBLANK(fixtures!$K95),"",fixtures!$K95)</f>
        <v>0</v>
      </c>
      <c r="J14" s="6" t="str">
        <f>IF(ISBLANK(fixtures!$L95),"",IF(G14&gt;I14,"W",IF(G14=I14,"D","L")))</f>
        <v>W</v>
      </c>
      <c r="K14" s="6"/>
      <c r="L14" s="6"/>
      <c r="M14" s="282">
        <v>16</v>
      </c>
      <c r="N14" s="9" t="s">
        <v>105</v>
      </c>
      <c r="O14" s="284">
        <f ca="1">IFERROR(INDIRECT("fixtures!" &amp; Dashboard!J1 &amp;94) - Dashboard!K1/24,"TBC")</f>
        <v>44850.666666666664</v>
      </c>
      <c r="P14" s="9"/>
      <c r="Q14" s="9" t="s">
        <v>5</v>
      </c>
      <c r="R14" s="9" t="s">
        <v>108</v>
      </c>
      <c r="S14" s="282">
        <f>IF(ISBLANK(fixtures!$K94),"",fixtures!$K94)</f>
        <v>0</v>
      </c>
      <c r="T14" s="9" t="str">
        <f>IF(ISBLANK(fixtures!$L94),"",":")</f>
        <v>:</v>
      </c>
      <c r="U14" s="283">
        <f>IF(ISBLANK(fixtures!$L94),"",fixtures!$L94)</f>
        <v>2</v>
      </c>
      <c r="V14" s="9" t="str">
        <f>IF(ISBLANK(fixtures!$L94),"",IF(S14&gt;U14,"W",IF(S14=U14,"D","L")))</f>
        <v>L</v>
      </c>
      <c r="W14" s="9"/>
      <c r="X14" s="9"/>
      <c r="Y14" s="290">
        <v>15</v>
      </c>
      <c r="Z14" s="262" t="s">
        <v>107</v>
      </c>
      <c r="AA14" s="291">
        <f ca="1">IFERROR(INDIRECT("fixtures!" &amp; Dashboard!J1 &amp;91) - Dashboard!K1/24,"TBC")</f>
        <v>44849.708333333336</v>
      </c>
      <c r="AB14" s="262"/>
      <c r="AC14" s="262" t="s">
        <v>126</v>
      </c>
      <c r="AD14" s="262" t="s">
        <v>106</v>
      </c>
      <c r="AE14" s="290">
        <f>IF(ISBLANK(fixtures!$L91),"",fixtures!$L91)</f>
        <v>2</v>
      </c>
      <c r="AF14" s="262" t="str">
        <f>IF(ISBLANK(fixtures!$L91),"",":")</f>
        <v>:</v>
      </c>
      <c r="AG14" s="292">
        <f>IF(ISBLANK(fixtures!$K91),"",fixtures!$K91)</f>
        <v>2</v>
      </c>
      <c r="AH14" s="262" t="str">
        <f>IF(ISBLANK(fixtures!$L91),"",IF(AE14&gt;AG14,"W",IF(AE14=AG14,"D","L")))</f>
        <v>D</v>
      </c>
      <c r="AI14" s="262"/>
      <c r="AJ14" s="262"/>
      <c r="AK14" s="411">
        <v>14</v>
      </c>
      <c r="AL14" s="410" t="s">
        <v>146</v>
      </c>
      <c r="AM14" s="413">
        <f ca="1">IFERROR(INDIRECT("fixtures!" &amp; Dashboard!J1 &amp;89) - Dashboard!K1/24,"TBC")</f>
        <v>44848.916666666664</v>
      </c>
      <c r="AN14" s="410"/>
      <c r="AO14" s="410" t="s">
        <v>4</v>
      </c>
      <c r="AP14" s="410" t="s">
        <v>108</v>
      </c>
      <c r="AQ14" s="411">
        <f>IF(ISBLANK(fixtures!$K89),"",fixtures!$K89)</f>
        <v>2</v>
      </c>
      <c r="AR14" s="410" t="str">
        <f>IF(ISBLANK(fixtures!$L89),"",":")</f>
        <v>:</v>
      </c>
      <c r="AS14" s="412">
        <f>IF(ISBLANK(fixtures!$L89),"",fixtures!$L89)</f>
        <v>0</v>
      </c>
      <c r="AT14" s="410" t="str">
        <f>IF(ISBLANK(fixtures!$L89),"",IF(AQ14&gt;AS14,"W",IF(AQ14=AS14,"D","L")))</f>
        <v>W</v>
      </c>
      <c r="AU14" s="410"/>
      <c r="AV14" s="410"/>
      <c r="AW14" s="96">
        <v>18</v>
      </c>
      <c r="AX14" s="11" t="s">
        <v>111</v>
      </c>
      <c r="AY14" s="298">
        <f ca="1">IFERROR(INDIRECT("fixtures!" &amp; Dashboard!J1 &amp;99) - Dashboard!K1/24,"TBC")</f>
        <v>44852.895833333336</v>
      </c>
      <c r="AZ14" s="11"/>
      <c r="BA14" s="11" t="s">
        <v>204</v>
      </c>
      <c r="BB14" s="11" t="s">
        <v>108</v>
      </c>
      <c r="BC14" s="96">
        <f>IF(ISBLANK(fixtures!$K99),"",fixtures!$K99)</f>
        <v>0</v>
      </c>
      <c r="BD14" s="11" t="str">
        <f>IF(ISBLANK(fixtures!$L99),"",":")</f>
        <v>:</v>
      </c>
      <c r="BE14" s="98">
        <f>IF(ISBLANK(fixtures!$L99),"",fixtures!$L99)</f>
        <v>0</v>
      </c>
      <c r="BF14" s="11" t="str">
        <f>IF(ISBLANK(fixtures!$L99),"",IF(BC14&gt;BE14,"W",IF(BC14=BE14,"D","L")))</f>
        <v>D</v>
      </c>
      <c r="BG14" s="11"/>
      <c r="BH14" s="11"/>
      <c r="BI14" s="181">
        <v>19</v>
      </c>
      <c r="BJ14" s="15" t="s">
        <v>110</v>
      </c>
      <c r="BK14" s="304">
        <f ca="1">IFERROR(INDIRECT("fixtures!" &amp; Dashboard!J1 &amp;102) - Dashboard!K1/24,"TBC")</f>
        <v>44853.895833333336</v>
      </c>
      <c r="BL14" s="15"/>
      <c r="BM14" s="15" t="s">
        <v>125</v>
      </c>
      <c r="BN14" s="15" t="s">
        <v>106</v>
      </c>
      <c r="BO14" s="181">
        <f>IF(ISBLANK(fixtures!$L102),"",fixtures!$L102)</f>
        <v>0</v>
      </c>
      <c r="BP14" s="15" t="str">
        <f>IF(ISBLANK(fixtures!$L102),"",":")</f>
        <v>:</v>
      </c>
      <c r="BQ14" s="183">
        <f>IF(ISBLANK(fixtures!$K102),"",fixtures!$K102)</f>
        <v>0</v>
      </c>
      <c r="BR14" s="15" t="str">
        <f>IF(ISBLANK(fixtures!$L102),"",IF(BO14&gt;BQ14,"W",IF(BO14=BQ14,"D","L")))</f>
        <v>D</v>
      </c>
      <c r="BS14" s="15"/>
      <c r="BT14" s="15"/>
      <c r="BU14" s="310">
        <v>18</v>
      </c>
      <c r="BV14" s="16" t="s">
        <v>111</v>
      </c>
      <c r="BW14" s="312">
        <f ca="1">IFERROR(INDIRECT("fixtures!" &amp; Dashboard!J1 &amp;100) - Dashboard!K1/24,"TBC")</f>
        <v>44852.927083333336</v>
      </c>
      <c r="BX14" s="16"/>
      <c r="BY14" s="16" t="s">
        <v>16</v>
      </c>
      <c r="BZ14" s="16" t="s">
        <v>108</v>
      </c>
      <c r="CA14" s="310">
        <f>IF(ISBLANK(fixtures!$K100),"",fixtures!$K100)</f>
        <v>2</v>
      </c>
      <c r="CB14" s="16" t="str">
        <f>IF(ISBLANK(fixtures!$L100),"",":")</f>
        <v>:</v>
      </c>
      <c r="CC14" s="311">
        <f>IF(ISBLANK(fixtures!$L100),"",fixtures!$L100)</f>
        <v>1</v>
      </c>
      <c r="CD14" s="16" t="str">
        <f>IF(ISBLANK(fixtures!$L100),"",IF(CA14&gt;CC14,"W",IF(CA14=CC14,"D","L")))</f>
        <v>W</v>
      </c>
      <c r="CE14" s="16"/>
      <c r="CF14" s="16"/>
      <c r="CG14" s="318">
        <v>15</v>
      </c>
      <c r="CH14" s="19" t="s">
        <v>107</v>
      </c>
      <c r="CI14" s="320">
        <f ca="1">IFERROR(INDIRECT("fixtures!" &amp; Dashboard!J1 &amp;93) - Dashboard!K1/24,"TBC")</f>
        <v>44849.8125</v>
      </c>
      <c r="CJ14" s="19"/>
      <c r="CK14" s="19" t="s">
        <v>14</v>
      </c>
      <c r="CL14" s="19" t="s">
        <v>106</v>
      </c>
      <c r="CM14" s="318">
        <f>IF(ISBLANK(fixtures!$L93),"",fixtures!$L93)</f>
        <v>0</v>
      </c>
      <c r="CN14" s="19" t="str">
        <f>IF(ISBLANK(fixtures!$L93),"",":")</f>
        <v>:</v>
      </c>
      <c r="CO14" s="319">
        <f>IF(ISBLANK(fixtures!$K93),"",fixtures!$K93)</f>
        <v>2</v>
      </c>
      <c r="CP14" s="19" t="str">
        <f>IF(ISBLANK(fixtures!$L93),"",IF(CM14&gt;CO14,"W",IF(CM14=CO14,"D","L")))</f>
        <v>L</v>
      </c>
      <c r="CQ14" s="19"/>
      <c r="CR14" s="19"/>
      <c r="CS14" s="326">
        <v>15</v>
      </c>
      <c r="CT14" s="178" t="s">
        <v>107</v>
      </c>
      <c r="CU14" s="328">
        <f ca="1">IFERROR(INDIRECT("fixtures!" &amp; Dashboard!J1 &amp;91) - Dashboard!K1/24,"TBC")</f>
        <v>44849.708333333336</v>
      </c>
      <c r="CV14" s="178"/>
      <c r="CW14" s="178" t="s">
        <v>3</v>
      </c>
      <c r="CX14" s="178" t="s">
        <v>108</v>
      </c>
      <c r="CY14" s="326">
        <f>IF(ISBLANK(fixtures!$K91),"",fixtures!$K91)</f>
        <v>2</v>
      </c>
      <c r="CZ14" s="178" t="str">
        <f>IF(ISBLANK(fixtures!$L91),"",":")</f>
        <v>:</v>
      </c>
      <c r="DA14" s="327">
        <f>IF(ISBLANK(fixtures!$L91),"",fixtures!$L91)</f>
        <v>2</v>
      </c>
      <c r="DB14" s="178" t="str">
        <f>IF(ISBLANK(fixtures!$L91),"",IF(CY14&gt;DA14,"W",IF(CY14=DA14,"D","L")))</f>
        <v>D</v>
      </c>
      <c r="DC14" s="178"/>
      <c r="DD14" s="178"/>
      <c r="DE14" s="334">
        <v>20</v>
      </c>
      <c r="DF14" s="177" t="s">
        <v>582</v>
      </c>
      <c r="DG14" s="336">
        <f ca="1">IFERROR(INDIRECT("fixtures!" &amp; Dashboard!J1 &amp;107) - Dashboard!K1/24,"TBC")</f>
        <v>44854.927083333336</v>
      </c>
      <c r="DH14" s="177"/>
      <c r="DI14" s="177" t="s">
        <v>8</v>
      </c>
      <c r="DJ14" s="177" t="s">
        <v>106</v>
      </c>
      <c r="DK14" s="334">
        <f>IF(ISBLANK(fixtures!$L107),"",fixtures!$L107)</f>
        <v>0</v>
      </c>
      <c r="DL14" s="177" t="str">
        <f>IF(ISBLANK(fixtures!$L107),"",":")</f>
        <v>:</v>
      </c>
      <c r="DM14" s="335">
        <f>IF(ISBLANK(fixtures!$K107),"",fixtures!$K107)</f>
        <v>2</v>
      </c>
      <c r="DN14" s="177" t="str">
        <f>IF(ISBLANK(fixtures!$L107),"",IF(DK14&gt;DM14,"W",IF(DK14=DM14,"D","L")))</f>
        <v>L</v>
      </c>
      <c r="DO14" s="177"/>
      <c r="DP14" s="177"/>
      <c r="DQ14" s="341">
        <v>15</v>
      </c>
      <c r="DR14" s="21" t="s">
        <v>107</v>
      </c>
      <c r="DS14" s="343">
        <f ca="1">IFERROR(INDIRECT("fixtures!" &amp; Dashboard!J1 &amp;90) - Dashboard!K1/24,"TBC")</f>
        <v>44849.604166666664</v>
      </c>
      <c r="DT14" s="21"/>
      <c r="DU14" s="21" t="s">
        <v>6</v>
      </c>
      <c r="DV14" s="21" t="s">
        <v>108</v>
      </c>
      <c r="DW14" s="341">
        <f>IF(ISBLANK(fixtures!$K90),"",fixtures!$K90)</f>
        <v>0</v>
      </c>
      <c r="DX14" s="21" t="str">
        <f>IF(ISBLANK(fixtures!$L90),"",":")</f>
        <v>:</v>
      </c>
      <c r="DY14" s="342">
        <f>IF(ISBLANK(fixtures!$L90),"",fixtures!$L90)</f>
        <v>0</v>
      </c>
      <c r="DZ14" s="21" t="str">
        <f>IF(ISBLANK(fixtures!$L90),"",IF(DW14&gt;DY14,"W",IF(DW14=DY14,"D","L")))</f>
        <v>D</v>
      </c>
      <c r="EA14" s="21"/>
      <c r="EB14" s="21"/>
      <c r="EC14" s="270">
        <v>19</v>
      </c>
      <c r="ED14" s="23" t="s">
        <v>110</v>
      </c>
      <c r="EE14" s="349">
        <f ca="1">IFERROR(INDIRECT("fixtures!" &amp; Dashboard!J1 &amp;103) - Dashboard!K1/24,"TBC")</f>
        <v>44853.895833333336</v>
      </c>
      <c r="EF14" s="23"/>
      <c r="EG14" s="23" t="s">
        <v>15</v>
      </c>
      <c r="EH14" s="23" t="s">
        <v>108</v>
      </c>
      <c r="EI14" s="270">
        <f>IF(ISBLANK(fixtures!$K103),"",fixtures!$K103)</f>
        <v>1</v>
      </c>
      <c r="EJ14" s="23" t="str">
        <f>IF(ISBLANK(fixtures!$L103),"",":")</f>
        <v>:</v>
      </c>
      <c r="EK14" s="272">
        <f>IF(ISBLANK(fixtures!$L103),"",fixtures!$L103)</f>
        <v>0</v>
      </c>
      <c r="EL14" s="23" t="str">
        <f>IF(ISBLANK(fixtures!$L103),"",IF(EI14&gt;EK14,"W",IF(EI14=EK14,"D","L")))</f>
        <v>W</v>
      </c>
      <c r="EM14" s="23"/>
      <c r="EN14" s="23"/>
      <c r="EO14" s="105">
        <v>16</v>
      </c>
      <c r="EP14" s="25" t="s">
        <v>105</v>
      </c>
      <c r="EQ14" s="355">
        <f ca="1">IFERROR(INDIRECT("fixtures!" &amp; Dashboard!J1 &amp;98) - Dashboard!K1/24,"TBC")</f>
        <v>44850.770833333336</v>
      </c>
      <c r="ER14" s="25"/>
      <c r="ES14" s="25" t="s">
        <v>9</v>
      </c>
      <c r="ET14" s="25" t="s">
        <v>106</v>
      </c>
      <c r="EU14" s="105">
        <f>IF(ISBLANK(fixtures!$L98),"",fixtures!$L98)</f>
        <v>0</v>
      </c>
      <c r="EV14" s="25" t="str">
        <f>IF(ISBLANK(fixtures!$L98),"",":")</f>
        <v>:</v>
      </c>
      <c r="EW14" s="107">
        <f>IF(ISBLANK(fixtures!$K98),"",fixtures!$K98)</f>
        <v>1</v>
      </c>
      <c r="EX14" s="25" t="str">
        <f>IF(ISBLANK(fixtures!$L98),"",IF(EU14&gt;EW14,"W",IF(EU14=EW14,"D","L")))</f>
        <v>L</v>
      </c>
      <c r="EY14" s="25"/>
      <c r="EZ14" s="25"/>
      <c r="FA14" s="361">
        <v>19</v>
      </c>
      <c r="FB14" s="27" t="s">
        <v>110</v>
      </c>
      <c r="FC14" s="363">
        <f ca="1">IFERROR(INDIRECT("fixtures!" &amp; Dashboard!J1 &amp;105) - Dashboard!K1/24,"TBC")</f>
        <v>44853.927083333336</v>
      </c>
      <c r="FD14" s="27"/>
      <c r="FE14" s="27" t="s">
        <v>14</v>
      </c>
      <c r="FF14" s="27" t="s">
        <v>108</v>
      </c>
      <c r="FG14" s="361">
        <f>IF(ISBLANK(fixtures!$K105),"",fixtures!$K105)</f>
        <v>2</v>
      </c>
      <c r="FH14" s="27" t="str">
        <f>IF(ISBLANK(fixtures!$L105),"",":")</f>
        <v>:</v>
      </c>
      <c r="FI14" s="362">
        <f>IF(ISBLANK(fixtures!$L105),"",fixtures!$L105)</f>
        <v>0</v>
      </c>
      <c r="FJ14" s="27" t="str">
        <f>IF(ISBLANK(fixtures!$L105),"",IF(FG14&gt;FI14,"W",IF(FG14=FI14,"D","L")))</f>
        <v>W</v>
      </c>
      <c r="FK14" s="27"/>
      <c r="FL14" s="27"/>
      <c r="FM14" s="110">
        <v>16</v>
      </c>
      <c r="FN14" s="29" t="s">
        <v>105</v>
      </c>
      <c r="FO14" s="369">
        <f ca="1">IFERROR(INDIRECT("fixtures!" &amp; Dashboard!J1 &amp;96) - Dashboard!K1/24,"TBC")</f>
        <v>44850.666666666664</v>
      </c>
      <c r="FP14" s="29"/>
      <c r="FQ14" s="29" t="s">
        <v>11</v>
      </c>
      <c r="FR14" s="29" t="s">
        <v>106</v>
      </c>
      <c r="FS14" s="110">
        <f>IF(ISBLANK(fixtures!$L96),"",fixtures!$L96)</f>
        <v>0</v>
      </c>
      <c r="FT14" s="29" t="str">
        <f>IF(ISBLANK(fixtures!$L96),"",":")</f>
        <v>:</v>
      </c>
      <c r="FU14" s="112">
        <f>IF(ISBLANK(fixtures!$K96),"",fixtures!$K96)</f>
        <v>0</v>
      </c>
      <c r="FV14" s="29" t="str">
        <f>IF(ISBLANK(fixtures!$L96),"",IF(FS14&gt;FU14,"W",IF(FS14=FU14,"D","L")))</f>
        <v>D</v>
      </c>
      <c r="FW14" s="29"/>
      <c r="FX14" s="29"/>
      <c r="FY14" s="375">
        <v>15</v>
      </c>
      <c r="FZ14" s="264" t="s">
        <v>107</v>
      </c>
      <c r="GA14" s="377">
        <f ca="1">IFERROR(INDIRECT("fixtures!" &amp; Dashboard!J1 &amp;92) - Dashboard!K1/24,"TBC")</f>
        <v>44849.708333333336</v>
      </c>
      <c r="GB14" s="264"/>
      <c r="GC14" s="264" t="s">
        <v>16</v>
      </c>
      <c r="GD14" s="264" t="s">
        <v>106</v>
      </c>
      <c r="GE14" s="375">
        <f>IF(ISBLANK(fixtures!$L92),"",fixtures!$L92)</f>
        <v>0</v>
      </c>
      <c r="GF14" s="264" t="str">
        <f>IF(ISBLANK(fixtures!$L92),"",":")</f>
        <v>:</v>
      </c>
      <c r="GG14" s="376">
        <f>IF(ISBLANK(fixtures!$K92),"",fixtures!$K92)</f>
        <v>1</v>
      </c>
      <c r="GH14" s="264" t="str">
        <f>IF(ISBLANK(fixtures!$L92),"",IF(GE14&gt;GG14,"W",IF(GE14=GG14,"D","L")))</f>
        <v>L</v>
      </c>
      <c r="GI14" s="264"/>
      <c r="GJ14" s="264"/>
      <c r="GK14" s="382">
        <v>16</v>
      </c>
      <c r="GL14" s="30" t="s">
        <v>105</v>
      </c>
      <c r="GM14" s="384">
        <f ca="1">IFERROR(INDIRECT("fixtures!" &amp; Dashboard!J1 &amp;97) - Dashboard!K1/24,"TBC")</f>
        <v>44850.666666666664</v>
      </c>
      <c r="GN14" s="30"/>
      <c r="GO14" s="30" t="s">
        <v>15</v>
      </c>
      <c r="GP14" s="30" t="s">
        <v>108</v>
      </c>
      <c r="GQ14" s="382">
        <f>IF(ISBLANK(fixtures!$K97),"",fixtures!$K97)</f>
        <v>1</v>
      </c>
      <c r="GR14" s="30" t="str">
        <f>IF(ISBLANK(fixtures!$L97),"",":")</f>
        <v>:</v>
      </c>
      <c r="GS14" s="383">
        <f>IF(ISBLANK(fixtures!$L97),"",fixtures!$L97)</f>
        <v>1</v>
      </c>
      <c r="GT14" s="30" t="str">
        <f>IF(ISBLANK(fixtures!$L97),"",IF(GQ14&gt;GS14,"W",IF(GQ14=GS14,"D","L")))</f>
        <v>D</v>
      </c>
      <c r="GU14" s="30"/>
      <c r="GV14" s="30"/>
      <c r="GW14" s="115">
        <v>15</v>
      </c>
      <c r="GX14" s="32" t="s">
        <v>107</v>
      </c>
      <c r="GY14" s="390">
        <f ca="1">IFERROR(INDIRECT("fixtures!" &amp; Dashboard!J1 &amp;93) - Dashboard!K1/24,"TBC")</f>
        <v>44849.8125</v>
      </c>
      <c r="GZ14" s="32"/>
      <c r="HA14" s="32" t="s">
        <v>7</v>
      </c>
      <c r="HB14" s="32" t="s">
        <v>108</v>
      </c>
      <c r="HC14" s="115">
        <f>IF(ISBLANK(fixtures!$K93),"",fixtures!$K93)</f>
        <v>2</v>
      </c>
      <c r="HD14" s="32" t="str">
        <f>IF(ISBLANK(fixtures!$L93),"",":")</f>
        <v>:</v>
      </c>
      <c r="HE14" s="117">
        <f>IF(ISBLANK(fixtures!$L93),"",fixtures!$L93)</f>
        <v>0</v>
      </c>
      <c r="HF14" s="32" t="str">
        <f>IF(ISBLANK(fixtures!$L93),"",IF(HC14&gt;HE14,"W",IF(HC14=HE14,"D","L")))</f>
        <v>W</v>
      </c>
      <c r="HG14" s="32"/>
      <c r="HH14" s="32"/>
      <c r="HI14" s="120">
        <v>16</v>
      </c>
      <c r="HJ14" s="34" t="s">
        <v>105</v>
      </c>
      <c r="HK14" s="396">
        <f ca="1">IFERROR(INDIRECT("fixtures!" &amp; Dashboard!J1 &amp;97) - Dashboard!K1/24,"TBC")</f>
        <v>44850.666666666664</v>
      </c>
      <c r="HL14" s="34"/>
      <c r="HM14" s="34" t="s">
        <v>13</v>
      </c>
      <c r="HN14" s="34" t="s">
        <v>106</v>
      </c>
      <c r="HO14" s="120">
        <f>IF(ISBLANK(fixtures!$L97),"",fixtures!$L97)</f>
        <v>1</v>
      </c>
      <c r="HP14" s="34" t="str">
        <f>IF(ISBLANK(fixtures!$L97),"",":")</f>
        <v>:</v>
      </c>
      <c r="HQ14" s="122">
        <f>IF(ISBLANK(fixtures!$K97),"",fixtures!$K97)</f>
        <v>1</v>
      </c>
      <c r="HR14" s="34" t="str">
        <f>IF(ISBLANK(fixtures!$L97),"",IF(HO14&gt;HQ14,"W",IF(HO14=HQ14,"D","L")))</f>
        <v>D</v>
      </c>
      <c r="HS14" s="34"/>
      <c r="HT14" s="34"/>
      <c r="HU14" s="125">
        <v>15</v>
      </c>
      <c r="HV14" s="36" t="s">
        <v>107</v>
      </c>
      <c r="HW14" s="402">
        <f ca="1">IFERROR(INDIRECT("fixtures!" &amp; Dashboard!J1 &amp;92) - Dashboard!K1/24,"TBC")</f>
        <v>44849.708333333336</v>
      </c>
      <c r="HX14" s="36"/>
      <c r="HY14" s="36" t="s">
        <v>204</v>
      </c>
      <c r="HZ14" s="36" t="s">
        <v>108</v>
      </c>
      <c r="IA14" s="125">
        <f>IF(ISBLANK(fixtures!$K92),"",fixtures!$K92)</f>
        <v>1</v>
      </c>
      <c r="IB14" s="36" t="str">
        <f>IF(ISBLANK(fixtures!$L92),"",":")</f>
        <v>:</v>
      </c>
      <c r="IC14" s="127">
        <f>IF(ISBLANK(fixtures!$L92),"",fixtures!$L92)</f>
        <v>0</v>
      </c>
      <c r="ID14" s="36" t="str">
        <f>IF(ISBLANK(fixtures!$L92),"",IF(IA14&gt;IC14,"W",IF(IA14=IC14,"D","L")))</f>
        <v>W</v>
      </c>
      <c r="IE14" s="36"/>
      <c r="IF14" s="36"/>
    </row>
    <row r="15" spans="1:243" x14ac:dyDescent="0.4">
      <c r="A15" s="91">
        <v>23</v>
      </c>
      <c r="B15" s="6" t="s">
        <v>105</v>
      </c>
      <c r="C15" s="277">
        <f ca="1">IFERROR(INDIRECT("fixtures!" &amp; Dashboard!J1 &amp;114) - Dashboard!K1/24,"TBC")</f>
        <v>44857.666666666664</v>
      </c>
      <c r="D15" s="6"/>
      <c r="E15" s="6" t="s">
        <v>13</v>
      </c>
      <c r="F15" s="6" t="s">
        <v>106</v>
      </c>
      <c r="G15" s="91">
        <f>IF(ISBLANK(fixtures!$L114),"",fixtures!$L114)</f>
        <v>1</v>
      </c>
      <c r="H15" s="6" t="str">
        <f>IF(ISBLANK(fixtures!$L114),"",":")</f>
        <v>:</v>
      </c>
      <c r="I15" s="93">
        <f>IF(ISBLANK(fixtures!$K114),"",fixtures!$K114)</f>
        <v>1</v>
      </c>
      <c r="J15" s="6" t="str">
        <f>IF(ISBLANK(fixtures!$L114),"",IF(G15&gt;I15,"W",IF(G15=I15,"D","L")))</f>
        <v>D</v>
      </c>
      <c r="K15" s="6"/>
      <c r="L15" s="6"/>
      <c r="M15" s="282">
        <v>20</v>
      </c>
      <c r="N15" s="9" t="s">
        <v>582</v>
      </c>
      <c r="O15" s="284">
        <f ca="1">IFERROR(INDIRECT("fixtures!" &amp; Dashboard!J1 &amp;106) - Dashboard!K1/24,"TBC")</f>
        <v>44854.895833333336</v>
      </c>
      <c r="P15" s="9"/>
      <c r="Q15" s="9" t="s">
        <v>126</v>
      </c>
      <c r="R15" s="9" t="s">
        <v>106</v>
      </c>
      <c r="S15" s="282">
        <f>IF(ISBLANK(fixtures!$L106),"",fixtures!$L106)</f>
        <v>0</v>
      </c>
      <c r="T15" s="9" t="str">
        <f>IF(ISBLANK(fixtures!$L106),"",":")</f>
        <v>:</v>
      </c>
      <c r="U15" s="283">
        <f>IF(ISBLANK(fixtures!$K106),"",fixtures!$K106)</f>
        <v>3</v>
      </c>
      <c r="V15" s="9" t="str">
        <f>IF(ISBLANK(fixtures!$L106),"",IF(S15&gt;U15,"W",IF(S15=U15,"D","L")))</f>
        <v>L</v>
      </c>
      <c r="W15" s="9"/>
      <c r="X15" s="9"/>
      <c r="Y15" s="290">
        <v>19</v>
      </c>
      <c r="Z15" s="262" t="s">
        <v>110</v>
      </c>
      <c r="AA15" s="291">
        <f ca="1">IFERROR(INDIRECT("fixtures!" &amp; Dashboard!J1 &amp;101) - Dashboard!K1/24,"TBC")</f>
        <v>44853.895833333336</v>
      </c>
      <c r="AB15" s="262"/>
      <c r="AC15" s="262" t="s">
        <v>13</v>
      </c>
      <c r="AD15" s="262" t="s">
        <v>108</v>
      </c>
      <c r="AE15" s="290">
        <f>IF(ISBLANK(fixtures!$K101),"",fixtures!$K101)</f>
        <v>0</v>
      </c>
      <c r="AF15" s="262" t="str">
        <f>IF(ISBLANK(fixtures!$L101),"",":")</f>
        <v>:</v>
      </c>
      <c r="AG15" s="292">
        <f>IF(ISBLANK(fixtures!$L101),"",fixtures!$L101)</f>
        <v>1</v>
      </c>
      <c r="AH15" s="262" t="str">
        <f>IF(ISBLANK(fixtures!$L101),"",IF(AE15&gt;AG15,"W",IF(AE15=AG15,"D","L")))</f>
        <v>L</v>
      </c>
      <c r="AI15" s="262"/>
      <c r="AJ15" s="262"/>
      <c r="AK15" s="411">
        <v>19</v>
      </c>
      <c r="AL15" s="410" t="s">
        <v>110</v>
      </c>
      <c r="AM15" s="413">
        <f ca="1">IFERROR(INDIRECT("fixtures!" &amp; Dashboard!J1 &amp;102) - Dashboard!K1/24,"TBC")</f>
        <v>44853.895833333336</v>
      </c>
      <c r="AN15" s="410"/>
      <c r="AO15" s="410" t="s">
        <v>5</v>
      </c>
      <c r="AP15" s="410" t="s">
        <v>108</v>
      </c>
      <c r="AQ15" s="411">
        <f>IF(ISBLANK(fixtures!$K102),"",fixtures!$K102)</f>
        <v>0</v>
      </c>
      <c r="AR15" s="410" t="str">
        <f>IF(ISBLANK(fixtures!$L102),"",":")</f>
        <v>:</v>
      </c>
      <c r="AS15" s="412">
        <f>IF(ISBLANK(fixtures!$L102),"",fixtures!$L102)</f>
        <v>0</v>
      </c>
      <c r="AT15" s="410" t="str">
        <f>IF(ISBLANK(fixtures!$L102),"",IF(AQ15&gt;AS15,"W",IF(AQ15=AS15,"D","L")))</f>
        <v>D</v>
      </c>
      <c r="AU15" s="410"/>
      <c r="AV15" s="410"/>
      <c r="AW15" s="96">
        <v>22</v>
      </c>
      <c r="AX15" s="11" t="s">
        <v>107</v>
      </c>
      <c r="AY15" s="298">
        <f ca="1">IFERROR(INDIRECT("fixtures!" &amp; Dashboard!J1 &amp;110) - Dashboard!K1/24,"TBC")</f>
        <v>44856.708333333336</v>
      </c>
      <c r="AZ15" s="11"/>
      <c r="BA15" s="11" t="s">
        <v>10</v>
      </c>
      <c r="BB15" s="11" t="s">
        <v>106</v>
      </c>
      <c r="BC15" s="96">
        <f>IF(ISBLANK(fixtures!$L110),"",fixtures!$L110)</f>
        <v>1</v>
      </c>
      <c r="BD15" s="11" t="str">
        <f>IF(ISBLANK(fixtures!$L110),"",":")</f>
        <v>:</v>
      </c>
      <c r="BE15" s="98">
        <f>IF(ISBLANK(fixtures!$K110),"",fixtures!$K110)</f>
        <v>3</v>
      </c>
      <c r="BF15" s="11" t="str">
        <f>IF(ISBLANK(fixtures!$L110),"",IF(BC15&gt;BE15,"W",IF(BC15=BE15,"D","L")))</f>
        <v>L</v>
      </c>
      <c r="BG15" s="11"/>
      <c r="BH15" s="11"/>
      <c r="BI15" s="181">
        <v>22</v>
      </c>
      <c r="BJ15" s="15" t="s">
        <v>107</v>
      </c>
      <c r="BK15" s="304">
        <f ca="1">IFERROR(INDIRECT("fixtures!" &amp; Dashboard!J1 &amp;111) - Dashboard!K1/24,"TBC")</f>
        <v>44856.8125</v>
      </c>
      <c r="BL15" s="15"/>
      <c r="BM15" s="15" t="s">
        <v>11</v>
      </c>
      <c r="BN15" s="15" t="s">
        <v>108</v>
      </c>
      <c r="BO15" s="181">
        <f>IF(ISBLANK(fixtures!$K111),"",fixtures!$K111)</f>
        <v>1</v>
      </c>
      <c r="BP15" s="15" t="str">
        <f>IF(ISBLANK(fixtures!$L111),"",":")</f>
        <v>:</v>
      </c>
      <c r="BQ15" s="183">
        <f>IF(ISBLANK(fixtures!$L111),"",fixtures!$L111)</f>
        <v>1</v>
      </c>
      <c r="BR15" s="15" t="str">
        <f>IF(ISBLANK(fixtures!$L111),"",IF(BO15&gt;BQ15,"W",IF(BO15=BQ15,"D","L")))</f>
        <v>D</v>
      </c>
      <c r="BS15" s="15"/>
      <c r="BT15" s="15"/>
      <c r="BU15" s="310">
        <v>22</v>
      </c>
      <c r="BV15" s="16" t="s">
        <v>107</v>
      </c>
      <c r="BW15" s="312">
        <f ca="1">IFERROR(INDIRECT("fixtures!" &amp; Dashboard!J1 &amp;109) - Dashboard!K1/24,"TBC")</f>
        <v>44856.708333333336</v>
      </c>
      <c r="BX15" s="16"/>
      <c r="BY15" s="16" t="s">
        <v>7</v>
      </c>
      <c r="BZ15" s="16" t="s">
        <v>106</v>
      </c>
      <c r="CA15" s="310">
        <f>IF(ISBLANK(fixtures!$L109),"",fixtures!$L109)</f>
        <v>0</v>
      </c>
      <c r="CB15" s="16" t="str">
        <f>IF(ISBLANK(fixtures!$L109),"",":")</f>
        <v>:</v>
      </c>
      <c r="CC15" s="311">
        <f>IF(ISBLANK(fixtures!$K109),"",fixtures!$K109)</f>
        <v>3</v>
      </c>
      <c r="CD15" s="16" t="str">
        <f>IF(ISBLANK(fixtures!$L109),"",IF(CA15&gt;CC15,"W",IF(CA15=CC15,"D","L")))</f>
        <v>L</v>
      </c>
      <c r="CE15" s="16"/>
      <c r="CF15" s="16"/>
      <c r="CG15" s="318">
        <v>19</v>
      </c>
      <c r="CH15" s="19" t="s">
        <v>110</v>
      </c>
      <c r="CI15" s="320">
        <f ca="1">IFERROR(INDIRECT("fixtures!" &amp; Dashboard!J1 &amp;104) - Dashboard!K1/24,"TBC")</f>
        <v>44853.895833333336</v>
      </c>
      <c r="CJ15" s="19"/>
      <c r="CK15" s="19" t="s">
        <v>12</v>
      </c>
      <c r="CL15" s="19" t="s">
        <v>106</v>
      </c>
      <c r="CM15" s="318">
        <f>IF(ISBLANK(fixtures!$L104),"",fixtures!$L104)</f>
        <v>0</v>
      </c>
      <c r="CN15" s="19" t="str">
        <f>IF(ISBLANK(fixtures!$L104),"",":")</f>
        <v>:</v>
      </c>
      <c r="CO15" s="319">
        <f>IF(ISBLANK(fixtures!$K104),"",fixtures!$K104)</f>
        <v>1</v>
      </c>
      <c r="CP15" s="19" t="str">
        <f>IF(ISBLANK(fixtures!$L104),"",IF(CM15&gt;CO15,"W",IF(CM15=CO15,"D","L")))</f>
        <v>L</v>
      </c>
      <c r="CQ15" s="19"/>
      <c r="CR15" s="19"/>
      <c r="CS15" s="326">
        <v>20</v>
      </c>
      <c r="CT15" s="178" t="s">
        <v>582</v>
      </c>
      <c r="CU15" s="328">
        <f ca="1">IFERROR(INDIRECT("fixtures!" &amp; Dashboard!J1 &amp;106) - Dashboard!K1/24,"TBC")</f>
        <v>44854.895833333336</v>
      </c>
      <c r="CV15" s="178"/>
      <c r="CW15" s="178" t="s">
        <v>2</v>
      </c>
      <c r="CX15" s="178" t="s">
        <v>108</v>
      </c>
      <c r="CY15" s="326">
        <f>IF(ISBLANK(fixtures!$K106),"",fixtures!$K106)</f>
        <v>3</v>
      </c>
      <c r="CZ15" s="178" t="str">
        <f>IF(ISBLANK(fixtures!$L106),"",":")</f>
        <v>:</v>
      </c>
      <c r="DA15" s="327">
        <f>IF(ISBLANK(fixtures!$L106),"",fixtures!$L106)</f>
        <v>0</v>
      </c>
      <c r="DB15" s="178" t="str">
        <f>IF(ISBLANK(fixtures!$L106),"",IF(CY15&gt;DA15,"W",IF(CY15=DA15,"D","L")))</f>
        <v>W</v>
      </c>
      <c r="DC15" s="178"/>
      <c r="DD15" s="178"/>
      <c r="DE15" s="334">
        <v>23</v>
      </c>
      <c r="DF15" s="177" t="s">
        <v>105</v>
      </c>
      <c r="DG15" s="336">
        <f ca="1">IFERROR(INDIRECT("fixtures!" &amp; Dashboard!J1 &amp;113) - Dashboard!K1/24,"TBC")</f>
        <v>44857.666666666664</v>
      </c>
      <c r="DH15" s="177"/>
      <c r="DI15" s="177" t="s">
        <v>126</v>
      </c>
      <c r="DJ15" s="177" t="s">
        <v>108</v>
      </c>
      <c r="DK15" s="334">
        <f>IF(ISBLANK(fixtures!$K113),"",fixtures!$K113)</f>
        <v>2</v>
      </c>
      <c r="DL15" s="177" t="str">
        <f>IF(ISBLANK(fixtures!$L113),"",":")</f>
        <v>:</v>
      </c>
      <c r="DM15" s="335">
        <f>IF(ISBLANK(fixtures!$L113),"",fixtures!$L113)</f>
        <v>3</v>
      </c>
      <c r="DN15" s="177" t="str">
        <f>IF(ISBLANK(fixtures!$L113),"",IF(DK15&gt;DM15,"W",IF(DK15=DM15,"D","L")))</f>
        <v>L</v>
      </c>
      <c r="DO15" s="177"/>
      <c r="DP15" s="177"/>
      <c r="DQ15" s="341">
        <v>20</v>
      </c>
      <c r="DR15" s="21" t="s">
        <v>582</v>
      </c>
      <c r="DS15" s="343">
        <f ca="1">IFERROR(INDIRECT("fixtures!" &amp; Dashboard!J1 &amp;107) - Dashboard!K1/24,"TBC")</f>
        <v>44854.927083333336</v>
      </c>
      <c r="DT15" s="21"/>
      <c r="DU15" s="21" t="s">
        <v>139</v>
      </c>
      <c r="DV15" s="21" t="s">
        <v>108</v>
      </c>
      <c r="DW15" s="341">
        <f>IF(ISBLANK(fixtures!$K107),"",fixtures!$K107)</f>
        <v>2</v>
      </c>
      <c r="DX15" s="21" t="str">
        <f>IF(ISBLANK(fixtures!$L107),"",":")</f>
        <v>:</v>
      </c>
      <c r="DY15" s="342">
        <f>IF(ISBLANK(fixtures!$L107),"",fixtures!$L107)</f>
        <v>0</v>
      </c>
      <c r="DZ15" s="21" t="str">
        <f>IF(ISBLANK(fixtures!$L107),"",IF(DW15&gt;DY15,"W",IF(DW15=DY15,"D","L")))</f>
        <v>W</v>
      </c>
      <c r="EA15" s="21"/>
      <c r="EB15" s="21"/>
      <c r="EC15" s="270">
        <v>22</v>
      </c>
      <c r="ED15" s="23" t="s">
        <v>107</v>
      </c>
      <c r="EE15" s="349">
        <f ca="1">IFERROR(INDIRECT("fixtures!" &amp; Dashboard!J1 &amp;108) - Dashboard!K1/24,"TBC")</f>
        <v>44856.604166666664</v>
      </c>
      <c r="EF15" s="23"/>
      <c r="EG15" s="23" t="s">
        <v>204</v>
      </c>
      <c r="EH15" s="23" t="s">
        <v>106</v>
      </c>
      <c r="EI15" s="270">
        <f>IF(ISBLANK(fixtures!$L108),"",fixtures!$L108)</f>
        <v>0</v>
      </c>
      <c r="EJ15" s="23" t="str">
        <f>IF(ISBLANK(fixtures!$L108),"",":")</f>
        <v>:</v>
      </c>
      <c r="EK15" s="272">
        <f>IF(ISBLANK(fixtures!$K108),"",fixtures!$K108)</f>
        <v>1</v>
      </c>
      <c r="EL15" s="23" t="str">
        <f>IF(ISBLANK(fixtures!$L108),"",IF(EI15&gt;EK15,"W",IF(EI15=EK15,"D","L")))</f>
        <v>L</v>
      </c>
      <c r="EM15" s="23"/>
      <c r="EN15" s="23"/>
      <c r="EO15" s="105">
        <v>22</v>
      </c>
      <c r="EP15" s="25" t="s">
        <v>107</v>
      </c>
      <c r="EQ15" s="355">
        <f ca="1">IFERROR(INDIRECT("fixtures!" &amp; Dashboard!J1 &amp;110) - Dashboard!K1/24,"TBC")</f>
        <v>44856.708333333336</v>
      </c>
      <c r="ER15" s="25"/>
      <c r="ES15" s="25" t="s">
        <v>4</v>
      </c>
      <c r="ET15" s="25" t="s">
        <v>108</v>
      </c>
      <c r="EU15" s="105">
        <f>IF(ISBLANK(fixtures!$K110),"",fixtures!$K110)</f>
        <v>3</v>
      </c>
      <c r="EV15" s="25" t="str">
        <f>IF(ISBLANK(fixtures!$L110),"",":")</f>
        <v>:</v>
      </c>
      <c r="EW15" s="107">
        <f>IF(ISBLANK(fixtures!$L110),"",fixtures!$L110)</f>
        <v>1</v>
      </c>
      <c r="EX15" s="25" t="str">
        <f>IF(ISBLANK(fixtures!$L110),"",IF(EU15&gt;EW15,"W",IF(EU15=EW15,"D","L")))</f>
        <v>W</v>
      </c>
      <c r="EY15" s="25"/>
      <c r="EZ15" s="25"/>
      <c r="FA15" s="361">
        <v>22</v>
      </c>
      <c r="FB15" s="27" t="s">
        <v>107</v>
      </c>
      <c r="FC15" s="363">
        <f ca="1">IFERROR(INDIRECT("fixtures!" &amp; Dashboard!J1 &amp;111) - Dashboard!K1/24,"TBC")</f>
        <v>44856.8125</v>
      </c>
      <c r="FD15" s="27"/>
      <c r="FE15" s="27" t="s">
        <v>5</v>
      </c>
      <c r="FF15" s="27" t="s">
        <v>106</v>
      </c>
      <c r="FG15" s="361">
        <f>IF(ISBLANK(fixtures!$L111),"",fixtures!$L111)</f>
        <v>1</v>
      </c>
      <c r="FH15" s="27" t="str">
        <f>IF(ISBLANK(fixtures!$L111),"",":")</f>
        <v>:</v>
      </c>
      <c r="FI15" s="362">
        <f>IF(ISBLANK(fixtures!$K111),"",fixtures!$K111)</f>
        <v>1</v>
      </c>
      <c r="FJ15" s="27" t="str">
        <f>IF(ISBLANK(fixtures!$L111),"",IF(FG15&gt;FI15,"W",IF(FG15=FI15,"D","L")))</f>
        <v>D</v>
      </c>
      <c r="FK15" s="27"/>
      <c r="FL15" s="27"/>
      <c r="FM15" s="110">
        <v>19</v>
      </c>
      <c r="FN15" s="29" t="s">
        <v>110</v>
      </c>
      <c r="FO15" s="369">
        <f ca="1">IFERROR(INDIRECT("fixtures!" &amp; Dashboard!J1 &amp;104) - Dashboard!K1/24,"TBC")</f>
        <v>44853.895833333336</v>
      </c>
      <c r="FP15" s="29"/>
      <c r="FQ15" s="29" t="s">
        <v>7</v>
      </c>
      <c r="FR15" s="29" t="s">
        <v>108</v>
      </c>
      <c r="FS15" s="110">
        <f>IF(ISBLANK(fixtures!$K104),"",fixtures!$K104)</f>
        <v>1</v>
      </c>
      <c r="FT15" s="29" t="str">
        <f>IF(ISBLANK(fixtures!$L104),"",":")</f>
        <v>:</v>
      </c>
      <c r="FU15" s="112">
        <f>IF(ISBLANK(fixtures!$L104),"",fixtures!$L104)</f>
        <v>0</v>
      </c>
      <c r="FV15" s="29" t="str">
        <f>IF(ISBLANK(fixtures!$L104),"",IF(FS15&gt;FU15,"W",IF(FS15=FU15,"D","L")))</f>
        <v>W</v>
      </c>
      <c r="FW15" s="29"/>
      <c r="FX15" s="29"/>
      <c r="FY15" s="375">
        <v>18</v>
      </c>
      <c r="FZ15" s="264" t="s">
        <v>111</v>
      </c>
      <c r="GA15" s="377">
        <f ca="1">IFERROR(INDIRECT("fixtures!" &amp; Dashboard!J1 &amp;99) - Dashboard!K1/24,"TBC")</f>
        <v>44852.895833333336</v>
      </c>
      <c r="GB15" s="264"/>
      <c r="GC15" s="264" t="s">
        <v>4</v>
      </c>
      <c r="GD15" s="264" t="s">
        <v>106</v>
      </c>
      <c r="GE15" s="375">
        <f>IF(ISBLANK(fixtures!$L99),"",fixtures!$L99)</f>
        <v>0</v>
      </c>
      <c r="GF15" s="264" t="str">
        <f>IF(ISBLANK(fixtures!$L99),"",":")</f>
        <v>:</v>
      </c>
      <c r="GG15" s="376">
        <f>IF(ISBLANK(fixtures!$K99),"",fixtures!$K99)</f>
        <v>0</v>
      </c>
      <c r="GH15" s="264" t="str">
        <f>IF(ISBLANK(fixtures!$L99),"",IF(GE15&gt;GG15,"W",IF(GE15=GG15,"D","L")))</f>
        <v>D</v>
      </c>
      <c r="GI15" s="264"/>
      <c r="GJ15" s="264"/>
      <c r="GK15" s="382">
        <v>19</v>
      </c>
      <c r="GL15" s="30" t="s">
        <v>110</v>
      </c>
      <c r="GM15" s="384">
        <f ca="1">IFERROR(INDIRECT("fixtures!" &amp; Dashboard!J1 &amp;101) - Dashboard!K1/24,"TBC")</f>
        <v>44853.895833333336</v>
      </c>
      <c r="GN15" s="30"/>
      <c r="GO15" s="30" t="s">
        <v>3</v>
      </c>
      <c r="GP15" s="30" t="s">
        <v>106</v>
      </c>
      <c r="GQ15" s="382">
        <f>IF(ISBLANK(fixtures!$L101),"",fixtures!$L101)</f>
        <v>1</v>
      </c>
      <c r="GR15" s="30" t="str">
        <f>IF(ISBLANK(fixtures!$L101),"",":")</f>
        <v>:</v>
      </c>
      <c r="GS15" s="383">
        <f>IF(ISBLANK(fixtures!$K101),"",fixtures!$K101)</f>
        <v>0</v>
      </c>
      <c r="GT15" s="30" t="str">
        <f>IF(ISBLANK(fixtures!$L101),"",IF(GQ15&gt;GS15,"W",IF(GQ15=GS15,"D","L")))</f>
        <v>W</v>
      </c>
      <c r="GU15" s="30"/>
      <c r="GV15" s="30"/>
      <c r="GW15" s="115">
        <v>19</v>
      </c>
      <c r="GX15" s="32" t="s">
        <v>110</v>
      </c>
      <c r="GY15" s="390">
        <f ca="1">IFERROR(INDIRECT("fixtures!" &amp; Dashboard!J1 &amp;105) - Dashboard!K1/24,"TBC")</f>
        <v>44853.927083333336</v>
      </c>
      <c r="GZ15" s="32"/>
      <c r="HA15" s="32" t="s">
        <v>11</v>
      </c>
      <c r="HB15" s="32" t="s">
        <v>106</v>
      </c>
      <c r="HC15" s="115">
        <f>IF(ISBLANK(fixtures!$L105),"",fixtures!$L105)</f>
        <v>0</v>
      </c>
      <c r="HD15" s="32" t="str">
        <f>IF(ISBLANK(fixtures!$L105),"",":")</f>
        <v>:</v>
      </c>
      <c r="HE15" s="117">
        <f>IF(ISBLANK(fixtures!$K105),"",fixtures!$K105)</f>
        <v>2</v>
      </c>
      <c r="HF15" s="32" t="str">
        <f>IF(ISBLANK(fixtures!$L105),"",IF(HC15&gt;HE15,"W",IF(HC15=HE15,"D","L")))</f>
        <v>L</v>
      </c>
      <c r="HG15" s="32"/>
      <c r="HH15" s="32"/>
      <c r="HI15" s="120">
        <v>19</v>
      </c>
      <c r="HJ15" s="34" t="s">
        <v>110</v>
      </c>
      <c r="HK15" s="396">
        <f ca="1">IFERROR(INDIRECT("fixtures!" &amp; Dashboard!J1 &amp;103) - Dashboard!K1/24,"TBC")</f>
        <v>44853.895833333336</v>
      </c>
      <c r="HL15" s="34"/>
      <c r="HM15" s="34" t="s">
        <v>9</v>
      </c>
      <c r="HN15" s="34" t="s">
        <v>106</v>
      </c>
      <c r="HO15" s="120">
        <f>IF(ISBLANK(fixtures!$L103),"",fixtures!$L103)</f>
        <v>0</v>
      </c>
      <c r="HP15" s="34" t="str">
        <f>IF(ISBLANK(fixtures!$L103),"",":")</f>
        <v>:</v>
      </c>
      <c r="HQ15" s="122">
        <f>IF(ISBLANK(fixtures!$K103),"",fixtures!$K103)</f>
        <v>1</v>
      </c>
      <c r="HR15" s="34" t="str">
        <f>IF(ISBLANK(fixtures!$L103),"",IF(HO15&gt;HQ15,"W",IF(HO15=HQ15,"D","L")))</f>
        <v>L</v>
      </c>
      <c r="HS15" s="34"/>
      <c r="HT15" s="34"/>
      <c r="HU15" s="125">
        <v>18</v>
      </c>
      <c r="HV15" s="127" t="s">
        <v>111</v>
      </c>
      <c r="HW15" s="402">
        <f ca="1">IFERROR(INDIRECT("fixtures!" &amp; Dashboard!J1 &amp;100) - Dashboard!K1/24,"TBC")</f>
        <v>44852.927083333336</v>
      </c>
      <c r="HX15" s="36"/>
      <c r="HY15" s="36" t="s">
        <v>6</v>
      </c>
      <c r="HZ15" s="36" t="s">
        <v>106</v>
      </c>
      <c r="IA15" s="125">
        <f>IF(ISBLANK(fixtures!$L100),"",fixtures!$L100)</f>
        <v>1</v>
      </c>
      <c r="IB15" s="36" t="str">
        <f>IF(ISBLANK(fixtures!$L100),"",":")</f>
        <v>:</v>
      </c>
      <c r="IC15" s="127">
        <f>IF(ISBLANK(fixtures!$K100),"",fixtures!$K100)</f>
        <v>2</v>
      </c>
      <c r="ID15" s="36" t="str">
        <f>IF(ISBLANK(fixtures!$L100),"",IF(IA15&gt;IC15,"W",IF(IA15=IC15,"D","L")))</f>
        <v>L</v>
      </c>
      <c r="IE15" s="36"/>
      <c r="IF15" s="36"/>
    </row>
    <row r="16" spans="1:243" x14ac:dyDescent="0.4">
      <c r="A16" s="91">
        <v>30</v>
      </c>
      <c r="B16" s="6" t="s">
        <v>105</v>
      </c>
      <c r="C16" s="277">
        <f ca="1">IFERROR(INDIRECT("fixtures!" &amp; Dashboard!J1 &amp;126) - Dashboard!K1/24,"TBC")</f>
        <v>44864.666666666664</v>
      </c>
      <c r="D16" s="6"/>
      <c r="E16" s="6" t="s">
        <v>204</v>
      </c>
      <c r="F16" s="6" t="s">
        <v>108</v>
      </c>
      <c r="G16" s="91">
        <f>IF(ISBLANK(fixtures!$K126),"",fixtures!$K126)</f>
        <v>5</v>
      </c>
      <c r="H16" s="6" t="str">
        <f>IF(ISBLANK(fixtures!$L126),"",":")</f>
        <v>:</v>
      </c>
      <c r="I16" s="93">
        <f>IF(ISBLANK(fixtures!$L126),"",fixtures!$L126)</f>
        <v>0</v>
      </c>
      <c r="J16" s="6" t="str">
        <f>IF(ISBLANK(fixtures!$L126),"",IF(G16&gt;I16,"W",IF(G16=I16,"D","L")))</f>
        <v>W</v>
      </c>
      <c r="K16" s="6"/>
      <c r="L16" s="6"/>
      <c r="M16" s="282">
        <v>23</v>
      </c>
      <c r="N16" s="9" t="s">
        <v>105</v>
      </c>
      <c r="O16" s="284">
        <f ca="1">IFERROR(INDIRECT("fixtures!" &amp; Dashboard!J1 &amp;112) - Dashboard!K1/24,"TBC")</f>
        <v>44857.666666666664</v>
      </c>
      <c r="P16" s="9"/>
      <c r="Q16" s="9" t="s">
        <v>125</v>
      </c>
      <c r="R16" s="9" t="s">
        <v>108</v>
      </c>
      <c r="S16" s="282">
        <f>IF(ISBLANK(fixtures!$K112),"",fixtures!$K112)</f>
        <v>4</v>
      </c>
      <c r="T16" s="9" t="str">
        <f>IF(ISBLANK(fixtures!$L112),"",":")</f>
        <v>:</v>
      </c>
      <c r="U16" s="283">
        <f>IF(ISBLANK(fixtures!$L112),"",fixtures!$L112)</f>
        <v>0</v>
      </c>
      <c r="V16" s="9" t="str">
        <f>IF(ISBLANK(fixtures!$L112),"",IF(S16&gt;U16,"W",IF(S16=U16,"D","L")))</f>
        <v>W</v>
      </c>
      <c r="W16" s="9"/>
      <c r="X16" s="9"/>
      <c r="Y16" s="290">
        <v>24</v>
      </c>
      <c r="Z16" s="262" t="s">
        <v>109</v>
      </c>
      <c r="AA16" s="291">
        <f ca="1">IFERROR(INDIRECT("fixtures!" &amp; Dashboard!J1 &amp;117) - Dashboard!K1/24,"TBC")</f>
        <v>44858.916666666664</v>
      </c>
      <c r="AB16" s="262"/>
      <c r="AC16" s="262" t="s">
        <v>15</v>
      </c>
      <c r="AD16" s="262" t="s">
        <v>106</v>
      </c>
      <c r="AE16" s="290">
        <f>IF(ISBLANK(fixtures!$L117),"",fixtures!$L117)</f>
        <v>0</v>
      </c>
      <c r="AF16" s="262" t="str">
        <f>IF(ISBLANK(fixtures!$L117),"",":")</f>
        <v>:</v>
      </c>
      <c r="AG16" s="292">
        <f>IF(ISBLANK(fixtures!$K117),"",fixtures!$K117)</f>
        <v>2</v>
      </c>
      <c r="AH16" s="262" t="str">
        <f>IF(ISBLANK(fixtures!$L117),"",IF(AE16&gt;AG16,"W",IF(AE16=AG16,"D","L")))</f>
        <v>L</v>
      </c>
      <c r="AI16" s="262"/>
      <c r="AJ16" s="262"/>
      <c r="AK16" s="411">
        <v>23</v>
      </c>
      <c r="AL16" s="410" t="s">
        <v>105</v>
      </c>
      <c r="AM16" s="413">
        <f ca="1">IFERROR(INDIRECT("fixtures!" &amp; Dashboard!J1 &amp;112) - Dashboard!K1/24,"TBC")</f>
        <v>44857.666666666664</v>
      </c>
      <c r="AN16" s="410"/>
      <c r="AO16" s="410" t="s">
        <v>2</v>
      </c>
      <c r="AP16" s="410" t="s">
        <v>106</v>
      </c>
      <c r="AQ16" s="411">
        <f>IF(ISBLANK(fixtures!$L112),"",fixtures!$L112)</f>
        <v>0</v>
      </c>
      <c r="AR16" s="410" t="str">
        <f>IF(ISBLANK(fixtures!$L112),"",":")</f>
        <v>:</v>
      </c>
      <c r="AS16" s="412">
        <f>IF(ISBLANK(fixtures!$K112),"",fixtures!$K112)</f>
        <v>4</v>
      </c>
      <c r="AT16" s="410" t="str">
        <f>IF(ISBLANK(fixtures!$L112),"",IF(AQ16&gt;AS16,"W",IF(AQ16=AS16,"D","L")))</f>
        <v>L</v>
      </c>
      <c r="AU16" s="410"/>
      <c r="AV16" s="410"/>
      <c r="AW16" s="96">
        <v>29</v>
      </c>
      <c r="AX16" s="11" t="s">
        <v>107</v>
      </c>
      <c r="AY16" s="298">
        <f ca="1">IFERROR(INDIRECT("fixtures!" &amp; Dashboard!J1 &amp;121) - Dashboard!K1/24,"TBC")</f>
        <v>44863.708333333336</v>
      </c>
      <c r="AZ16" s="11"/>
      <c r="BA16" s="11" t="s">
        <v>5</v>
      </c>
      <c r="BB16" s="11" t="s">
        <v>108</v>
      </c>
      <c r="BC16" s="96">
        <f>IF(ISBLANK(fixtures!$K121),"",fixtures!$K121)</f>
        <v>4</v>
      </c>
      <c r="BD16" s="11" t="str">
        <f>IF(ISBLANK(fixtures!$L121),"",":")</f>
        <v>:</v>
      </c>
      <c r="BE16" s="98">
        <f>IF(ISBLANK(fixtures!$L121),"",fixtures!$L121)</f>
        <v>1</v>
      </c>
      <c r="BF16" s="11" t="str">
        <f>IF(ISBLANK(fixtures!$L121),"",IF(BC16&gt;BE16,"W",IF(BC16=BE16,"D","L")))</f>
        <v>W</v>
      </c>
      <c r="BG16" s="11"/>
      <c r="BH16" s="11"/>
      <c r="BI16" s="181">
        <v>29</v>
      </c>
      <c r="BJ16" s="15" t="s">
        <v>107</v>
      </c>
      <c r="BK16" s="304">
        <f ca="1">IFERROR(INDIRECT("fixtures!" &amp; Dashboard!J1 &amp;121) - Dashboard!K1/24,"TBC")</f>
        <v>44863.708333333336</v>
      </c>
      <c r="BL16" s="15"/>
      <c r="BM16" s="15" t="s">
        <v>4</v>
      </c>
      <c r="BN16" s="15" t="s">
        <v>106</v>
      </c>
      <c r="BO16" s="181">
        <f>IF(ISBLANK(fixtures!$L121),"",fixtures!$L121)</f>
        <v>1</v>
      </c>
      <c r="BP16" s="15" t="str">
        <f>IF(ISBLANK(fixtures!$L121),"",":")</f>
        <v>:</v>
      </c>
      <c r="BQ16" s="183">
        <f>IF(ISBLANK(fixtures!$K121),"",fixtures!$K121)</f>
        <v>4</v>
      </c>
      <c r="BR16" s="15" t="str">
        <f>IF(ISBLANK(fixtures!$L121),"",IF(BO16&gt;BQ16,"W",IF(BO16=BQ16,"D","L")))</f>
        <v>L</v>
      </c>
      <c r="BS16" s="15"/>
      <c r="BT16" s="15"/>
      <c r="BU16" s="310">
        <v>29</v>
      </c>
      <c r="BV16" s="16" t="s">
        <v>107</v>
      </c>
      <c r="BW16" s="312">
        <f ca="1">IFERROR(INDIRECT("fixtures!" &amp; Dashboard!J1 &amp;122) - Dashboard!K1/24,"TBC")</f>
        <v>44863.708333333336</v>
      </c>
      <c r="BX16" s="16"/>
      <c r="BY16" s="16" t="s">
        <v>13</v>
      </c>
      <c r="BZ16" s="16" t="s">
        <v>108</v>
      </c>
      <c r="CA16" s="310">
        <f>IF(ISBLANK(fixtures!$K122),"",fixtures!$K122)</f>
        <v>1</v>
      </c>
      <c r="CB16" s="16" t="str">
        <f>IF(ISBLANK(fixtures!$L122),"",":")</f>
        <v>:</v>
      </c>
      <c r="CC16" s="311">
        <f>IF(ISBLANK(fixtures!$L122),"",fixtures!$L122)</f>
        <v>0</v>
      </c>
      <c r="CD16" s="16" t="str">
        <f>IF(ISBLANK(fixtures!$L122),"",IF(CA16&gt;CC16,"W",IF(CA16=CC16,"D","L")))</f>
        <v>W</v>
      </c>
      <c r="CE16" s="16"/>
      <c r="CF16" s="16"/>
      <c r="CG16" s="318">
        <v>22</v>
      </c>
      <c r="CH16" s="19" t="s">
        <v>107</v>
      </c>
      <c r="CI16" s="320">
        <f ca="1">IFERROR(INDIRECT("fixtures!" &amp; Dashboard!J1 &amp;109) - Dashboard!K1/24,"TBC")</f>
        <v>44856.708333333336</v>
      </c>
      <c r="CJ16" s="19"/>
      <c r="CK16" s="19" t="s">
        <v>6</v>
      </c>
      <c r="CL16" s="19" t="s">
        <v>108</v>
      </c>
      <c r="CM16" s="318">
        <f>IF(ISBLANK(fixtures!$K109),"",fixtures!$K109)</f>
        <v>3</v>
      </c>
      <c r="CN16" s="19" t="str">
        <f>IF(ISBLANK(fixtures!$L109),"",":")</f>
        <v>:</v>
      </c>
      <c r="CO16" s="319">
        <f>IF(ISBLANK(fixtures!$L109),"",fixtures!$L109)</f>
        <v>0</v>
      </c>
      <c r="CP16" s="19" t="str">
        <f>IF(ISBLANK(fixtures!$L109),"",IF(CM16&gt;CO16,"W",IF(CM16=CO16,"D","L")))</f>
        <v>W</v>
      </c>
      <c r="CQ16" s="19"/>
      <c r="CR16" s="19"/>
      <c r="CS16" s="326">
        <v>23</v>
      </c>
      <c r="CT16" s="178" t="s">
        <v>105</v>
      </c>
      <c r="CU16" s="328">
        <f ca="1">IFERROR(INDIRECT("fixtures!" &amp; Dashboard!J1 &amp;113) - Dashboard!K1/24,"TBC")</f>
        <v>44857.666666666664</v>
      </c>
      <c r="CV16" s="178"/>
      <c r="CW16" s="178" t="s">
        <v>139</v>
      </c>
      <c r="CX16" s="178" t="s">
        <v>106</v>
      </c>
      <c r="CY16" s="326">
        <f>IF(ISBLANK(fixtures!$L113),"",fixtures!$L113)</f>
        <v>3</v>
      </c>
      <c r="CZ16" s="178" t="str">
        <f>IF(ISBLANK(fixtures!$L113),"",":")</f>
        <v>:</v>
      </c>
      <c r="DA16" s="327">
        <f>IF(ISBLANK(fixtures!$K113),"",fixtures!$K113)</f>
        <v>2</v>
      </c>
      <c r="DB16" s="178" t="str">
        <f>IF(ISBLANK(fixtures!$L113),"",IF(CY16&gt;DA16,"W",IF(CY16=DA16,"D","L")))</f>
        <v>W</v>
      </c>
      <c r="DC16" s="178"/>
      <c r="DD16" s="178"/>
      <c r="DE16" s="334">
        <v>29</v>
      </c>
      <c r="DF16" s="177" t="s">
        <v>107</v>
      </c>
      <c r="DG16" s="336">
        <f ca="1">IFERROR(INDIRECT("fixtures!" &amp; Dashboard!J1 &amp;125) - Dashboard!K1/24,"TBC")</f>
        <v>44863.90625</v>
      </c>
      <c r="DH16" s="177"/>
      <c r="DI16" s="177" t="s">
        <v>9</v>
      </c>
      <c r="DJ16" s="177" t="s">
        <v>106</v>
      </c>
      <c r="DK16" s="334">
        <f>IF(ISBLANK(fixtures!$L125),"",fixtures!$L125)</f>
        <v>2</v>
      </c>
      <c r="DL16" s="177" t="str">
        <f>IF(ISBLANK(fixtures!$L125),"",":")</f>
        <v>:</v>
      </c>
      <c r="DM16" s="335">
        <f>IF(ISBLANK(fixtures!$K125),"",fixtures!$K125)</f>
        <v>1</v>
      </c>
      <c r="DN16" s="177" t="str">
        <f>IF(ISBLANK(fixtures!$L125),"",IF(DK16&gt;DM16,"W",IF(DK16=DM16,"D","L")))</f>
        <v>W</v>
      </c>
      <c r="DO16" s="177"/>
      <c r="DP16" s="177"/>
      <c r="DQ16" s="341">
        <v>23</v>
      </c>
      <c r="DR16" s="21" t="s">
        <v>105</v>
      </c>
      <c r="DS16" s="343">
        <f ca="1">IFERROR(INDIRECT("fixtures!" &amp; Dashboard!J1 &amp;115) - Dashboard!K1/24,"TBC")</f>
        <v>44857.666666666664</v>
      </c>
      <c r="DT16" s="21"/>
      <c r="DU16" s="21" t="s">
        <v>16</v>
      </c>
      <c r="DV16" s="21" t="s">
        <v>106</v>
      </c>
      <c r="DW16" s="341">
        <f>IF(ISBLANK(fixtures!$L115),"",fixtures!$L115)</f>
        <v>4</v>
      </c>
      <c r="DX16" s="21" t="str">
        <f>IF(ISBLANK(fixtures!$L115),"",":")</f>
        <v>:</v>
      </c>
      <c r="DY16" s="342">
        <f>IF(ISBLANK(fixtures!$K115),"",fixtures!$K115)</f>
        <v>0</v>
      </c>
      <c r="DZ16" s="21" t="str">
        <f>IF(ISBLANK(fixtures!$L115),"",IF(DW16&gt;DY16,"W",IF(DW16=DY16,"D","L")))</f>
        <v>W</v>
      </c>
      <c r="EA16" s="21"/>
      <c r="EB16" s="21"/>
      <c r="EC16" s="270">
        <v>29</v>
      </c>
      <c r="ED16" s="23" t="s">
        <v>107</v>
      </c>
      <c r="EE16" s="349">
        <f ca="1">IFERROR(INDIRECT("fixtures!" &amp; Dashboard!J1 &amp;125) - Dashboard!K1/24,"TBC")</f>
        <v>44863.90625</v>
      </c>
      <c r="EF16" s="23"/>
      <c r="EG16" s="23" t="s">
        <v>139</v>
      </c>
      <c r="EH16" s="23" t="s">
        <v>108</v>
      </c>
      <c r="EI16" s="270">
        <f>IF(ISBLANK(fixtures!$K125),"",fixtures!$K125)</f>
        <v>1</v>
      </c>
      <c r="EJ16" s="23" t="str">
        <f>IF(ISBLANK(fixtures!$L125),"",":")</f>
        <v>:</v>
      </c>
      <c r="EK16" s="272">
        <f>IF(ISBLANK(fixtures!$L125),"",fixtures!$L125)</f>
        <v>2</v>
      </c>
      <c r="EL16" s="23" t="str">
        <f>IF(ISBLANK(fixtures!$L125),"",IF(EI16&gt;EK16,"W",IF(EI16=EK16,"D","L")))</f>
        <v>L</v>
      </c>
      <c r="EM16" s="23"/>
      <c r="EN16" s="23"/>
      <c r="EO16" s="105">
        <v>29</v>
      </c>
      <c r="EP16" s="25" t="s">
        <v>107</v>
      </c>
      <c r="EQ16" s="355">
        <f ca="1">IFERROR(INDIRECT("fixtures!" &amp; Dashboard!J1 &amp;118) - Dashboard!K1/24,"TBC")</f>
        <v>44863.604166666664</v>
      </c>
      <c r="ER16" s="25"/>
      <c r="ES16" s="25" t="s">
        <v>8</v>
      </c>
      <c r="ET16" s="25" t="s">
        <v>106</v>
      </c>
      <c r="EU16" s="105">
        <f>IF(ISBLANK(fixtures!$L118),"",fixtures!$L118)</f>
        <v>1</v>
      </c>
      <c r="EV16" s="25" t="str">
        <f>IF(ISBLANK(fixtures!$L118),"",":")</f>
        <v>:</v>
      </c>
      <c r="EW16" s="107">
        <f>IF(ISBLANK(fixtures!$K118),"",fixtures!$K118)</f>
        <v>0</v>
      </c>
      <c r="EX16" s="25" t="str">
        <f>IF(ISBLANK(fixtures!$L118),"",IF(EU16&gt;EW16,"W",IF(EU16=EW16,"D","L")))</f>
        <v>W</v>
      </c>
      <c r="EY16" s="25"/>
      <c r="EZ16" s="25"/>
      <c r="FA16" s="361">
        <v>30</v>
      </c>
      <c r="FB16" s="27" t="s">
        <v>105</v>
      </c>
      <c r="FC16" s="363">
        <f ca="1">IFERROR(INDIRECT("fixtures!" &amp; Dashboard!J1 &amp;127) - Dashboard!K1/24,"TBC")</f>
        <v>44864.760416666664</v>
      </c>
      <c r="FD16" s="27"/>
      <c r="FE16" s="27" t="s">
        <v>15</v>
      </c>
      <c r="FF16" s="27" t="s">
        <v>108</v>
      </c>
      <c r="FG16" s="361">
        <f>IF(ISBLANK(fixtures!$K127),"",fixtures!$K127)</f>
        <v>1</v>
      </c>
      <c r="FH16" s="27" t="str">
        <f>IF(ISBLANK(fixtures!$L127),"",":")</f>
        <v>:</v>
      </c>
      <c r="FI16" s="362">
        <f>IF(ISBLANK(fixtures!$L127),"",fixtures!$L127)</f>
        <v>0</v>
      </c>
      <c r="FJ16" s="27" t="str">
        <f>IF(ISBLANK(fixtures!$L127),"",IF(FG16&gt;FI16,"W",IF(FG16=FI16,"D","L")))</f>
        <v>W</v>
      </c>
      <c r="FK16" s="27"/>
      <c r="FL16" s="27"/>
      <c r="FM16" s="110">
        <v>23</v>
      </c>
      <c r="FN16" s="29" t="s">
        <v>105</v>
      </c>
      <c r="FO16" s="369">
        <f ca="1">IFERROR(INDIRECT("fixtures!" &amp; Dashboard!J1 &amp;116) - Dashboard!K1/24,"TBC")</f>
        <v>44857.770833333336</v>
      </c>
      <c r="FP16" s="29"/>
      <c r="FQ16" s="29" t="s">
        <v>14</v>
      </c>
      <c r="FR16" s="29" t="s">
        <v>106</v>
      </c>
      <c r="FS16" s="110">
        <f>IF(ISBLANK(fixtures!$L116),"",fixtures!$L116)</f>
        <v>2</v>
      </c>
      <c r="FT16" s="29" t="str">
        <f>IF(ISBLANK(fixtures!$L116),"",":")</f>
        <v>:</v>
      </c>
      <c r="FU16" s="112">
        <f>IF(ISBLANK(fixtures!$K116),"",fixtures!$K116)</f>
        <v>1</v>
      </c>
      <c r="FV16" s="29" t="str">
        <f>IF(ISBLANK(fixtures!$L116),"",IF(FS16&gt;FU16,"W",IF(FS16=FU16,"D","L")))</f>
        <v>W</v>
      </c>
      <c r="FW16" s="29"/>
      <c r="FX16" s="29"/>
      <c r="FY16" s="375">
        <v>22</v>
      </c>
      <c r="FZ16" s="264" t="s">
        <v>107</v>
      </c>
      <c r="GA16" s="377">
        <f ca="1">IFERROR(INDIRECT("fixtures!" &amp; Dashboard!J1 &amp;108) - Dashboard!K1/24,"TBC")</f>
        <v>44856.604166666664</v>
      </c>
      <c r="GB16" s="264"/>
      <c r="GC16" s="264" t="s">
        <v>9</v>
      </c>
      <c r="GD16" s="264" t="s">
        <v>108</v>
      </c>
      <c r="GE16" s="375">
        <f>IF(ISBLANK(fixtures!$K108),"",fixtures!$K108)</f>
        <v>1</v>
      </c>
      <c r="GF16" s="264" t="str">
        <f>IF(ISBLANK(fixtures!$L108),"",":")</f>
        <v>:</v>
      </c>
      <c r="GG16" s="376">
        <f>IF(ISBLANK(fixtures!$L108),"",fixtures!$L108)</f>
        <v>0</v>
      </c>
      <c r="GH16" s="264" t="str">
        <f>IF(ISBLANK(fixtures!$L108),"",IF(GE16&gt;GG16,"W",IF(GE16=GG16,"D","L")))</f>
        <v>W</v>
      </c>
      <c r="GI16" s="264"/>
      <c r="GJ16" s="264"/>
      <c r="GK16" s="382">
        <v>23</v>
      </c>
      <c r="GL16" s="30" t="s">
        <v>105</v>
      </c>
      <c r="GM16" s="384">
        <f ca="1">IFERROR(INDIRECT("fixtures!" &amp; Dashboard!J1 &amp;114) - Dashboard!K1/24,"TBC")</f>
        <v>44857.666666666664</v>
      </c>
      <c r="GN16" s="30"/>
      <c r="GO16" s="30" t="s">
        <v>1</v>
      </c>
      <c r="GP16" s="30" t="s">
        <v>108</v>
      </c>
      <c r="GQ16" s="382">
        <f>IF(ISBLANK(fixtures!$K114),"",fixtures!$K114)</f>
        <v>1</v>
      </c>
      <c r="GR16" s="30" t="str">
        <f>IF(ISBLANK(fixtures!$L114),"",":")</f>
        <v>:</v>
      </c>
      <c r="GS16" s="383">
        <f>IF(ISBLANK(fixtures!$L114),"",fixtures!$L114)</f>
        <v>1</v>
      </c>
      <c r="GT16" s="30" t="str">
        <f>IF(ISBLANK(fixtures!$L114),"",IF(GQ16&gt;GS16,"W",IF(GQ16=GS16,"D","L")))</f>
        <v>D</v>
      </c>
      <c r="GU16" s="30"/>
      <c r="GV16" s="30"/>
      <c r="GW16" s="115">
        <v>23</v>
      </c>
      <c r="GX16" s="32" t="s">
        <v>105</v>
      </c>
      <c r="GY16" s="390">
        <f ca="1">IFERROR(INDIRECT("fixtures!" &amp; Dashboard!J1 &amp;116) - Dashboard!K1/24,"TBC")</f>
        <v>44857.770833333336</v>
      </c>
      <c r="GZ16" s="32"/>
      <c r="HA16" s="32" t="s">
        <v>12</v>
      </c>
      <c r="HB16" s="32" t="s">
        <v>108</v>
      </c>
      <c r="HC16" s="115">
        <f>IF(ISBLANK(fixtures!$K116),"",fixtures!$K116)</f>
        <v>1</v>
      </c>
      <c r="HD16" s="32" t="str">
        <f>IF(ISBLANK(fixtures!$L116),"",":")</f>
        <v>:</v>
      </c>
      <c r="HE16" s="117">
        <f>IF(ISBLANK(fixtures!$L116),"",fixtures!$L116)</f>
        <v>2</v>
      </c>
      <c r="HF16" s="32" t="str">
        <f>IF(ISBLANK(fixtures!$L116),"",IF(HC16&gt;HE16,"W",IF(HC16=HE16,"D","L")))</f>
        <v>L</v>
      </c>
      <c r="HG16" s="32"/>
      <c r="HH16" s="32"/>
      <c r="HI16" s="120">
        <v>24</v>
      </c>
      <c r="HJ16" s="34" t="s">
        <v>109</v>
      </c>
      <c r="HK16" s="396">
        <f ca="1">IFERROR(INDIRECT("fixtures!" &amp; Dashboard!J1 &amp;117) - Dashboard!K1/24,"TBC")</f>
        <v>44858.916666666664</v>
      </c>
      <c r="HL16" s="34"/>
      <c r="HM16" s="34" t="s">
        <v>3</v>
      </c>
      <c r="HN16" s="34" t="s">
        <v>108</v>
      </c>
      <c r="HO16" s="120">
        <f>IF(ISBLANK(fixtures!$K117),"",fixtures!$K117)</f>
        <v>2</v>
      </c>
      <c r="HP16" s="34" t="str">
        <f>IF(ISBLANK(fixtures!$L117),"",":")</f>
        <v>:</v>
      </c>
      <c r="HQ16" s="122">
        <f>IF(ISBLANK(fixtures!$L117),"",fixtures!$L117)</f>
        <v>0</v>
      </c>
      <c r="HR16" s="34" t="str">
        <f>IF(ISBLANK(fixtures!$L117),"",IF(HO16&gt;HQ16,"W",IF(HO16=HQ16,"D","L")))</f>
        <v>W</v>
      </c>
      <c r="HS16" s="34"/>
      <c r="HT16" s="34"/>
      <c r="HU16" s="125">
        <v>23</v>
      </c>
      <c r="HV16" s="36" t="s">
        <v>105</v>
      </c>
      <c r="HW16" s="402">
        <f ca="1">IFERROR(INDIRECT("fixtures!" &amp; Dashboard!J1 &amp;115) - Dashboard!K1/24,"TBC")</f>
        <v>44857.666666666664</v>
      </c>
      <c r="HX16" s="36"/>
      <c r="HY16" s="36" t="s">
        <v>8</v>
      </c>
      <c r="HZ16" s="36" t="s">
        <v>108</v>
      </c>
      <c r="IA16" s="125">
        <f>IF(ISBLANK(fixtures!$K115),"",fixtures!$K115)</f>
        <v>0</v>
      </c>
      <c r="IB16" s="36" t="str">
        <f>IF(ISBLANK(fixtures!$L115),"",":")</f>
        <v>:</v>
      </c>
      <c r="IC16" s="127">
        <f>IF(ISBLANK(fixtures!$L115),"",fixtures!$L115)</f>
        <v>4</v>
      </c>
      <c r="ID16" s="36" t="str">
        <f>IF(ISBLANK(fixtures!$L115),"",IF(IA16&gt;IC16,"W",IF(IA16=IC16,"D","L")))</f>
        <v>L</v>
      </c>
      <c r="IE16" s="36"/>
      <c r="IF16" s="36"/>
    </row>
    <row r="17" spans="1:243" x14ac:dyDescent="0.4">
      <c r="A17" s="278" t="s">
        <v>20</v>
      </c>
      <c r="B17" s="93"/>
      <c r="C17" s="277"/>
      <c r="D17" s="6"/>
      <c r="E17" s="6"/>
      <c r="F17" s="6"/>
      <c r="G17" s="91"/>
      <c r="H17" s="6"/>
      <c r="I17" s="93"/>
      <c r="J17" s="6"/>
      <c r="K17" s="6"/>
      <c r="L17" s="6"/>
      <c r="M17" s="282">
        <v>29</v>
      </c>
      <c r="N17" s="9" t="s">
        <v>107</v>
      </c>
      <c r="O17" s="284">
        <f ca="1">IFERROR(INDIRECT("fixtures!" &amp; Dashboard!J1 &amp;123) - Dashboard!K1/24,"TBC")</f>
        <v>44863.708333333336</v>
      </c>
      <c r="P17" s="9"/>
      <c r="Q17" s="9" t="s">
        <v>12</v>
      </c>
      <c r="R17" s="9" t="s">
        <v>106</v>
      </c>
      <c r="S17" s="282">
        <f>IF(ISBLANK(fixtures!$L123),"",fixtures!$L123)</f>
        <v>0</v>
      </c>
      <c r="T17" s="9" t="str">
        <f>IF(ISBLANK(fixtures!$L123),"",":")</f>
        <v>:</v>
      </c>
      <c r="U17" s="283">
        <f>IF(ISBLANK(fixtures!$K123),"",fixtures!$K123)</f>
        <v>4</v>
      </c>
      <c r="V17" s="9" t="str">
        <f>IF(ISBLANK(fixtures!$L123),"",IF(S17&gt;U17,"W",IF(S17=U17,"D","L")))</f>
        <v>L</v>
      </c>
      <c r="W17" s="9"/>
      <c r="X17" s="9"/>
      <c r="Y17" s="290">
        <v>29</v>
      </c>
      <c r="Z17" s="262" t="s">
        <v>107</v>
      </c>
      <c r="AA17" s="291">
        <f ca="1">IFERROR(INDIRECT("fixtures!" &amp; Dashboard!J1 &amp;119) - Dashboard!K1/24,"TBC")</f>
        <v>44863.708333333336</v>
      </c>
      <c r="AB17" s="262"/>
      <c r="AC17" s="262" t="s">
        <v>14</v>
      </c>
      <c r="AD17" s="262" t="s">
        <v>108</v>
      </c>
      <c r="AE17" s="290">
        <f>IF(ISBLANK(fixtures!$K119),"",fixtures!$K119)</f>
        <v>2</v>
      </c>
      <c r="AF17" s="262" t="str">
        <f>IF(ISBLANK(fixtures!$L119),"",":")</f>
        <v>:</v>
      </c>
      <c r="AG17" s="292">
        <f>IF(ISBLANK(fixtures!$L119),"",fixtures!$L119)</f>
        <v>3</v>
      </c>
      <c r="AH17" s="262" t="str">
        <f>IF(ISBLANK(fixtures!$L119),"",IF(AE17&gt;AG17,"W",IF(AE17=AG17,"D","L")))</f>
        <v>L</v>
      </c>
      <c r="AI17" s="262"/>
      <c r="AJ17" s="262"/>
      <c r="AK17" s="411">
        <v>29</v>
      </c>
      <c r="AL17" s="410" t="s">
        <v>107</v>
      </c>
      <c r="AM17" s="413">
        <f ca="1">IFERROR(INDIRECT("fixtures!" &amp; Dashboard!J1 &amp;120) - Dashboard!K1/24,"TBC")</f>
        <v>44863.708333333336</v>
      </c>
      <c r="AN17" s="410"/>
      <c r="AO17" s="410" t="s">
        <v>16</v>
      </c>
      <c r="AP17" s="410" t="s">
        <v>108</v>
      </c>
      <c r="AQ17" s="411">
        <f>IF(ISBLANK(fixtures!$K120),"",fixtures!$K120)</f>
        <v>1</v>
      </c>
      <c r="AR17" s="410" t="str">
        <f>IF(ISBLANK(fixtures!$L120),"",":")</f>
        <v>:</v>
      </c>
      <c r="AS17" s="412">
        <f>IF(ISBLANK(fixtures!$L120),"",fixtures!$L120)</f>
        <v>1</v>
      </c>
      <c r="AT17" s="410" t="str">
        <f>IF(ISBLANK(fixtures!$L120),"",IF(AQ17&gt;AS17,"W",IF(AQ17=AS17,"D","L")))</f>
        <v>D</v>
      </c>
      <c r="AU17" s="410"/>
      <c r="AV17" s="410"/>
      <c r="AW17" s="299" t="s">
        <v>20</v>
      </c>
      <c r="AX17" s="11"/>
      <c r="AY17" s="298"/>
      <c r="AZ17" s="11"/>
      <c r="BA17" s="11"/>
      <c r="BB17" s="11"/>
      <c r="BC17" s="96"/>
      <c r="BD17" s="11"/>
      <c r="BE17" s="98"/>
      <c r="BF17" s="11"/>
      <c r="BG17" s="11"/>
      <c r="BH17" s="11"/>
      <c r="BI17" s="305" t="s">
        <v>20</v>
      </c>
      <c r="BJ17" s="15"/>
      <c r="BK17" s="304"/>
      <c r="BL17" s="15"/>
      <c r="BM17" s="15"/>
      <c r="BN17" s="15"/>
      <c r="BO17" s="181"/>
      <c r="BP17" s="15"/>
      <c r="BQ17" s="183"/>
      <c r="BR17" s="15"/>
      <c r="BS17" s="15"/>
      <c r="BT17" s="15"/>
      <c r="BU17" s="313" t="s">
        <v>20</v>
      </c>
      <c r="BV17" s="16"/>
      <c r="BW17" s="312"/>
      <c r="BX17" s="16"/>
      <c r="BY17" s="16"/>
      <c r="BZ17" s="16"/>
      <c r="CA17" s="310"/>
      <c r="CB17" s="16"/>
      <c r="CC17" s="311"/>
      <c r="CD17" s="16"/>
      <c r="CE17" s="16"/>
      <c r="CF17" s="16"/>
      <c r="CG17" s="318">
        <v>29</v>
      </c>
      <c r="CH17" s="19" t="s">
        <v>107</v>
      </c>
      <c r="CI17" s="320">
        <f ca="1">IFERROR(INDIRECT("fixtures!" &amp; Dashboard!J1 &amp;124) - Dashboard!K1/24,"TBC")</f>
        <v>44863.8125</v>
      </c>
      <c r="CJ17" s="19"/>
      <c r="CK17" s="19" t="s">
        <v>126</v>
      </c>
      <c r="CL17" s="19" t="s">
        <v>106</v>
      </c>
      <c r="CM17" s="318">
        <f>IF(ISBLANK(fixtures!$L124),"",fixtures!$L124)</f>
        <v>0</v>
      </c>
      <c r="CN17" s="19" t="str">
        <f>IF(ISBLANK(fixtures!$L124),"",":")</f>
        <v>:</v>
      </c>
      <c r="CO17" s="319">
        <f>IF(ISBLANK(fixtures!$K124),"",fixtures!$K124)</f>
        <v>0</v>
      </c>
      <c r="CP17" s="19" t="str">
        <f>IF(ISBLANK(fixtures!$L124),"",IF(CM17&gt;CO17,"W",IF(CM17=CO17,"D","L")))</f>
        <v>D</v>
      </c>
      <c r="CQ17" s="19"/>
      <c r="CR17" s="19"/>
      <c r="CS17" s="326">
        <v>29</v>
      </c>
      <c r="CT17" s="178" t="s">
        <v>107</v>
      </c>
      <c r="CU17" s="328">
        <f ca="1">IFERROR(INDIRECT("fixtures!" &amp; Dashboard!J1 &amp;124) - Dashboard!K1/24,"TBC")</f>
        <v>44863.8125</v>
      </c>
      <c r="CV17" s="178"/>
      <c r="CW17" s="178" t="s">
        <v>7</v>
      </c>
      <c r="CX17" s="178" t="s">
        <v>108</v>
      </c>
      <c r="CY17" s="326">
        <f>IF(ISBLANK(fixtures!$K124),"",fixtures!$K124)</f>
        <v>0</v>
      </c>
      <c r="CZ17" s="178" t="str">
        <f>IF(ISBLANK(fixtures!$L124),"",":")</f>
        <v>:</v>
      </c>
      <c r="DA17" s="327">
        <f>IF(ISBLANK(fixtures!$L124),"",fixtures!$L124)</f>
        <v>0</v>
      </c>
      <c r="DB17" s="178" t="str">
        <f>IF(ISBLANK(fixtures!$L124),"",IF(CY17&gt;DA17,"W",IF(CY17=DA17,"D","L")))</f>
        <v>D</v>
      </c>
      <c r="DC17" s="178"/>
      <c r="DD17" s="178"/>
      <c r="DE17" s="337" t="s">
        <v>20</v>
      </c>
      <c r="DF17" s="177"/>
      <c r="DG17" s="336"/>
      <c r="DH17" s="177"/>
      <c r="DI17" s="177"/>
      <c r="DJ17" s="177"/>
      <c r="DK17" s="334"/>
      <c r="DL17" s="177"/>
      <c r="DM17" s="335"/>
      <c r="DN17" s="177"/>
      <c r="DO17" s="177"/>
      <c r="DP17" s="177"/>
      <c r="DQ17" s="341">
        <v>29</v>
      </c>
      <c r="DR17" s="21" t="s">
        <v>107</v>
      </c>
      <c r="DS17" s="343">
        <f ca="1">IFERROR(INDIRECT("fixtures!" &amp; Dashboard!J1 &amp;118) - Dashboard!K1/24,"TBC")</f>
        <v>44863.604166666664</v>
      </c>
      <c r="DT17" s="21"/>
      <c r="DU17" s="21" t="s">
        <v>10</v>
      </c>
      <c r="DV17" s="21" t="s">
        <v>108</v>
      </c>
      <c r="DW17" s="341">
        <f>IF(ISBLANK(fixtures!$K118),"",fixtures!$K118)</f>
        <v>0</v>
      </c>
      <c r="DX17" s="21" t="str">
        <f>IF(ISBLANK(fixtures!$L118),"",":")</f>
        <v>:</v>
      </c>
      <c r="DY17" s="342">
        <f>IF(ISBLANK(fixtures!$L118),"",fixtures!$L118)</f>
        <v>1</v>
      </c>
      <c r="DZ17" s="21" t="str">
        <f>IF(ISBLANK(fixtures!$L118),"",IF(DW17&gt;DY17,"W",IF(DW17=DY17,"D","L")))</f>
        <v>L</v>
      </c>
      <c r="EA17" s="21"/>
      <c r="EB17" s="21"/>
      <c r="EC17" s="350" t="s">
        <v>20</v>
      </c>
      <c r="ED17" s="23"/>
      <c r="EE17" s="349"/>
      <c r="EF17" s="23"/>
      <c r="EG17" s="23"/>
      <c r="EH17" s="23"/>
      <c r="EI17" s="270"/>
      <c r="EJ17" s="23"/>
      <c r="EK17" s="272"/>
      <c r="EL17" s="23"/>
      <c r="EM17" s="23"/>
      <c r="EN17" s="23"/>
      <c r="EO17" s="356" t="s">
        <v>20</v>
      </c>
      <c r="EP17" s="25"/>
      <c r="EQ17" s="355"/>
      <c r="ER17" s="25"/>
      <c r="ES17" s="25"/>
      <c r="ET17" s="25"/>
      <c r="EU17" s="105"/>
      <c r="EV17" s="25"/>
      <c r="EW17" s="107"/>
      <c r="EX17" s="25"/>
      <c r="EY17" s="25"/>
      <c r="EZ17" s="25"/>
      <c r="FA17" s="364" t="s">
        <v>20</v>
      </c>
      <c r="FB17" s="27"/>
      <c r="FC17" s="363"/>
      <c r="FD17" s="27"/>
      <c r="FE17" s="27"/>
      <c r="FF17" s="27"/>
      <c r="FG17" s="361"/>
      <c r="FH17" s="27"/>
      <c r="FI17" s="362"/>
      <c r="FJ17" s="27"/>
      <c r="FK17" s="27"/>
      <c r="FL17" s="27"/>
      <c r="FM17" s="110">
        <v>29</v>
      </c>
      <c r="FN17" s="29" t="s">
        <v>107</v>
      </c>
      <c r="FO17" s="369">
        <f ca="1">IFERROR(INDIRECT("fixtures!" &amp; Dashboard!J1 &amp;123) - Dashboard!K1/24,"TBC")</f>
        <v>44863.708333333336</v>
      </c>
      <c r="FP17" s="29"/>
      <c r="FQ17" s="29" t="s">
        <v>2</v>
      </c>
      <c r="FR17" s="29" t="s">
        <v>108</v>
      </c>
      <c r="FS17" s="110">
        <f>IF(ISBLANK(fixtures!$K123),"",fixtures!$K123)</f>
        <v>4</v>
      </c>
      <c r="FT17" s="29" t="str">
        <f>IF(ISBLANK(fixtures!$L123),"",":")</f>
        <v>:</v>
      </c>
      <c r="FU17" s="112">
        <f>IF(ISBLANK(fixtures!$L123),"",fixtures!$L123)</f>
        <v>0</v>
      </c>
      <c r="FV17" s="29" t="str">
        <f>IF(ISBLANK(fixtures!$L123),"",IF(FS17&gt;FU17,"W",IF(FS17=FU17,"D","L")))</f>
        <v>W</v>
      </c>
      <c r="FW17" s="29"/>
      <c r="FX17" s="29"/>
      <c r="FY17" s="375">
        <v>30</v>
      </c>
      <c r="FZ17" s="264" t="s">
        <v>105</v>
      </c>
      <c r="GA17" s="377">
        <f ca="1">IFERROR(INDIRECT("fixtures!" &amp; Dashboard!J1 &amp;126) - Dashboard!K1/24,"TBC")</f>
        <v>44864.666666666664</v>
      </c>
      <c r="GB17" s="264"/>
      <c r="GC17" s="264" t="s">
        <v>1</v>
      </c>
      <c r="GD17" s="264" t="s">
        <v>106</v>
      </c>
      <c r="GE17" s="375">
        <f>IF(ISBLANK(fixtures!$L126),"",fixtures!$L126)</f>
        <v>0</v>
      </c>
      <c r="GF17" s="264" t="str">
        <f>IF(ISBLANK(fixtures!$L126),"",":")</f>
        <v>:</v>
      </c>
      <c r="GG17" s="376">
        <f>IF(ISBLANK(fixtures!$K126),"",fixtures!$K126)</f>
        <v>5</v>
      </c>
      <c r="GH17" s="264" t="str">
        <f>IF(ISBLANK(fixtures!$L126),"",IF(GE17&gt;GG17,"W",IF(GE17=GG17,"D","L")))</f>
        <v>L</v>
      </c>
      <c r="GI17" s="264"/>
      <c r="GJ17" s="264"/>
      <c r="GK17" s="382">
        <v>29</v>
      </c>
      <c r="GL17" s="30" t="s">
        <v>107</v>
      </c>
      <c r="GM17" s="384">
        <f ca="1">IFERROR(INDIRECT("fixtures!" &amp; Dashboard!J1 &amp;122) - Dashboard!K1/24,"TBC")</f>
        <v>44863.708333333336</v>
      </c>
      <c r="GN17" s="30"/>
      <c r="GO17" s="30" t="s">
        <v>6</v>
      </c>
      <c r="GP17" s="30" t="s">
        <v>106</v>
      </c>
      <c r="GQ17" s="382">
        <f>IF(ISBLANK(fixtures!$L122),"",fixtures!$L122)</f>
        <v>0</v>
      </c>
      <c r="GR17" s="30" t="str">
        <f>IF(ISBLANK(fixtures!$L122),"",":")</f>
        <v>:</v>
      </c>
      <c r="GS17" s="383">
        <f>IF(ISBLANK(fixtures!$K122),"",fixtures!$K122)</f>
        <v>1</v>
      </c>
      <c r="GT17" s="30" t="str">
        <f>IF(ISBLANK(fixtures!$L122),"",IF(GQ17&gt;GS17,"W",IF(GQ17=GS17,"D","L")))</f>
        <v>L</v>
      </c>
      <c r="GU17" s="30"/>
      <c r="GV17" s="30"/>
      <c r="GW17" s="115">
        <v>29</v>
      </c>
      <c r="GX17" s="32" t="s">
        <v>107</v>
      </c>
      <c r="GY17" s="390">
        <f ca="1">IFERROR(INDIRECT("fixtures!" &amp; Dashboard!J1 &amp;119) - Dashboard!K1/24,"TBC")</f>
        <v>44863.708333333336</v>
      </c>
      <c r="GZ17" s="32"/>
      <c r="HA17" s="32" t="s">
        <v>3</v>
      </c>
      <c r="HB17" s="32" t="s">
        <v>106</v>
      </c>
      <c r="HC17" s="115">
        <f>IF(ISBLANK(fixtures!$L119),"",fixtures!$L119)</f>
        <v>3</v>
      </c>
      <c r="HD17" s="32" t="str">
        <f>IF(ISBLANK(fixtures!$L119),"",":")</f>
        <v>:</v>
      </c>
      <c r="HE17" s="117">
        <f>IF(ISBLANK(fixtures!$K119),"",fixtures!$K119)</f>
        <v>2</v>
      </c>
      <c r="HF17" s="32" t="str">
        <f>IF(ISBLANK(fixtures!$L119),"",IF(HC17&gt;HE17,"W",IF(HC17=HE17,"D","L")))</f>
        <v>W</v>
      </c>
      <c r="HG17" s="32"/>
      <c r="HH17" s="32"/>
      <c r="HI17" s="120">
        <v>30</v>
      </c>
      <c r="HJ17" s="34" t="s">
        <v>105</v>
      </c>
      <c r="HK17" s="396">
        <f ca="1">IFERROR(INDIRECT("fixtures!" &amp; Dashboard!J1 &amp;127) - Dashboard!K1/24,"TBC")</f>
        <v>44864.760416666664</v>
      </c>
      <c r="HL17" s="34"/>
      <c r="HM17" s="34" t="s">
        <v>11</v>
      </c>
      <c r="HN17" s="34" t="s">
        <v>106</v>
      </c>
      <c r="HO17" s="120">
        <f>IF(ISBLANK(fixtures!$L127),"",fixtures!$L127)</f>
        <v>0</v>
      </c>
      <c r="HP17" s="34" t="str">
        <f>IF(ISBLANK(fixtures!$L127),"",":")</f>
        <v>:</v>
      </c>
      <c r="HQ17" s="122">
        <f>IF(ISBLANK(fixtures!$K127),"",fixtures!$K127)</f>
        <v>1</v>
      </c>
      <c r="HR17" s="34" t="str">
        <f>IF(ISBLANK(fixtures!$L127),"",IF(HO17&gt;HQ17,"W",IF(HO17=HQ17,"D","L")))</f>
        <v>L</v>
      </c>
      <c r="HS17" s="34"/>
      <c r="HT17" s="34"/>
      <c r="HU17" s="125">
        <v>29</v>
      </c>
      <c r="HV17" s="36" t="s">
        <v>107</v>
      </c>
      <c r="HW17" s="402">
        <f ca="1">IFERROR(INDIRECT("fixtures!" &amp; Dashboard!J1 &amp;120) - Dashboard!K1/24,"TBC")</f>
        <v>44863.708333333336</v>
      </c>
      <c r="HX17" s="36"/>
      <c r="HY17" s="36" t="s">
        <v>125</v>
      </c>
      <c r="HZ17" s="36" t="s">
        <v>106</v>
      </c>
      <c r="IA17" s="125">
        <f>IF(ISBLANK(fixtures!$L120),"",fixtures!$L120)</f>
        <v>1</v>
      </c>
      <c r="IB17" s="36" t="str">
        <f>IF(ISBLANK(fixtures!$L120),"",":")</f>
        <v>:</v>
      </c>
      <c r="IC17" s="127">
        <f>IF(ISBLANK(fixtures!$K120),"",fixtures!$K120)</f>
        <v>1</v>
      </c>
      <c r="ID17" s="36" t="str">
        <f>IF(ISBLANK(fixtures!$L120),"",IF(IA17&gt;IC17,"W",IF(IA17=IC17,"D","L")))</f>
        <v>D</v>
      </c>
      <c r="IE17" s="36"/>
      <c r="IF17" s="36"/>
    </row>
    <row r="18" spans="1:243" x14ac:dyDescent="0.4">
      <c r="A18" s="91">
        <v>6</v>
      </c>
      <c r="B18" s="6" t="s">
        <v>105</v>
      </c>
      <c r="C18" s="277">
        <f ca="1">IFERROR(INDIRECT("fixtures!" &amp; Dashboard!J1 &amp;133) - Dashboard!K1/24,"TBC")</f>
        <v>44871.583333333336</v>
      </c>
      <c r="D18" s="6"/>
      <c r="E18" s="6" t="s">
        <v>5</v>
      </c>
      <c r="F18" s="6" t="s">
        <v>106</v>
      </c>
      <c r="G18" s="91">
        <f>IF(ISBLANK(fixtures!$L133),"",fixtures!$L133)</f>
        <v>1</v>
      </c>
      <c r="H18" s="6" t="str">
        <f>IF(ISBLANK(fixtures!$L133),"",":")</f>
        <v>:</v>
      </c>
      <c r="I18" s="93">
        <f>IF(ISBLANK(fixtures!$K133),"",fixtures!$K133)</f>
        <v>0</v>
      </c>
      <c r="J18" s="6" t="str">
        <f>IF(ISBLANK(fixtures!$L133),"",IF(G18&gt;I18,"W",IF(G18=I18,"D","L")))</f>
        <v>W</v>
      </c>
      <c r="K18" s="6"/>
      <c r="L18" s="6"/>
      <c r="M18" s="285" t="s">
        <v>20</v>
      </c>
      <c r="N18" s="9"/>
      <c r="O18" s="284"/>
      <c r="P18" s="9"/>
      <c r="Q18" s="9"/>
      <c r="R18" s="9"/>
      <c r="S18" s="282"/>
      <c r="T18" s="9"/>
      <c r="U18" s="283"/>
      <c r="V18" s="9"/>
      <c r="W18" s="9"/>
      <c r="X18" s="9"/>
      <c r="Y18" s="293" t="s">
        <v>20</v>
      </c>
      <c r="Z18" s="262"/>
      <c r="AA18" s="291"/>
      <c r="AB18" s="262"/>
      <c r="AC18" s="262"/>
      <c r="AD18" s="262"/>
      <c r="AE18" s="290"/>
      <c r="AF18" s="262"/>
      <c r="AG18" s="292"/>
      <c r="AH18" s="262"/>
      <c r="AI18" s="262"/>
      <c r="AJ18" s="262"/>
      <c r="AK18" s="414" t="s">
        <v>20</v>
      </c>
      <c r="AL18" s="410"/>
      <c r="AM18" s="413"/>
      <c r="AN18" s="410"/>
      <c r="AO18" s="410"/>
      <c r="AP18" s="410"/>
      <c r="AQ18" s="411"/>
      <c r="AR18" s="410"/>
      <c r="AS18" s="412"/>
      <c r="AT18" s="410"/>
      <c r="AU18" s="410"/>
      <c r="AV18" s="410"/>
      <c r="AW18" s="96">
        <v>5</v>
      </c>
      <c r="AX18" s="11" t="s">
        <v>107</v>
      </c>
      <c r="AY18" s="298">
        <f ca="1">IFERROR(INDIRECT("fixtures!" &amp; Dashboard!J1 &amp;131) - Dashboard!K1/24,"TBC")</f>
        <v>44870.708333333336</v>
      </c>
      <c r="AZ18" s="11"/>
      <c r="BA18" s="11" t="s">
        <v>16</v>
      </c>
      <c r="BB18" s="11" t="s">
        <v>106</v>
      </c>
      <c r="BC18" s="96">
        <f>IF(ISBLANK(fixtures!$L131),"",fixtures!$L131)</f>
        <v>3</v>
      </c>
      <c r="BD18" s="11" t="str">
        <f>IF(ISBLANK(fixtures!$L131),"",":")</f>
        <v>:</v>
      </c>
      <c r="BE18" s="98">
        <f>IF(ISBLANK(fixtures!$K131),"",fixtures!$K131)</f>
        <v>2</v>
      </c>
      <c r="BF18" s="11" t="str">
        <f>IF(ISBLANK(fixtures!$L131),"",IF(BC18&gt;BE18,"W",IF(BC18=BE18,"D","L")))</f>
        <v>W</v>
      </c>
      <c r="BG18" s="11"/>
      <c r="BH18" s="11"/>
      <c r="BI18" s="181">
        <v>6</v>
      </c>
      <c r="BJ18" s="15" t="s">
        <v>105</v>
      </c>
      <c r="BK18" s="304">
        <f ca="1">IFERROR(INDIRECT("fixtures!" &amp; Dashboard!J1 &amp;133) - Dashboard!K1/24,"TBC")</f>
        <v>44871.583333333336</v>
      </c>
      <c r="BL18" s="15"/>
      <c r="BM18" s="15" t="s">
        <v>1</v>
      </c>
      <c r="BN18" s="15" t="s">
        <v>108</v>
      </c>
      <c r="BO18" s="181">
        <f>IF(ISBLANK(fixtures!$K133),"",fixtures!$K133)</f>
        <v>0</v>
      </c>
      <c r="BP18" s="15" t="str">
        <f>IF(ISBLANK(fixtures!$L133),"",":")</f>
        <v>:</v>
      </c>
      <c r="BQ18" s="183">
        <f>IF(ISBLANK(fixtures!$L133),"",fixtures!$L133)</f>
        <v>1</v>
      </c>
      <c r="BR18" s="15" t="str">
        <f>IF(ISBLANK(fixtures!$L133),"",IF(BO18&gt;BQ18,"W",IF(BO18=BQ18,"D","L")))</f>
        <v>L</v>
      </c>
      <c r="BS18" s="15"/>
      <c r="BT18" s="15"/>
      <c r="BU18" s="310">
        <v>6</v>
      </c>
      <c r="BV18" s="16" t="s">
        <v>105</v>
      </c>
      <c r="BW18" s="312">
        <f ca="1">IFERROR(INDIRECT("fixtures!" &amp; Dashboard!J1 &amp;136) - Dashboard!K1/24,"TBC")</f>
        <v>44871.666666666664</v>
      </c>
      <c r="BX18" s="16"/>
      <c r="BY18" s="16" t="s">
        <v>15</v>
      </c>
      <c r="BZ18" s="16" t="s">
        <v>106</v>
      </c>
      <c r="CA18" s="310">
        <f>IF(ISBLANK(fixtures!$L136),"",fixtures!$L136)</f>
        <v>2</v>
      </c>
      <c r="CB18" s="16" t="str">
        <f>IF(ISBLANK(fixtures!$L136),"",":")</f>
        <v>:</v>
      </c>
      <c r="CC18" s="311">
        <f>IF(ISBLANK(fixtures!$K136),"",fixtures!$K136)</f>
        <v>1</v>
      </c>
      <c r="CD18" s="16" t="str">
        <f>IF(ISBLANK(fixtures!$L136),"",IF(CA18&gt;CC18,"W",IF(CA18=CC18,"D","L")))</f>
        <v>W</v>
      </c>
      <c r="CE18" s="16"/>
      <c r="CF18" s="16"/>
      <c r="CG18" s="321" t="s">
        <v>20</v>
      </c>
      <c r="CH18" s="19"/>
      <c r="CI18" s="320"/>
      <c r="CJ18" s="19"/>
      <c r="CK18" s="19"/>
      <c r="CL18" s="19"/>
      <c r="CM18" s="318"/>
      <c r="CN18" s="19"/>
      <c r="CO18" s="319"/>
      <c r="CP18" s="19"/>
      <c r="CQ18" s="19"/>
      <c r="CR18" s="19"/>
      <c r="CS18" s="329" t="s">
        <v>20</v>
      </c>
      <c r="CT18" s="178"/>
      <c r="CU18" s="328"/>
      <c r="CV18" s="178"/>
      <c r="CW18" s="178"/>
      <c r="CX18" s="178"/>
      <c r="CY18" s="326"/>
      <c r="CZ18" s="178"/>
      <c r="DA18" s="327"/>
      <c r="DB18" s="178"/>
      <c r="DC18" s="178"/>
      <c r="DD18" s="178"/>
      <c r="DE18" s="334">
        <v>5</v>
      </c>
      <c r="DF18" s="177" t="s">
        <v>107</v>
      </c>
      <c r="DG18" s="336">
        <f ca="1">IFERROR(INDIRECT("fixtures!" &amp; Dashboard!J1 &amp;128) - Dashboard!K1/24,"TBC")</f>
        <v>44870.708333333336</v>
      </c>
      <c r="DH18" s="177"/>
      <c r="DI18" s="177" t="s">
        <v>3</v>
      </c>
      <c r="DJ18" s="177" t="s">
        <v>108</v>
      </c>
      <c r="DK18" s="334">
        <f>IF(ISBLANK(fixtures!$K128),"",fixtures!$K128)</f>
        <v>4</v>
      </c>
      <c r="DL18" s="177" t="str">
        <f>IF(ISBLANK(fixtures!$L128),"",":")</f>
        <v>:</v>
      </c>
      <c r="DM18" s="335">
        <f>IF(ISBLANK(fixtures!$L128),"",fixtures!$L128)</f>
        <v>3</v>
      </c>
      <c r="DN18" s="177" t="str">
        <f>IF(ISBLANK(fixtures!$L128),"",IF(DK18&gt;DM18,"W",IF(DK18=DM18,"D","L")))</f>
        <v>W</v>
      </c>
      <c r="DO18" s="177"/>
      <c r="DP18" s="177"/>
      <c r="DQ18" s="344" t="s">
        <v>20</v>
      </c>
      <c r="DR18" s="21"/>
      <c r="DS18" s="343"/>
      <c r="DT18" s="21"/>
      <c r="DU18" s="21"/>
      <c r="DV18" s="21"/>
      <c r="DW18" s="341"/>
      <c r="DX18" s="21"/>
      <c r="DY18" s="342"/>
      <c r="DZ18" s="21"/>
      <c r="EA18" s="21"/>
      <c r="EB18" s="21"/>
      <c r="EC18" s="270">
        <v>6</v>
      </c>
      <c r="ED18" s="23" t="s">
        <v>105</v>
      </c>
      <c r="EE18" s="349">
        <f ca="1">IFERROR(INDIRECT("fixtures!" &amp; Dashboard!J1 &amp;137) - Dashboard!K1/24,"TBC")</f>
        <v>44871.770833333336</v>
      </c>
      <c r="EF18" s="23"/>
      <c r="EG18" s="23" t="s">
        <v>14</v>
      </c>
      <c r="EH18" s="23" t="s">
        <v>106</v>
      </c>
      <c r="EI18" s="270">
        <f>IF(ISBLANK(fixtures!$L137),"",fixtures!$L137)</f>
        <v>2</v>
      </c>
      <c r="EJ18" s="23" t="str">
        <f>IF(ISBLANK(fixtures!$L137),"",":")</f>
        <v>:</v>
      </c>
      <c r="EK18" s="272">
        <f>IF(ISBLANK(fixtures!$K137),"",fixtures!$K137)</f>
        <v>1</v>
      </c>
      <c r="EL18" s="23" t="str">
        <f>IF(ISBLANK(fixtures!$L137),"",IF(EI18&gt;EK18,"W",IF(EI18=EK18,"D","L")))</f>
        <v>W</v>
      </c>
      <c r="EM18" s="23"/>
      <c r="EN18" s="23"/>
      <c r="EO18" s="105">
        <v>5</v>
      </c>
      <c r="EP18" s="25" t="s">
        <v>107</v>
      </c>
      <c r="EQ18" s="355">
        <f ca="1">IFERROR(INDIRECT("fixtures!" &amp; Dashboard!J1 &amp;129) - Dashboard!K1/24,"TBC")</f>
        <v>44870.708333333336</v>
      </c>
      <c r="ER18" s="25"/>
      <c r="ES18" s="25" t="s">
        <v>126</v>
      </c>
      <c r="ET18" s="25" t="s">
        <v>108</v>
      </c>
      <c r="EU18" s="105">
        <f>IF(ISBLANK(fixtures!$K129),"",fixtures!$K129)</f>
        <v>2</v>
      </c>
      <c r="EV18" s="25" t="str">
        <f>IF(ISBLANK(fixtures!$L129),"",":")</f>
        <v>:</v>
      </c>
      <c r="EW18" s="107">
        <f>IF(ISBLANK(fixtures!$L129),"",fixtures!$L129)</f>
        <v>1</v>
      </c>
      <c r="EX18" s="25" t="str">
        <f>IF(ISBLANK(fixtures!$L129),"",IF(EU18&gt;EW18,"W",IF(EU18=EW18,"D","L")))</f>
        <v>W</v>
      </c>
      <c r="EY18" s="25"/>
      <c r="EZ18" s="25"/>
      <c r="FA18" s="361">
        <v>6</v>
      </c>
      <c r="FB18" s="27" t="s">
        <v>105</v>
      </c>
      <c r="FC18" s="363">
        <f ca="1">IFERROR(INDIRECT("fixtures!" &amp; Dashboard!J1 &amp;134) - Dashboard!K1/24,"TBC")</f>
        <v>44871.666666666664</v>
      </c>
      <c r="FD18" s="27"/>
      <c r="FE18" s="27" t="s">
        <v>2</v>
      </c>
      <c r="FF18" s="27" t="s">
        <v>106</v>
      </c>
      <c r="FG18" s="361">
        <f>IF(ISBLANK(fixtures!$L134),"",fixtures!$L134)</f>
        <v>1</v>
      </c>
      <c r="FH18" s="27" t="str">
        <f>IF(ISBLANK(fixtures!$L134),"",":")</f>
        <v>:</v>
      </c>
      <c r="FI18" s="362">
        <f>IF(ISBLANK(fixtures!$K134),"",fixtures!$K134)</f>
        <v>3</v>
      </c>
      <c r="FJ18" s="27" t="str">
        <f>IF(ISBLANK(fixtures!$L134),"",IF(FG18&gt;FI18,"W",IF(FG18=FI18,"D","L")))</f>
        <v>L</v>
      </c>
      <c r="FK18" s="27"/>
      <c r="FL18" s="27"/>
      <c r="FM18" s="370" t="s">
        <v>20</v>
      </c>
      <c r="FN18" s="29"/>
      <c r="FO18" s="369"/>
      <c r="FP18" s="29"/>
      <c r="FQ18" s="29"/>
      <c r="FR18" s="29"/>
      <c r="FS18" s="110"/>
      <c r="FT18" s="29"/>
      <c r="FU18" s="112"/>
      <c r="FV18" s="29"/>
      <c r="FW18" s="29"/>
      <c r="FX18" s="29"/>
      <c r="FY18" s="378" t="s">
        <v>20</v>
      </c>
      <c r="FZ18" s="264"/>
      <c r="GA18" s="377"/>
      <c r="GB18" s="264"/>
      <c r="GC18" s="264"/>
      <c r="GD18" s="264"/>
      <c r="GE18" s="375"/>
      <c r="GF18" s="264"/>
      <c r="GG18" s="376"/>
      <c r="GH18" s="264"/>
      <c r="GI18" s="264"/>
      <c r="GJ18" s="264"/>
      <c r="GK18" s="385" t="s">
        <v>20</v>
      </c>
      <c r="GL18" s="30"/>
      <c r="GM18" s="384"/>
      <c r="GN18" s="30"/>
      <c r="GO18" s="30"/>
      <c r="GP18" s="30"/>
      <c r="GQ18" s="382"/>
      <c r="GR18" s="30"/>
      <c r="GS18" s="383"/>
      <c r="GT18" s="30"/>
      <c r="GU18" s="30"/>
      <c r="GV18" s="30"/>
      <c r="GW18" s="391" t="s">
        <v>20</v>
      </c>
      <c r="GX18" s="32"/>
      <c r="GY18" s="390"/>
      <c r="GZ18" s="32"/>
      <c r="HA18" s="32"/>
      <c r="HB18" s="32"/>
      <c r="HC18" s="115"/>
      <c r="HD18" s="32"/>
      <c r="HE18" s="117"/>
      <c r="HF18" s="32"/>
      <c r="HG18" s="32"/>
      <c r="HH18" s="32"/>
      <c r="HI18" s="397" t="s">
        <v>20</v>
      </c>
      <c r="HJ18" s="34"/>
      <c r="HK18" s="396"/>
      <c r="HL18" s="34"/>
      <c r="HM18" s="34"/>
      <c r="HN18" s="34"/>
      <c r="HO18" s="120"/>
      <c r="HP18" s="34"/>
      <c r="HQ18" s="122"/>
      <c r="HR18" s="34"/>
      <c r="HS18" s="34"/>
      <c r="HT18" s="34"/>
      <c r="HU18" s="403" t="s">
        <v>20</v>
      </c>
      <c r="HV18" s="36"/>
      <c r="HW18" s="402"/>
      <c r="HX18" s="36"/>
      <c r="HY18" s="36"/>
      <c r="HZ18" s="36"/>
      <c r="IA18" s="125"/>
      <c r="IB18" s="36"/>
      <c r="IC18" s="127"/>
      <c r="ID18" s="36"/>
      <c r="IE18" s="36"/>
      <c r="IF18" s="36"/>
    </row>
    <row r="19" spans="1:243" x14ac:dyDescent="0.4">
      <c r="A19" s="91">
        <v>12</v>
      </c>
      <c r="B19" s="6" t="s">
        <v>107</v>
      </c>
      <c r="C19" s="277">
        <f ca="1">IFERROR(INDIRECT("fixtures!" &amp; Dashboard!J1 &amp;145) - Dashboard!K1/24,"TBC")</f>
        <v>44877.90625</v>
      </c>
      <c r="D19" s="6"/>
      <c r="E19" s="6" t="s">
        <v>16</v>
      </c>
      <c r="F19" s="6" t="s">
        <v>106</v>
      </c>
      <c r="G19" s="91">
        <f>IF(ISBLANK(fixtures!$L145),"",fixtures!$L145)</f>
        <v>2</v>
      </c>
      <c r="H19" s="6" t="str">
        <f>IF(ISBLANK(fixtures!$L145),"",":")</f>
        <v>:</v>
      </c>
      <c r="I19" s="93">
        <f>IF(ISBLANK(fixtures!$K145),"",fixtures!$K145)</f>
        <v>0</v>
      </c>
      <c r="J19" s="6" t="str">
        <f>IF(ISBLANK(fixtures!$L145),"",IF(G19&gt;I19,"W",IF(G19=I19,"D","L")))</f>
        <v>W</v>
      </c>
      <c r="K19" s="6"/>
      <c r="L19" s="6"/>
      <c r="M19" s="282">
        <v>6</v>
      </c>
      <c r="N19" s="9" t="s">
        <v>105</v>
      </c>
      <c r="O19" s="284">
        <f ca="1">IFERROR(INDIRECT("fixtures!" &amp; Dashboard!J1 &amp;134) - Dashboard!K1/24,"TBC")</f>
        <v>44871.666666666664</v>
      </c>
      <c r="P19" s="9"/>
      <c r="Q19" s="9" t="s">
        <v>11</v>
      </c>
      <c r="R19" s="9" t="s">
        <v>108</v>
      </c>
      <c r="S19" s="282">
        <f>IF(ISBLANK(fixtures!$K134),"",fixtures!$K134)</f>
        <v>3</v>
      </c>
      <c r="T19" s="9" t="str">
        <f>IF(ISBLANK(fixtures!$L134),"",":")</f>
        <v>:</v>
      </c>
      <c r="U19" s="283">
        <f>IF(ISBLANK(fixtures!$L134),"",fixtures!$L134)</f>
        <v>1</v>
      </c>
      <c r="V19" s="9" t="str">
        <f>IF(ISBLANK(fixtures!$L134),"",IF(S19&gt;U19,"W",IF(S19=U19,"D","L")))</f>
        <v>W</v>
      </c>
      <c r="W19" s="9"/>
      <c r="X19" s="9"/>
      <c r="Y19" s="290">
        <v>5</v>
      </c>
      <c r="Z19" s="262" t="s">
        <v>107</v>
      </c>
      <c r="AA19" s="291">
        <f ca="1">IFERROR(INDIRECT("fixtures!" &amp; Dashboard!J1 &amp;128) - Dashboard!K1/24,"TBC")</f>
        <v>44870.708333333336</v>
      </c>
      <c r="AB19" s="262"/>
      <c r="AC19" s="262" t="s">
        <v>139</v>
      </c>
      <c r="AD19" s="262" t="s">
        <v>106</v>
      </c>
      <c r="AE19" s="290">
        <f>IF(ISBLANK(fixtures!$L128),"",fixtures!$L128)</f>
        <v>3</v>
      </c>
      <c r="AF19" s="262" t="str">
        <f>IF(ISBLANK(fixtures!$L128),"",":")</f>
        <v>:</v>
      </c>
      <c r="AG19" s="292">
        <f>IF(ISBLANK(fixtures!$K128),"",fixtures!$K128)</f>
        <v>4</v>
      </c>
      <c r="AH19" s="262" t="str">
        <f>IF(ISBLANK(fixtures!$L128),"",IF(AE19&gt;AG19,"W",IF(AE19=AG19,"D","L")))</f>
        <v>L</v>
      </c>
      <c r="AI19" s="262"/>
      <c r="AJ19" s="262"/>
      <c r="AK19" s="411">
        <v>5</v>
      </c>
      <c r="AL19" s="410" t="s">
        <v>107</v>
      </c>
      <c r="AM19" s="413">
        <f ca="1">IFERROR(INDIRECT("fixtures!" &amp; Dashboard!J1 &amp;130) - Dashboard!K1/24,"TBC")</f>
        <v>44870.708333333336</v>
      </c>
      <c r="AN19" s="410"/>
      <c r="AO19" s="410" t="s">
        <v>204</v>
      </c>
      <c r="AP19" s="410" t="s">
        <v>106</v>
      </c>
      <c r="AQ19" s="411">
        <f>IF(ISBLANK(fixtures!$L130),"",fixtures!$L130)</f>
        <v>2</v>
      </c>
      <c r="AR19" s="410" t="str">
        <f>IF(ISBLANK(fixtures!$L130),"",":")</f>
        <v>:</v>
      </c>
      <c r="AS19" s="412">
        <f>IF(ISBLANK(fixtures!$K130),"",fixtures!$K130)</f>
        <v>2</v>
      </c>
      <c r="AT19" s="410" t="str">
        <f>IF(ISBLANK(fixtures!$L130),"",IF(AQ19&gt;AS19,"W",IF(AQ19=AS19,"D","L")))</f>
        <v>D</v>
      </c>
      <c r="AU19" s="410"/>
      <c r="AV19" s="410"/>
      <c r="AW19" s="96">
        <v>13</v>
      </c>
      <c r="AX19" s="98" t="s">
        <v>105</v>
      </c>
      <c r="AY19" s="298">
        <f ca="1">IFERROR(INDIRECT("fixtures!" &amp; Dashboard!J1 &amp;146) - Dashboard!K1/24,"TBC")</f>
        <v>44878.666666666664</v>
      </c>
      <c r="AZ19" s="11"/>
      <c r="BA19" s="11" t="s">
        <v>2</v>
      </c>
      <c r="BB19" s="11" t="s">
        <v>108</v>
      </c>
      <c r="BC19" s="96">
        <f>IF(ISBLANK(fixtures!$K146),"",fixtures!$K146)</f>
        <v>1</v>
      </c>
      <c r="BD19" s="11" t="str">
        <f>IF(ISBLANK(fixtures!$L146),"",":")</f>
        <v>:</v>
      </c>
      <c r="BE19" s="98">
        <f>IF(ISBLANK(fixtures!$L146),"",fixtures!$L146)</f>
        <v>2</v>
      </c>
      <c r="BF19" s="11" t="str">
        <f>IF(ISBLANK(fixtures!$L146),"",IF(BC19&gt;BE19,"W",IF(BC19=BE19,"D","L")))</f>
        <v>L</v>
      </c>
      <c r="BG19" s="11"/>
      <c r="BH19" s="11"/>
      <c r="BI19" s="181">
        <v>12</v>
      </c>
      <c r="BJ19" s="15" t="s">
        <v>107</v>
      </c>
      <c r="BK19" s="304">
        <f ca="1">IFERROR(INDIRECT("fixtures!" &amp; Dashboard!J1 &amp;144) - Dashboard!K1/24,"TBC")</f>
        <v>44877.8125</v>
      </c>
      <c r="BL19" s="15"/>
      <c r="BM19" s="15" t="s">
        <v>12</v>
      </c>
      <c r="BN19" s="15" t="s">
        <v>106</v>
      </c>
      <c r="BO19" s="181">
        <f>IF(ISBLANK(fixtures!$L144),"",fixtures!$L144)</f>
        <v>0</v>
      </c>
      <c r="BP19" s="15" t="str">
        <f>IF(ISBLANK(fixtures!$L144),"",":")</f>
        <v>:</v>
      </c>
      <c r="BQ19" s="183">
        <f>IF(ISBLANK(fixtures!$K144),"",fixtures!$K144)</f>
        <v>1</v>
      </c>
      <c r="BR19" s="15" t="str">
        <f>IF(ISBLANK(fixtures!$L144),"",IF(BO19&gt;BQ19,"W",IF(BO19=BQ19,"D","L")))</f>
        <v>L</v>
      </c>
      <c r="BS19" s="15"/>
      <c r="BT19" s="15"/>
      <c r="BU19" s="310">
        <v>12</v>
      </c>
      <c r="BV19" s="16" t="s">
        <v>107</v>
      </c>
      <c r="BW19" s="312">
        <f ca="1">IFERROR(INDIRECT("fixtures!" &amp; Dashboard!J1 &amp;141) - Dashboard!K1/24,"TBC")</f>
        <v>44877.708333333336</v>
      </c>
      <c r="BX19" s="16"/>
      <c r="BY19" s="16" t="s">
        <v>204</v>
      </c>
      <c r="BZ19" s="16" t="s">
        <v>106</v>
      </c>
      <c r="CA19" s="310">
        <f>IF(ISBLANK(fixtures!$L141),"",fixtures!$L141)</f>
        <v>0</v>
      </c>
      <c r="CB19" s="16" t="str">
        <f>IF(ISBLANK(fixtures!$L141),"",":")</f>
        <v>:</v>
      </c>
      <c r="CC19" s="311">
        <f>IF(ISBLANK(fixtures!$K141),"",fixtures!$K141)</f>
        <v>1</v>
      </c>
      <c r="CD19" s="16" t="str">
        <f>IF(ISBLANK(fixtures!$L141),"",IF(CA19&gt;CC19,"W",IF(CA19=CC19,"D","L")))</f>
        <v>L</v>
      </c>
      <c r="CE19" s="16"/>
      <c r="CF19" s="16"/>
      <c r="CG19" s="318">
        <v>5</v>
      </c>
      <c r="CH19" s="19" t="s">
        <v>107</v>
      </c>
      <c r="CI19" s="320">
        <f ca="1">IFERROR(INDIRECT("fixtures!" &amp; Dashboard!J1 &amp;132) - Dashboard!K1/24,"TBC")</f>
        <v>44870.8125</v>
      </c>
      <c r="CJ19" s="19"/>
      <c r="CK19" s="19" t="s">
        <v>8</v>
      </c>
      <c r="CL19" s="19" t="s">
        <v>108</v>
      </c>
      <c r="CM19" s="318">
        <f>IF(ISBLANK(fixtures!$K132),"",fixtures!$K132)</f>
        <v>0</v>
      </c>
      <c r="CN19" s="19" t="str">
        <f>IF(ISBLANK(fixtures!$L132),"",":")</f>
        <v>:</v>
      </c>
      <c r="CO19" s="319">
        <f>IF(ISBLANK(fixtures!$L132),"",fixtures!$L132)</f>
        <v>2</v>
      </c>
      <c r="CP19" s="19" t="str">
        <f>IF(ISBLANK(fixtures!$L132),"",IF(CM19&gt;CO19,"W",IF(CM19=CO19,"D","L")))</f>
        <v>L</v>
      </c>
      <c r="CQ19" s="19"/>
      <c r="CR19" s="19"/>
      <c r="CS19" s="326">
        <v>5</v>
      </c>
      <c r="CT19" s="178" t="s">
        <v>107</v>
      </c>
      <c r="CU19" s="328">
        <f ca="1">IFERROR(INDIRECT("fixtures!" &amp; Dashboard!J1 &amp;129) - Dashboard!K1/24,"TBC")</f>
        <v>44870.708333333336</v>
      </c>
      <c r="CV19" s="178"/>
      <c r="CW19" s="178" t="s">
        <v>10</v>
      </c>
      <c r="CX19" s="178" t="s">
        <v>106</v>
      </c>
      <c r="CY19" s="326">
        <f>IF(ISBLANK(fixtures!$L129),"",fixtures!$L129)</f>
        <v>1</v>
      </c>
      <c r="CZ19" s="178" t="str">
        <f>IF(ISBLANK(fixtures!$L129),"",":")</f>
        <v>:</v>
      </c>
      <c r="DA19" s="327">
        <f>IF(ISBLANK(fixtures!$K129),"",fixtures!$K129)</f>
        <v>2</v>
      </c>
      <c r="DB19" s="178" t="str">
        <f>IF(ISBLANK(fixtures!$L129),"",IF(CY19&gt;DA19,"W",IF(CY19=DA19,"D","L")))</f>
        <v>L</v>
      </c>
      <c r="DC19" s="178"/>
      <c r="DD19" s="178"/>
      <c r="DE19" s="334">
        <v>12</v>
      </c>
      <c r="DF19" s="177" t="s">
        <v>107</v>
      </c>
      <c r="DG19" s="336">
        <f ca="1">IFERROR(INDIRECT("fixtures!" &amp; Dashboard!J1 &amp;142) - Dashboard!K1/24,"TBC")</f>
        <v>44877.708333333336</v>
      </c>
      <c r="DH19" s="177"/>
      <c r="DI19" s="177" t="s">
        <v>14</v>
      </c>
      <c r="DJ19" s="177" t="s">
        <v>106</v>
      </c>
      <c r="DK19" s="334">
        <f>IF(ISBLANK(fixtures!$L142),"",fixtures!$L142)</f>
        <v>3</v>
      </c>
      <c r="DL19" s="177" t="str">
        <f>IF(ISBLANK(fixtures!$L142),"",":")</f>
        <v>:</v>
      </c>
      <c r="DM19" s="335">
        <f>IF(ISBLANK(fixtures!$K142),"",fixtures!$K142)</f>
        <v>4</v>
      </c>
      <c r="DN19" s="177" t="str">
        <f>IF(ISBLANK(fixtures!$L142),"",IF(DK19&gt;DM19,"W",IF(DK19=DM19,"D","L")))</f>
        <v>L</v>
      </c>
      <c r="DO19" s="177"/>
      <c r="DP19" s="177"/>
      <c r="DQ19" s="341">
        <v>5</v>
      </c>
      <c r="DR19" s="21" t="s">
        <v>107</v>
      </c>
      <c r="DS19" s="343">
        <f ca="1">IFERROR(INDIRECT("fixtures!" &amp; Dashboard!J1 &amp;132) - Dashboard!K1/24,"TBC")</f>
        <v>44870.8125</v>
      </c>
      <c r="DT19" s="21"/>
      <c r="DU19" s="21" t="s">
        <v>7</v>
      </c>
      <c r="DV19" s="21" t="s">
        <v>106</v>
      </c>
      <c r="DW19" s="341">
        <f>IF(ISBLANK(fixtures!$L132),"",fixtures!$L132)</f>
        <v>2</v>
      </c>
      <c r="DX19" s="21" t="str">
        <f>IF(ISBLANK(fixtures!$L132),"",":")</f>
        <v>:</v>
      </c>
      <c r="DY19" s="342">
        <f>IF(ISBLANK(fixtures!$K132),"",fixtures!$K132)</f>
        <v>0</v>
      </c>
      <c r="DZ19" s="21" t="str">
        <f>IF(ISBLANK(fixtures!$L132),"",IF(DW19&gt;DY19,"W",IF(DW19=DY19,"D","L")))</f>
        <v>W</v>
      </c>
      <c r="EA19" s="21"/>
      <c r="EB19" s="21"/>
      <c r="EC19" s="270">
        <v>12</v>
      </c>
      <c r="ED19" s="23" t="s">
        <v>107</v>
      </c>
      <c r="EE19" s="349">
        <f ca="1">IFERROR(INDIRECT("fixtures!" &amp; Dashboard!J1 &amp;140) - Dashboard!K1/24,"TBC")</f>
        <v>44877.708333333336</v>
      </c>
      <c r="EF19" s="23"/>
      <c r="EG19" s="23" t="s">
        <v>13</v>
      </c>
      <c r="EH19" s="23" t="s">
        <v>108</v>
      </c>
      <c r="EI19" s="270">
        <f>IF(ISBLANK(fixtures!$K140),"",fixtures!$K140)</f>
        <v>3</v>
      </c>
      <c r="EJ19" s="23" t="str">
        <f>IF(ISBLANK(fixtures!$L140),"",":")</f>
        <v>:</v>
      </c>
      <c r="EK19" s="272">
        <f>IF(ISBLANK(fixtures!$L140),"",fixtures!$L140)</f>
        <v>1</v>
      </c>
      <c r="EL19" s="23" t="str">
        <f>IF(ISBLANK(fixtures!$L140),"",IF(EI19&gt;EK19,"W",IF(EI19=EK19,"D","L")))</f>
        <v>W</v>
      </c>
      <c r="EM19" s="23"/>
      <c r="EN19" s="23"/>
      <c r="EO19" s="105">
        <v>12</v>
      </c>
      <c r="EP19" s="25" t="s">
        <v>107</v>
      </c>
      <c r="EQ19" s="355">
        <f ca="1">IFERROR(INDIRECT("fixtures!" &amp; Dashboard!J1 &amp;138) - Dashboard!K1/24,"TBC")</f>
        <v>44877.604166666664</v>
      </c>
      <c r="ER19" s="25"/>
      <c r="ES19" s="25" t="s">
        <v>125</v>
      </c>
      <c r="ET19" s="25" t="s">
        <v>108</v>
      </c>
      <c r="EU19" s="105">
        <f>IF(ISBLANK(fixtures!$K138),"",fixtures!$K138)</f>
        <v>1</v>
      </c>
      <c r="EV19" s="25" t="str">
        <f>IF(ISBLANK(fixtures!$L138),"",":")</f>
        <v>:</v>
      </c>
      <c r="EW19" s="107">
        <f>IF(ISBLANK(fixtures!$L138),"",fixtures!$L138)</f>
        <v>2</v>
      </c>
      <c r="EX19" s="25" t="str">
        <f>IF(ISBLANK(fixtures!$L138),"",IF(EU19&gt;EW19,"W",IF(EU19=EW19,"D","L")))</f>
        <v>L</v>
      </c>
      <c r="EY19" s="25"/>
      <c r="EZ19" s="25"/>
      <c r="FA19" s="361">
        <v>13</v>
      </c>
      <c r="FB19" s="27" t="s">
        <v>105</v>
      </c>
      <c r="FC19" s="363">
        <f ca="1">IFERROR(INDIRECT("fixtures!" &amp; Dashboard!J1 &amp;147) - Dashboard!K1/24,"TBC")</f>
        <v>44878.770833333336</v>
      </c>
      <c r="FD19" s="27"/>
      <c r="FE19" s="27" t="s">
        <v>126</v>
      </c>
      <c r="FF19" s="27" t="s">
        <v>106</v>
      </c>
      <c r="FG19" s="361">
        <f>IF(ISBLANK(fixtures!$L147),"",fixtures!$L147)</f>
        <v>2</v>
      </c>
      <c r="FH19" s="27" t="str">
        <f>IF(ISBLANK(fixtures!$L147),"",":")</f>
        <v>:</v>
      </c>
      <c r="FI19" s="362">
        <f>IF(ISBLANK(fixtures!$K147),"",fixtures!$K147)</f>
        <v>1</v>
      </c>
      <c r="FJ19" s="27" t="str">
        <f>IF(ISBLANK(fixtures!$L147),"",IF(FG19&gt;FI19,"W",IF(FG19=FI19,"D","L")))</f>
        <v>W</v>
      </c>
      <c r="FK19" s="27"/>
      <c r="FL19" s="27"/>
      <c r="FM19" s="110">
        <v>6</v>
      </c>
      <c r="FN19" s="29" t="s">
        <v>105</v>
      </c>
      <c r="FO19" s="369">
        <f ca="1">IFERROR(INDIRECT("fixtures!" &amp; Dashboard!J1 &amp;135) - Dashboard!K1/24,"TBC")</f>
        <v>44871.666666666664</v>
      </c>
      <c r="FP19" s="29"/>
      <c r="FQ19" s="29" t="s">
        <v>13</v>
      </c>
      <c r="FR19" s="29" t="s">
        <v>106</v>
      </c>
      <c r="FS19" s="110">
        <f>IF(ISBLANK(fixtures!$L135),"",fixtures!$L135)</f>
        <v>4</v>
      </c>
      <c r="FT19" s="29" t="str">
        <f>IF(ISBLANK(fixtures!$L135),"",":")</f>
        <v>:</v>
      </c>
      <c r="FU19" s="112">
        <f>IF(ISBLANK(fixtures!$K135),"",fixtures!$K135)</f>
        <v>1</v>
      </c>
      <c r="FV19" s="29" t="str">
        <f>IF(ISBLANK(fixtures!$L135),"",IF(FS19&gt;FU19,"W",IF(FS19=FU19,"D","L")))</f>
        <v>W</v>
      </c>
      <c r="FW19" s="29"/>
      <c r="FX19" s="29"/>
      <c r="FY19" s="375">
        <v>5</v>
      </c>
      <c r="FZ19" s="264" t="s">
        <v>107</v>
      </c>
      <c r="GA19" s="377">
        <f ca="1">IFERROR(INDIRECT("fixtures!" &amp; Dashboard!J1 &amp;130) - Dashboard!K1/24,"TBC")</f>
        <v>44870.708333333336</v>
      </c>
      <c r="GB19" s="264"/>
      <c r="GC19" s="264" t="s">
        <v>125</v>
      </c>
      <c r="GD19" s="264" t="s">
        <v>108</v>
      </c>
      <c r="GE19" s="375">
        <f>IF(ISBLANK(fixtures!$K130),"",fixtures!$K130)</f>
        <v>2</v>
      </c>
      <c r="GF19" s="264" t="str">
        <f>IF(ISBLANK(fixtures!$L130),"",":")</f>
        <v>:</v>
      </c>
      <c r="GG19" s="376">
        <f>IF(ISBLANK(fixtures!$L130),"",fixtures!$L130)</f>
        <v>2</v>
      </c>
      <c r="GH19" s="264" t="str">
        <f>IF(ISBLANK(fixtures!$L130),"",IF(GE19&gt;GG19,"W",IF(GE19=GG19,"D","L")))</f>
        <v>D</v>
      </c>
      <c r="GI19" s="264"/>
      <c r="GJ19" s="264"/>
      <c r="GK19" s="382">
        <v>6</v>
      </c>
      <c r="GL19" s="383" t="s">
        <v>105</v>
      </c>
      <c r="GM19" s="384">
        <f ca="1">IFERROR(INDIRECT("fixtures!" &amp; Dashboard!J1 &amp;135) - Dashboard!K1/24,"TBC")</f>
        <v>44871.666666666664</v>
      </c>
      <c r="GN19" s="30"/>
      <c r="GO19" s="30" t="s">
        <v>12</v>
      </c>
      <c r="GP19" s="30" t="s">
        <v>108</v>
      </c>
      <c r="GQ19" s="382">
        <f>IF(ISBLANK(fixtures!$K135),"",fixtures!$K135)</f>
        <v>1</v>
      </c>
      <c r="GR19" s="30" t="str">
        <f>IF(ISBLANK(fixtures!$L135),"",":")</f>
        <v>:</v>
      </c>
      <c r="GS19" s="383">
        <f>IF(ISBLANK(fixtures!$L135),"",fixtures!$L135)</f>
        <v>4</v>
      </c>
      <c r="GT19" s="30" t="str">
        <f>IF(ISBLANK(fixtures!$L135),"",IF(GQ19&gt;GS19,"W",IF(GQ19=GS19,"D","L")))</f>
        <v>L</v>
      </c>
      <c r="GU19" s="30"/>
      <c r="GV19" s="30"/>
      <c r="GW19" s="115">
        <v>6</v>
      </c>
      <c r="GX19" s="32" t="s">
        <v>105</v>
      </c>
      <c r="GY19" s="390">
        <f ca="1">IFERROR(INDIRECT("fixtures!" &amp; Dashboard!J1 &amp;137) - Dashboard!K1/24,"TBC")</f>
        <v>44871.770833333336</v>
      </c>
      <c r="GZ19" s="32"/>
      <c r="HA19" s="32" t="s">
        <v>9</v>
      </c>
      <c r="HB19" s="32" t="s">
        <v>108</v>
      </c>
      <c r="HC19" s="115">
        <f>IF(ISBLANK(fixtures!$K137),"",fixtures!$K137)</f>
        <v>1</v>
      </c>
      <c r="HD19" s="32" t="str">
        <f>IF(ISBLANK(fixtures!$L137),"",":")</f>
        <v>:</v>
      </c>
      <c r="HE19" s="117">
        <f>IF(ISBLANK(fixtures!$L137),"",fixtures!$L137)</f>
        <v>2</v>
      </c>
      <c r="HF19" s="32" t="str">
        <f>IF(ISBLANK(fixtures!$L137),"",IF(HC19&gt;HE19,"W",IF(HC19=HE19,"D","L")))</f>
        <v>L</v>
      </c>
      <c r="HG19" s="32"/>
      <c r="HH19" s="32"/>
      <c r="HI19" s="120">
        <v>6</v>
      </c>
      <c r="HJ19" s="34" t="s">
        <v>105</v>
      </c>
      <c r="HK19" s="396">
        <f ca="1">IFERROR(INDIRECT("fixtures!" &amp; Dashboard!J1 &amp;136) - Dashboard!K1/24,"TBC")</f>
        <v>44871.666666666664</v>
      </c>
      <c r="HL19" s="34"/>
      <c r="HM19" s="34" t="s">
        <v>6</v>
      </c>
      <c r="HN19" s="34" t="s">
        <v>108</v>
      </c>
      <c r="HO19" s="120">
        <f>IF(ISBLANK(fixtures!$K136),"",fixtures!$K136)</f>
        <v>1</v>
      </c>
      <c r="HP19" s="34" t="str">
        <f>IF(ISBLANK(fixtures!$L136),"",":")</f>
        <v>:</v>
      </c>
      <c r="HQ19" s="122">
        <f>IF(ISBLANK(fixtures!$L136),"",fixtures!$L136)</f>
        <v>2</v>
      </c>
      <c r="HR19" s="34" t="str">
        <f>IF(ISBLANK(fixtures!$L136),"",IF(HO19&gt;HQ19,"W",IF(HO19=HQ19,"D","L")))</f>
        <v>L</v>
      </c>
      <c r="HS19" s="34"/>
      <c r="HT19" s="34"/>
      <c r="HU19" s="125">
        <v>5</v>
      </c>
      <c r="HV19" s="36" t="s">
        <v>107</v>
      </c>
      <c r="HW19" s="402">
        <f ca="1">IFERROR(INDIRECT("fixtures!" &amp; Dashboard!J1 &amp;131) - Dashboard!K1/24,"TBC")</f>
        <v>44870.708333333336</v>
      </c>
      <c r="HX19" s="36"/>
      <c r="HY19" s="36" t="s">
        <v>4</v>
      </c>
      <c r="HZ19" s="36" t="s">
        <v>108</v>
      </c>
      <c r="IA19" s="125">
        <f>IF(ISBLANK(fixtures!$K131),"",fixtures!$K131)</f>
        <v>2</v>
      </c>
      <c r="IB19" s="36" t="str">
        <f>IF(ISBLANK(fixtures!$L131),"",":")</f>
        <v>:</v>
      </c>
      <c r="IC19" s="127">
        <f>IF(ISBLANK(fixtures!$L131),"",fixtures!$L131)</f>
        <v>3</v>
      </c>
      <c r="ID19" s="36" t="str">
        <f>IF(ISBLANK(fixtures!$L131),"",IF(IA19&gt;IC19,"W",IF(IA19=IC19,"D","L")))</f>
        <v>L</v>
      </c>
      <c r="IE19" s="36"/>
      <c r="IF19" s="36"/>
    </row>
    <row r="20" spans="1:243" x14ac:dyDescent="0.4">
      <c r="A20" s="278" t="s">
        <v>21</v>
      </c>
      <c r="B20" s="6"/>
      <c r="C20" s="277"/>
      <c r="D20" s="6"/>
      <c r="E20" s="6"/>
      <c r="F20" s="6"/>
      <c r="G20" s="91"/>
      <c r="H20" s="6"/>
      <c r="I20" s="93"/>
      <c r="J20" s="6"/>
      <c r="K20" s="6"/>
      <c r="L20" s="6"/>
      <c r="M20" s="282">
        <v>13</v>
      </c>
      <c r="N20" s="9" t="s">
        <v>105</v>
      </c>
      <c r="O20" s="284">
        <f ca="1">IFERROR(INDIRECT("fixtures!" &amp; Dashboard!J1 &amp;146) - Dashboard!K1/24,"TBC")</f>
        <v>44878.666666666664</v>
      </c>
      <c r="P20" s="9"/>
      <c r="Q20" s="9" t="s">
        <v>4</v>
      </c>
      <c r="R20" s="9" t="s">
        <v>106</v>
      </c>
      <c r="S20" s="282">
        <f>IF(ISBLANK(fixtures!$L146),"",fixtures!$L146)</f>
        <v>2</v>
      </c>
      <c r="T20" s="9" t="str">
        <f>IF(ISBLANK(fixtures!$L146),"",":")</f>
        <v>:</v>
      </c>
      <c r="U20" s="283">
        <f>IF(ISBLANK(fixtures!$K146),"",fixtures!$K146)</f>
        <v>1</v>
      </c>
      <c r="V20" s="9" t="str">
        <f>IF(ISBLANK(fixtures!$L146),"",IF(S20&gt;U20,"W",IF(S20=U20,"D","L")))</f>
        <v>W</v>
      </c>
      <c r="W20" s="9"/>
      <c r="X20" s="9"/>
      <c r="Y20" s="290">
        <v>12</v>
      </c>
      <c r="Z20" s="262" t="s">
        <v>107</v>
      </c>
      <c r="AA20" s="291">
        <f ca="1">IFERROR(INDIRECT("fixtures!" &amp; Dashboard!J1 &amp;139) - Dashboard!K1/24,"TBC")</f>
        <v>44877.708333333336</v>
      </c>
      <c r="AB20" s="262"/>
      <c r="AC20" s="262" t="s">
        <v>7</v>
      </c>
      <c r="AD20" s="262" t="s">
        <v>108</v>
      </c>
      <c r="AE20" s="290">
        <f>IF(ISBLANK(fixtures!$K139),"",fixtures!$K139)</f>
        <v>3</v>
      </c>
      <c r="AF20" s="262" t="str">
        <f>IF(ISBLANK(fixtures!$L139),"",":")</f>
        <v>:</v>
      </c>
      <c r="AG20" s="292">
        <f>IF(ISBLANK(fixtures!$L139),"",fixtures!$L139)</f>
        <v>0</v>
      </c>
      <c r="AH20" s="262" t="str">
        <f>IF(ISBLANK(fixtures!$L139),"",IF(AE20&gt;AG20,"W",IF(AE20=AG20,"D","L")))</f>
        <v>W</v>
      </c>
      <c r="AI20" s="262"/>
      <c r="AJ20" s="262"/>
      <c r="AK20" s="411">
        <v>12</v>
      </c>
      <c r="AL20" s="410" t="s">
        <v>107</v>
      </c>
      <c r="AM20" s="413">
        <f ca="1">IFERROR(INDIRECT("fixtures!" &amp; Dashboard!J1 &amp;138) - Dashboard!K1/24,"TBC")</f>
        <v>44877.604166666664</v>
      </c>
      <c r="AN20" s="410"/>
      <c r="AO20" s="410" t="s">
        <v>10</v>
      </c>
      <c r="AP20" s="410" t="s">
        <v>106</v>
      </c>
      <c r="AQ20" s="411">
        <f>IF(ISBLANK(fixtures!$L138),"",fixtures!$L138)</f>
        <v>2</v>
      </c>
      <c r="AR20" s="410" t="str">
        <f>IF(ISBLANK(fixtures!$L138),"",":")</f>
        <v>:</v>
      </c>
      <c r="AS20" s="412">
        <f>IF(ISBLANK(fixtures!$K138),"",fixtures!$K138)</f>
        <v>1</v>
      </c>
      <c r="AT20" s="410" t="str">
        <f>IF(ISBLANK(fixtures!$L138),"",IF(AQ20&gt;AS20,"W",IF(AQ20=AS20,"D","L")))</f>
        <v>W</v>
      </c>
      <c r="AU20" s="410"/>
      <c r="AV20" s="410"/>
      <c r="AW20" s="299" t="s">
        <v>21</v>
      </c>
      <c r="AX20" s="11"/>
      <c r="AY20" s="298"/>
      <c r="AZ20" s="11"/>
      <c r="BA20" s="11"/>
      <c r="BB20" s="11"/>
      <c r="BC20" s="96"/>
      <c r="BD20" s="11"/>
      <c r="BE20" s="98"/>
      <c r="BF20" s="11"/>
      <c r="BG20" s="11"/>
      <c r="BH20" s="11"/>
      <c r="BI20" s="305" t="s">
        <v>21</v>
      </c>
      <c r="BJ20" s="15"/>
      <c r="BK20" s="304"/>
      <c r="BL20" s="15"/>
      <c r="BM20" s="15"/>
      <c r="BN20" s="15"/>
      <c r="BO20" s="181"/>
      <c r="BP20" s="15"/>
      <c r="BQ20" s="183"/>
      <c r="BR20" s="15"/>
      <c r="BS20" s="15"/>
      <c r="BT20" s="15"/>
      <c r="BU20" s="313" t="s">
        <v>21</v>
      </c>
      <c r="BV20" s="16"/>
      <c r="BW20" s="312"/>
      <c r="BX20" s="16"/>
      <c r="BY20" s="16"/>
      <c r="BZ20" s="16"/>
      <c r="CA20" s="310"/>
      <c r="CB20" s="16"/>
      <c r="CC20" s="311"/>
      <c r="CD20" s="16"/>
      <c r="CE20" s="16"/>
      <c r="CF20" s="16"/>
      <c r="CG20" s="318">
        <v>12</v>
      </c>
      <c r="CH20" s="19" t="s">
        <v>107</v>
      </c>
      <c r="CI20" s="320">
        <f ca="1">IFERROR(INDIRECT("fixtures!" &amp; Dashboard!J1 &amp;139) - Dashboard!K1/24,"TBC")</f>
        <v>44877.708333333336</v>
      </c>
      <c r="CJ20" s="19"/>
      <c r="CK20" s="19" t="s">
        <v>3</v>
      </c>
      <c r="CL20" s="19" t="s">
        <v>106</v>
      </c>
      <c r="CM20" s="318">
        <f>IF(ISBLANK(fixtures!$L139),"",fixtures!$L139)</f>
        <v>0</v>
      </c>
      <c r="CN20" s="19" t="str">
        <f>IF(ISBLANK(fixtures!$L139),"",":")</f>
        <v>:</v>
      </c>
      <c r="CO20" s="319">
        <f>IF(ISBLANK(fixtures!$K139),"",fixtures!$K139)</f>
        <v>3</v>
      </c>
      <c r="CP20" s="19" t="str">
        <f>IF(ISBLANK(fixtures!$L139),"",IF(CM20&gt;CO20,"W",IF(CM20=CO20,"D","L")))</f>
        <v>L</v>
      </c>
      <c r="CQ20" s="19"/>
      <c r="CR20" s="19"/>
      <c r="CS20" s="326">
        <v>13</v>
      </c>
      <c r="CT20" s="178" t="s">
        <v>105</v>
      </c>
      <c r="CU20" s="328">
        <f ca="1">IFERROR(INDIRECT("fixtures!" &amp; Dashboard!J1 &amp;147) - Dashboard!K1/24,"TBC")</f>
        <v>44878.770833333336</v>
      </c>
      <c r="CV20" s="178"/>
      <c r="CW20" s="178" t="s">
        <v>11</v>
      </c>
      <c r="CX20" s="178" t="s">
        <v>108</v>
      </c>
      <c r="CY20" s="326">
        <f>IF(ISBLANK(fixtures!$K147),"",fixtures!$K147)</f>
        <v>1</v>
      </c>
      <c r="CZ20" s="178" t="str">
        <f>IF(ISBLANK(fixtures!$L147),"",":")</f>
        <v>:</v>
      </c>
      <c r="DA20" s="327">
        <f>IF(ISBLANK(fixtures!$L147),"",fixtures!$L147)</f>
        <v>2</v>
      </c>
      <c r="DB20" s="178" t="str">
        <f>IF(ISBLANK(fixtures!$L147),"",IF(CY20&gt;DA20,"W",IF(CY20=DA20,"D","L")))</f>
        <v>L</v>
      </c>
      <c r="DC20" s="178"/>
      <c r="DD20" s="178"/>
      <c r="DE20" s="337" t="s">
        <v>21</v>
      </c>
      <c r="DF20" s="177"/>
      <c r="DG20" s="336"/>
      <c r="DH20" s="177"/>
      <c r="DI20" s="177"/>
      <c r="DJ20" s="177"/>
      <c r="DK20" s="334"/>
      <c r="DL20" s="177"/>
      <c r="DM20" s="335"/>
      <c r="DN20" s="177"/>
      <c r="DO20" s="177"/>
      <c r="DP20" s="177"/>
      <c r="DQ20" s="341">
        <v>12</v>
      </c>
      <c r="DR20" s="21" t="s">
        <v>107</v>
      </c>
      <c r="DS20" s="343">
        <f ca="1">IFERROR(INDIRECT("fixtures!" &amp; Dashboard!J1 &amp;143) - Dashboard!K1/24,"TBC")</f>
        <v>44877.708333333336</v>
      </c>
      <c r="DT20" s="21"/>
      <c r="DU20" s="21" t="s">
        <v>15</v>
      </c>
      <c r="DV20" s="21" t="s">
        <v>106</v>
      </c>
      <c r="DW20" s="341">
        <f>IF(ISBLANK(fixtures!$L143),"",fixtures!$L143)</f>
        <v>2</v>
      </c>
      <c r="DX20" s="21" t="str">
        <f>IF(ISBLANK(fixtures!$L143),"",":")</f>
        <v>:</v>
      </c>
      <c r="DY20" s="342">
        <f>IF(ISBLANK(fixtures!$K143),"",fixtures!$K143)</f>
        <v>0</v>
      </c>
      <c r="DZ20" s="21" t="str">
        <f>IF(ISBLANK(fixtures!$L143),"",IF(DW20&gt;DY20,"W",IF(DW20=DY20,"D","L")))</f>
        <v>W</v>
      </c>
      <c r="EA20" s="21"/>
      <c r="EB20" s="21"/>
      <c r="EC20" s="350" t="s">
        <v>21</v>
      </c>
      <c r="ED20" s="23"/>
      <c r="EE20" s="349"/>
      <c r="EF20" s="23"/>
      <c r="EG20" s="23"/>
      <c r="EH20" s="23"/>
      <c r="EI20" s="270"/>
      <c r="EJ20" s="23"/>
      <c r="EK20" s="272"/>
      <c r="EL20" s="23"/>
      <c r="EM20" s="23"/>
      <c r="EN20" s="23"/>
      <c r="EO20" s="356" t="s">
        <v>21</v>
      </c>
      <c r="EP20" s="25"/>
      <c r="EQ20" s="355"/>
      <c r="ER20" s="25"/>
      <c r="ES20" s="25"/>
      <c r="ET20" s="25"/>
      <c r="EU20" s="105"/>
      <c r="EV20" s="25"/>
      <c r="EW20" s="107"/>
      <c r="EX20" s="25"/>
      <c r="EY20" s="25"/>
      <c r="EZ20" s="25"/>
      <c r="FA20" s="364" t="s">
        <v>21</v>
      </c>
      <c r="FB20" s="27"/>
      <c r="FC20" s="363"/>
      <c r="FD20" s="27"/>
      <c r="FE20" s="27"/>
      <c r="FF20" s="27"/>
      <c r="FG20" s="361"/>
      <c r="FH20" s="27"/>
      <c r="FI20" s="362"/>
      <c r="FJ20" s="27"/>
      <c r="FK20" s="27"/>
      <c r="FL20" s="27"/>
      <c r="FM20" s="110">
        <v>12</v>
      </c>
      <c r="FN20" s="29" t="s">
        <v>107</v>
      </c>
      <c r="FO20" s="369">
        <f ca="1">IFERROR(INDIRECT("fixtures!" &amp; Dashboard!J1 &amp;144) - Dashboard!K1/24,"TBC")</f>
        <v>44877.8125</v>
      </c>
      <c r="FP20" s="29"/>
      <c r="FQ20" s="29" t="s">
        <v>5</v>
      </c>
      <c r="FR20" s="29" t="s">
        <v>108</v>
      </c>
      <c r="FS20" s="110">
        <f>IF(ISBLANK(fixtures!$K144),"",fixtures!$K144)</f>
        <v>1</v>
      </c>
      <c r="FT20" s="29" t="str">
        <f>IF(ISBLANK(fixtures!$L144),"",":")</f>
        <v>:</v>
      </c>
      <c r="FU20" s="112">
        <f>IF(ISBLANK(fixtures!$L144),"",fixtures!$L144)</f>
        <v>0</v>
      </c>
      <c r="FV20" s="29" t="str">
        <f>IF(ISBLANK(fixtures!$L144),"",IF(FS20&gt;FU20,"W",IF(FS20=FU20,"D","L")))</f>
        <v>W</v>
      </c>
      <c r="FW20" s="29"/>
      <c r="FX20" s="29"/>
      <c r="FY20" s="375">
        <v>12</v>
      </c>
      <c r="FZ20" s="264" t="s">
        <v>107</v>
      </c>
      <c r="GA20" s="377">
        <f ca="1">IFERROR(INDIRECT("fixtures!" &amp; Dashboard!J1 &amp;141) - Dashboard!K1/24,"TBC")</f>
        <v>44877.708333333336</v>
      </c>
      <c r="GB20" s="264"/>
      <c r="GC20" s="264" t="s">
        <v>6</v>
      </c>
      <c r="GD20" s="264" t="s">
        <v>108</v>
      </c>
      <c r="GE20" s="375">
        <f>IF(ISBLANK(fixtures!$K141),"",fixtures!$K141)</f>
        <v>1</v>
      </c>
      <c r="GF20" s="264" t="str">
        <f>IF(ISBLANK(fixtures!$L141),"",":")</f>
        <v>:</v>
      </c>
      <c r="GG20" s="376">
        <f>IF(ISBLANK(fixtures!$L141),"",fixtures!$L141)</f>
        <v>0</v>
      </c>
      <c r="GH20" s="264" t="str">
        <f>IF(ISBLANK(fixtures!$L141),"",IF(GE20&gt;GG20,"W",IF(GE20=GG20,"D","L")))</f>
        <v>W</v>
      </c>
      <c r="GI20" s="264"/>
      <c r="GJ20" s="264"/>
      <c r="GK20" s="382">
        <v>12</v>
      </c>
      <c r="GL20" s="30" t="s">
        <v>107</v>
      </c>
      <c r="GM20" s="384">
        <f ca="1">IFERROR(INDIRECT("fixtures!" &amp; Dashboard!J1 &amp;140) - Dashboard!K1/24,"TBC")</f>
        <v>44877.708333333336</v>
      </c>
      <c r="GN20" s="30"/>
      <c r="GO20" s="30" t="s">
        <v>9</v>
      </c>
      <c r="GP20" s="30" t="s">
        <v>106</v>
      </c>
      <c r="GQ20" s="382">
        <f>IF(ISBLANK(fixtures!$L140),"",fixtures!$L140)</f>
        <v>1</v>
      </c>
      <c r="GR20" s="30" t="str">
        <f>IF(ISBLANK(fixtures!$L140),"",":")</f>
        <v>:</v>
      </c>
      <c r="GS20" s="383">
        <f>IF(ISBLANK(fixtures!$K140),"",fixtures!$K140)</f>
        <v>3</v>
      </c>
      <c r="GT20" s="30" t="str">
        <f>IF(ISBLANK(fixtures!$L140),"",IF(GQ20&gt;GS20,"W",IF(GQ20=GS20,"D","L")))</f>
        <v>L</v>
      </c>
      <c r="GU20" s="30"/>
      <c r="GV20" s="30"/>
      <c r="GW20" s="115">
        <v>12</v>
      </c>
      <c r="GX20" s="32" t="s">
        <v>107</v>
      </c>
      <c r="GY20" s="390">
        <f ca="1">IFERROR(INDIRECT("fixtures!" &amp; Dashboard!J1 &amp;142) - Dashboard!K1/24,"TBC")</f>
        <v>44877.708333333336</v>
      </c>
      <c r="GZ20" s="32"/>
      <c r="HA20" s="32" t="s">
        <v>139</v>
      </c>
      <c r="HB20" s="32" t="s">
        <v>108</v>
      </c>
      <c r="HC20" s="115">
        <f>IF(ISBLANK(fixtures!$K142),"",fixtures!$K142)</f>
        <v>4</v>
      </c>
      <c r="HD20" s="32" t="str">
        <f>IF(ISBLANK(fixtures!$L142),"",":")</f>
        <v>:</v>
      </c>
      <c r="HE20" s="117">
        <f>IF(ISBLANK(fixtures!$L142),"",fixtures!$L142)</f>
        <v>3</v>
      </c>
      <c r="HF20" s="32" t="str">
        <f>IF(ISBLANK(fixtures!$L142),"",IF(HC20&gt;HE20,"W",IF(HC20=HE20,"D","L")))</f>
        <v>W</v>
      </c>
      <c r="HG20" s="32"/>
      <c r="HH20" s="32"/>
      <c r="HI20" s="120">
        <v>12</v>
      </c>
      <c r="HJ20" s="34" t="s">
        <v>107</v>
      </c>
      <c r="HK20" s="396">
        <f ca="1">IFERROR(INDIRECT("fixtures!" &amp; Dashboard!J1 &amp;143) - Dashboard!K1/24,"TBC")</f>
        <v>44877.708333333336</v>
      </c>
      <c r="HL20" s="34"/>
      <c r="HM20" s="34" t="s">
        <v>8</v>
      </c>
      <c r="HN20" s="34" t="s">
        <v>108</v>
      </c>
      <c r="HO20" s="120">
        <f>IF(ISBLANK(fixtures!$K143),"",fixtures!$K143)</f>
        <v>0</v>
      </c>
      <c r="HP20" s="34" t="str">
        <f>IF(ISBLANK(fixtures!$L143),"",":")</f>
        <v>:</v>
      </c>
      <c r="HQ20" s="122">
        <f>IF(ISBLANK(fixtures!$L143),"",fixtures!$L143)</f>
        <v>2</v>
      </c>
      <c r="HR20" s="34" t="str">
        <f>IF(ISBLANK(fixtures!$L143),"",IF(HO20&gt;HQ20,"W",IF(HO20=HQ20,"D","L")))</f>
        <v>L</v>
      </c>
      <c r="HS20" s="34"/>
      <c r="HT20" s="34"/>
      <c r="HU20" s="125">
        <v>12</v>
      </c>
      <c r="HV20" s="36" t="s">
        <v>107</v>
      </c>
      <c r="HW20" s="402">
        <f ca="1">IFERROR(INDIRECT("fixtures!" &amp; Dashboard!J1 &amp;145) - Dashboard!K1/24,"TBC")</f>
        <v>44877.90625</v>
      </c>
      <c r="HX20" s="36"/>
      <c r="HY20" s="36" t="s">
        <v>1</v>
      </c>
      <c r="HZ20" s="36" t="s">
        <v>108</v>
      </c>
      <c r="IA20" s="125">
        <f>IF(ISBLANK(fixtures!$K145),"",fixtures!$K145)</f>
        <v>0</v>
      </c>
      <c r="IB20" s="36" t="str">
        <f>IF(ISBLANK(fixtures!$L145),"",":")</f>
        <v>:</v>
      </c>
      <c r="IC20" s="127">
        <f>IF(ISBLANK(fixtures!$L145),"",fixtures!$L145)</f>
        <v>2</v>
      </c>
      <c r="ID20" s="36" t="str">
        <f>IF(ISBLANK(fixtures!$L145),"",IF(IA20&gt;IC20,"W",IF(IA20=IC20,"D","L")))</f>
        <v>L</v>
      </c>
      <c r="IE20" s="36"/>
      <c r="IF20" s="36"/>
    </row>
    <row r="21" spans="1:243" x14ac:dyDescent="0.4">
      <c r="A21" s="91">
        <v>26</v>
      </c>
      <c r="B21" s="6" t="s">
        <v>109</v>
      </c>
      <c r="C21" s="277">
        <f ca="1">IFERROR(INDIRECT("fixtures!" &amp; Dashboard!J1 &amp;154) - Dashboard!K1/24,"TBC")</f>
        <v>44921.916666666664</v>
      </c>
      <c r="D21" s="6"/>
      <c r="E21" s="6" t="s">
        <v>15</v>
      </c>
      <c r="F21" s="6" t="s">
        <v>108</v>
      </c>
      <c r="G21" s="91">
        <f>IF(ISBLANK(fixtures!$K154),"",fixtures!$K154)</f>
        <v>3</v>
      </c>
      <c r="H21" s="6" t="str">
        <f>IF(ISBLANK(fixtures!$L154),"",":")</f>
        <v>:</v>
      </c>
      <c r="I21" s="93">
        <f>IF(ISBLANK(fixtures!$L154),"",fixtures!$L154)</f>
        <v>1</v>
      </c>
      <c r="J21" s="6" t="str">
        <f>IF(ISBLANK(fixtures!$L154),"",IF(G21&gt;I21,"W",IF(G21=I21,"D","L")))</f>
        <v>W</v>
      </c>
      <c r="K21" s="6"/>
      <c r="L21" s="6"/>
      <c r="M21" s="285" t="s">
        <v>21</v>
      </c>
      <c r="N21" s="9"/>
      <c r="O21" s="284"/>
      <c r="P21" s="9"/>
      <c r="Q21" s="9"/>
      <c r="R21" s="9"/>
      <c r="S21" s="282"/>
      <c r="T21" s="9"/>
      <c r="U21" s="283"/>
      <c r="V21" s="9"/>
      <c r="W21" s="9"/>
      <c r="X21" s="9"/>
      <c r="Y21" s="293" t="s">
        <v>21</v>
      </c>
      <c r="Z21" s="262"/>
      <c r="AA21" s="291"/>
      <c r="AB21" s="262"/>
      <c r="AC21" s="262"/>
      <c r="AD21" s="262"/>
      <c r="AE21" s="290"/>
      <c r="AF21" s="262"/>
      <c r="AG21" s="292"/>
      <c r="AH21" s="262"/>
      <c r="AI21" s="262"/>
      <c r="AJ21" s="262"/>
      <c r="AK21" s="414" t="s">
        <v>21</v>
      </c>
      <c r="AL21" s="410"/>
      <c r="AM21" s="413"/>
      <c r="AN21" s="410"/>
      <c r="AO21" s="410"/>
      <c r="AP21" s="410"/>
      <c r="AQ21" s="411"/>
      <c r="AR21" s="410"/>
      <c r="AS21" s="412"/>
      <c r="AT21" s="410"/>
      <c r="AU21" s="410"/>
      <c r="AV21" s="410"/>
      <c r="AW21" s="96">
        <v>26</v>
      </c>
      <c r="AX21" s="11" t="s">
        <v>109</v>
      </c>
      <c r="AY21" s="298">
        <f ca="1">IFERROR(INDIRECT("fixtures!" &amp; Dashboard!J1 &amp;152) - Dashboard!K1/24,"TBC")</f>
        <v>44921.708333333336</v>
      </c>
      <c r="AZ21" s="11"/>
      <c r="BA21" s="11" t="s">
        <v>13</v>
      </c>
      <c r="BB21" s="11" t="s">
        <v>106</v>
      </c>
      <c r="BC21" s="96">
        <f>IF(ISBLANK(fixtures!$L152),"",fixtures!$L152)</f>
        <v>3</v>
      </c>
      <c r="BD21" s="11" t="str">
        <f>IF(ISBLANK(fixtures!$L152),"",":")</f>
        <v>:</v>
      </c>
      <c r="BE21" s="98">
        <f>IF(ISBLANK(fixtures!$K152),"",fixtures!$K152)</f>
        <v>1</v>
      </c>
      <c r="BF21" s="11" t="str">
        <f>IF(ISBLANK(fixtures!$L152),"",IF(BC21&gt;BE21,"W",IF(BC21=BE21,"D","L")))</f>
        <v>W</v>
      </c>
      <c r="BG21" s="11"/>
      <c r="BH21" s="11"/>
      <c r="BI21" s="181">
        <v>27</v>
      </c>
      <c r="BJ21" s="15" t="s">
        <v>111</v>
      </c>
      <c r="BK21" s="304">
        <f ca="1">IFERROR(INDIRECT("fixtures!" &amp; Dashboard!J1 &amp;155) - Dashboard!K1/24,"TBC")</f>
        <v>44922.8125</v>
      </c>
      <c r="BL21" s="15"/>
      <c r="BM21" s="15" t="s">
        <v>3</v>
      </c>
      <c r="BN21" s="15" t="s">
        <v>108</v>
      </c>
      <c r="BO21" s="181">
        <f>IF(ISBLANK(fixtures!$K155),"",fixtures!$K155)</f>
        <v>2</v>
      </c>
      <c r="BP21" s="15" t="str">
        <f>IF(ISBLANK(fixtures!$L155),"",":")</f>
        <v>:</v>
      </c>
      <c r="BQ21" s="183">
        <f>IF(ISBLANK(fixtures!$L155),"",fixtures!$L155)</f>
        <v>0</v>
      </c>
      <c r="BR21" s="15" t="str">
        <f>IF(ISBLANK(fixtures!$L155),"",IF(BO21&gt;BQ21,"W",IF(BO21=BQ21,"D","L")))</f>
        <v>W</v>
      </c>
      <c r="BS21" s="15"/>
      <c r="BT21" s="15"/>
      <c r="BU21" s="310">
        <v>26</v>
      </c>
      <c r="BV21" s="16" t="s">
        <v>109</v>
      </c>
      <c r="BW21" s="312">
        <f ca="1">IFERROR(INDIRECT("fixtures!" &amp; Dashboard!J1 &amp;149) - Dashboard!K1/24,"TBC")</f>
        <v>44921.708333333336</v>
      </c>
      <c r="BX21" s="16"/>
      <c r="BY21" s="16" t="s">
        <v>126</v>
      </c>
      <c r="BZ21" s="16" t="s">
        <v>108</v>
      </c>
      <c r="CA21" s="310">
        <f>IF(ISBLANK(fixtures!$K149),"",fixtures!$K149)</f>
        <v>0</v>
      </c>
      <c r="CB21" s="16" t="str">
        <f>IF(ISBLANK(fixtures!$L149),"",":")</f>
        <v>:</v>
      </c>
      <c r="CC21" s="311">
        <f>IF(ISBLANK(fixtures!$L149),"",fixtures!$L149)</f>
        <v>3</v>
      </c>
      <c r="CD21" s="16" t="str">
        <f>IF(ISBLANK(fixtures!$L149),"",IF(CA21&gt;CC21,"W",IF(CA21=CC21,"D","L")))</f>
        <v>L</v>
      </c>
      <c r="CE21" s="16"/>
      <c r="CF21" s="16"/>
      <c r="CG21" s="321" t="s">
        <v>21</v>
      </c>
      <c r="CH21" s="19"/>
      <c r="CI21" s="320"/>
      <c r="CJ21" s="19"/>
      <c r="CK21" s="19"/>
      <c r="CL21" s="19"/>
      <c r="CM21" s="318"/>
      <c r="CN21" s="19"/>
      <c r="CO21" s="319"/>
      <c r="CP21" s="19"/>
      <c r="CQ21" s="19"/>
      <c r="CR21" s="19"/>
      <c r="CS21" s="329" t="s">
        <v>21</v>
      </c>
      <c r="CT21" s="178"/>
      <c r="CU21" s="328"/>
      <c r="CV21" s="178"/>
      <c r="CW21" s="178"/>
      <c r="CX21" s="178"/>
      <c r="CY21" s="326"/>
      <c r="CZ21" s="178"/>
      <c r="DA21" s="327"/>
      <c r="DB21" s="178"/>
      <c r="DC21" s="178"/>
      <c r="DD21" s="178"/>
      <c r="DE21" s="334">
        <v>28</v>
      </c>
      <c r="DF21" s="177" t="s">
        <v>110</v>
      </c>
      <c r="DG21" s="336">
        <f ca="1">IFERROR(INDIRECT("fixtures!" &amp; Dashboard!J1 &amp;157) - Dashboard!K1/24,"TBC")</f>
        <v>44923.916666666664</v>
      </c>
      <c r="DH21" s="177"/>
      <c r="DI21" s="177" t="s">
        <v>10</v>
      </c>
      <c r="DJ21" s="177" t="s">
        <v>108</v>
      </c>
      <c r="DK21" s="334">
        <f>IF(ISBLANK(fixtures!$K157),"",fixtures!$K157)</f>
        <v>1</v>
      </c>
      <c r="DL21" s="177" t="str">
        <f>IF(ISBLANK(fixtures!$L157),"",":")</f>
        <v>:</v>
      </c>
      <c r="DM21" s="335">
        <f>IF(ISBLANK(fixtures!$L157),"",fixtures!$L157)</f>
        <v>3</v>
      </c>
      <c r="DN21" s="177" t="str">
        <f>IF(ISBLANK(fixtures!$L157),"",IF(DK21&gt;DM21,"W",IF(DK21=DM21,"D","L")))</f>
        <v>L</v>
      </c>
      <c r="DO21" s="177"/>
      <c r="DP21" s="177"/>
      <c r="DQ21" s="344" t="s">
        <v>21</v>
      </c>
      <c r="DR21" s="21"/>
      <c r="DS21" s="343"/>
      <c r="DT21" s="21"/>
      <c r="DU21" s="21"/>
      <c r="DV21" s="21"/>
      <c r="DW21" s="341"/>
      <c r="DX21" s="21"/>
      <c r="DY21" s="342"/>
      <c r="DZ21" s="21"/>
      <c r="EA21" s="21"/>
      <c r="EB21" s="21"/>
      <c r="EC21" s="270">
        <v>26</v>
      </c>
      <c r="ED21" s="23" t="s">
        <v>109</v>
      </c>
      <c r="EE21" s="349">
        <f ca="1">IFERROR(INDIRECT("fixtures!" &amp; Dashboard!J1 &amp;153) - Dashboard!K1/24,"TBC")</f>
        <v>44921.8125</v>
      </c>
      <c r="EF21" s="23"/>
      <c r="EG21" s="23" t="s">
        <v>2</v>
      </c>
      <c r="EH21" s="23" t="s">
        <v>106</v>
      </c>
      <c r="EI21" s="270">
        <f>IF(ISBLANK(fixtures!$L153),"",fixtures!$L153)</f>
        <v>3</v>
      </c>
      <c r="EJ21" s="23" t="str">
        <f>IF(ISBLANK(fixtures!$L153),"",":")</f>
        <v>:</v>
      </c>
      <c r="EK21" s="272">
        <f>IF(ISBLANK(fixtures!$K153),"",fixtures!$K153)</f>
        <v>1</v>
      </c>
      <c r="EL21" s="23" t="str">
        <f>IF(ISBLANK(fixtures!$L153),"",IF(EI21&gt;EK21,"W",IF(EI21=EK21,"D","L")))</f>
        <v>W</v>
      </c>
      <c r="EM21" s="23"/>
      <c r="EN21" s="23"/>
      <c r="EO21" s="105">
        <v>28</v>
      </c>
      <c r="EP21" s="25" t="s">
        <v>110</v>
      </c>
      <c r="EQ21" s="355">
        <f ca="1">IFERROR(INDIRECT("fixtures!" &amp; Dashboard!J1 &amp;157) - Dashboard!K1/24,"TBC")</f>
        <v>44923.916666666664</v>
      </c>
      <c r="ER21" s="25"/>
      <c r="ES21" s="25" t="s">
        <v>139</v>
      </c>
      <c r="ET21" s="25" t="s">
        <v>106</v>
      </c>
      <c r="EU21" s="105">
        <f>IF(ISBLANK(fixtures!$L157),"",fixtures!$L157)</f>
        <v>3</v>
      </c>
      <c r="EV21" s="25" t="str">
        <f>IF(ISBLANK(fixtures!$L157),"",":")</f>
        <v>:</v>
      </c>
      <c r="EW21" s="107">
        <f>IF(ISBLANK(fixtures!$K157),"",fixtures!$K157)</f>
        <v>1</v>
      </c>
      <c r="EX21" s="25" t="str">
        <f>IF(ISBLANK(fixtures!$L157),"",IF(EU21&gt;EW21,"W",IF(EU21=EW21,"D","L")))</f>
        <v>W</v>
      </c>
      <c r="EY21" s="25"/>
      <c r="EZ21" s="25"/>
      <c r="FA21" s="361">
        <v>27</v>
      </c>
      <c r="FB21" s="27" t="s">
        <v>111</v>
      </c>
      <c r="FC21" s="363">
        <f ca="1">IFERROR(INDIRECT("fixtures!" &amp; Dashboard!J1 &amp;156) - Dashboard!K1/24,"TBC")</f>
        <v>44922.916666666664</v>
      </c>
      <c r="FD21" s="27"/>
      <c r="FE21" s="27" t="s">
        <v>204</v>
      </c>
      <c r="FF21" s="27" t="s">
        <v>108</v>
      </c>
      <c r="FG21" s="361">
        <f>IF(ISBLANK(fixtures!$K156),"",fixtures!$K156)</f>
        <v>3</v>
      </c>
      <c r="FH21" s="27" t="str">
        <f>IF(ISBLANK(fixtures!$L156),"",":")</f>
        <v>:</v>
      </c>
      <c r="FI21" s="362">
        <f>IF(ISBLANK(fixtures!$L156),"",fixtures!$L156)</f>
        <v>0</v>
      </c>
      <c r="FJ21" s="27" t="str">
        <f>IF(ISBLANK(fixtures!$L156),"",IF(FG21&gt;FI21,"W",IF(FG21=FI21,"D","L")))</f>
        <v>W</v>
      </c>
      <c r="FK21" s="27"/>
      <c r="FL21" s="27"/>
      <c r="FM21" s="370" t="s">
        <v>21</v>
      </c>
      <c r="FN21" s="29"/>
      <c r="FO21" s="369"/>
      <c r="FP21" s="29"/>
      <c r="FQ21" s="29"/>
      <c r="FR21" s="29"/>
      <c r="FS21" s="110"/>
      <c r="FT21" s="29"/>
      <c r="FU21" s="112"/>
      <c r="FV21" s="29"/>
      <c r="FW21" s="29"/>
      <c r="FX21" s="29"/>
      <c r="FY21" s="378" t="s">
        <v>21</v>
      </c>
      <c r="FZ21" s="264"/>
      <c r="GA21" s="377"/>
      <c r="GB21" s="264"/>
      <c r="GC21" s="264"/>
      <c r="GD21" s="264"/>
      <c r="GE21" s="375"/>
      <c r="GF21" s="264"/>
      <c r="GG21" s="376"/>
      <c r="GH21" s="264"/>
      <c r="GI21" s="264"/>
      <c r="GJ21" s="264"/>
      <c r="GK21" s="385" t="s">
        <v>21</v>
      </c>
      <c r="GL21" s="30"/>
      <c r="GM21" s="384"/>
      <c r="GN21" s="30"/>
      <c r="GO21" s="30"/>
      <c r="GP21" s="30"/>
      <c r="GQ21" s="382"/>
      <c r="GR21" s="30"/>
      <c r="GS21" s="383"/>
      <c r="GT21" s="30"/>
      <c r="GU21" s="30"/>
      <c r="GV21" s="30"/>
      <c r="GW21" s="391" t="s">
        <v>21</v>
      </c>
      <c r="GX21" s="32"/>
      <c r="GY21" s="390"/>
      <c r="GZ21" s="32"/>
      <c r="HA21" s="32"/>
      <c r="HB21" s="32"/>
      <c r="HC21" s="115"/>
      <c r="HD21" s="32"/>
      <c r="HE21" s="117"/>
      <c r="HF21" s="32"/>
      <c r="HG21" s="32"/>
      <c r="HH21" s="32"/>
      <c r="HI21" s="397" t="s">
        <v>21</v>
      </c>
      <c r="HJ21" s="34"/>
      <c r="HK21" s="396"/>
      <c r="HL21" s="34"/>
      <c r="HM21" s="34"/>
      <c r="HN21" s="34"/>
      <c r="HO21" s="120"/>
      <c r="HP21" s="34"/>
      <c r="HQ21" s="122"/>
      <c r="HR21" s="34"/>
      <c r="HS21" s="34"/>
      <c r="HT21" s="34"/>
      <c r="HU21" s="403" t="s">
        <v>21</v>
      </c>
      <c r="HV21" s="36"/>
      <c r="HW21" s="402"/>
      <c r="HX21" s="36"/>
      <c r="HY21" s="36"/>
      <c r="HZ21" s="36"/>
      <c r="IA21" s="125"/>
      <c r="IB21" s="36"/>
      <c r="IC21" s="127"/>
      <c r="ID21" s="36"/>
      <c r="IE21" s="36"/>
      <c r="IF21" s="36"/>
    </row>
    <row r="22" spans="1:243" x14ac:dyDescent="0.4">
      <c r="A22" s="91">
        <v>31</v>
      </c>
      <c r="B22" s="6" t="s">
        <v>107</v>
      </c>
      <c r="C22" s="277">
        <f ca="1">IFERROR(INDIRECT("fixtures!" &amp; Dashboard!J1 &amp;165) - Dashboard!K1/24,"TBC")</f>
        <v>44926.8125</v>
      </c>
      <c r="D22" s="6"/>
      <c r="E22" s="6" t="s">
        <v>4</v>
      </c>
      <c r="F22" s="6" t="s">
        <v>106</v>
      </c>
      <c r="G22" s="91">
        <f>IF(ISBLANK(fixtures!$L165),"",fixtures!$L165)</f>
        <v>4</v>
      </c>
      <c r="H22" s="6" t="str">
        <f>IF(ISBLANK(fixtures!$L165),"",":")</f>
        <v>:</v>
      </c>
      <c r="I22" s="93">
        <f>IF(ISBLANK(fixtures!$K165),"",fixtures!$K165)</f>
        <v>2</v>
      </c>
      <c r="J22" s="6" t="str">
        <f>IF(ISBLANK(fixtures!$L165),"",IF(G22&gt;I22,"W",IF(G22=I22,"D","L")))</f>
        <v>W</v>
      </c>
      <c r="K22" s="6"/>
      <c r="L22" s="6"/>
      <c r="M22" s="282">
        <v>26</v>
      </c>
      <c r="N22" s="9" t="s">
        <v>109</v>
      </c>
      <c r="O22" s="284">
        <f ca="1">IFERROR(INDIRECT("fixtures!" &amp; Dashboard!J1 &amp;153) - Dashboard!K1/24,"TBC")</f>
        <v>44921.8125</v>
      </c>
      <c r="P22" s="9"/>
      <c r="Q22" s="9" t="s">
        <v>9</v>
      </c>
      <c r="R22" s="9" t="s">
        <v>108</v>
      </c>
      <c r="S22" s="282">
        <f>IF(ISBLANK(fixtures!$K153),"",fixtures!$K153)</f>
        <v>1</v>
      </c>
      <c r="T22" s="9" t="str">
        <f>IF(ISBLANK(fixtures!$L153),"",":")</f>
        <v>:</v>
      </c>
      <c r="U22" s="283">
        <f>IF(ISBLANK(fixtures!$L153),"",fixtures!$L153)</f>
        <v>3</v>
      </c>
      <c r="V22" s="9" t="str">
        <f>IF(ISBLANK(fixtures!$L153),"",IF(S22&gt;U22,"W",IF(S22=U22,"D","L")))</f>
        <v>L</v>
      </c>
      <c r="W22" s="9"/>
      <c r="X22" s="9"/>
      <c r="Y22" s="290">
        <v>27</v>
      </c>
      <c r="Z22" s="262" t="s">
        <v>111</v>
      </c>
      <c r="AA22" s="291">
        <f ca="1">IFERROR(INDIRECT("fixtures!" &amp; Dashboard!J1 &amp;155) - Dashboard!K1/24,"TBC")</f>
        <v>44922.8125</v>
      </c>
      <c r="AB22" s="262"/>
      <c r="AC22" s="262" t="s">
        <v>5</v>
      </c>
      <c r="AD22" s="262" t="s">
        <v>106</v>
      </c>
      <c r="AE22" s="290">
        <f>IF(ISBLANK(fixtures!$L155),"",fixtures!$L155)</f>
        <v>0</v>
      </c>
      <c r="AF22" s="262" t="str">
        <f>IF(ISBLANK(fixtures!$L155),"",":")</f>
        <v>:</v>
      </c>
      <c r="AG22" s="292">
        <f>IF(ISBLANK(fixtures!$K155),"",fixtures!$K155)</f>
        <v>2</v>
      </c>
      <c r="AH22" s="262" t="str">
        <f>IF(ISBLANK(fixtures!$L155),"",IF(AE22&gt;AG22,"W",IF(AE22=AG22,"D","L")))</f>
        <v>L</v>
      </c>
      <c r="AI22" s="262"/>
      <c r="AJ22" s="262"/>
      <c r="AK22" s="411">
        <v>26</v>
      </c>
      <c r="AL22" s="410" t="s">
        <v>109</v>
      </c>
      <c r="AM22" s="413">
        <f ca="1">IFERROR(INDIRECT("fixtures!" &amp; Dashboard!J1 &amp;148) - Dashboard!K1/24,"TBC")</f>
        <v>44921.604166666664</v>
      </c>
      <c r="AN22" s="410"/>
      <c r="AO22" s="410" t="s">
        <v>14</v>
      </c>
      <c r="AP22" s="410" t="s">
        <v>108</v>
      </c>
      <c r="AQ22" s="411">
        <f>IF(ISBLANK(fixtures!$K148),"",fixtures!$K148)</f>
        <v>2</v>
      </c>
      <c r="AR22" s="410" t="str">
        <f>IF(ISBLANK(fixtures!$L148),"",":")</f>
        <v>:</v>
      </c>
      <c r="AS22" s="412">
        <f>IF(ISBLANK(fixtures!$L148),"",fixtures!$L148)</f>
        <v>2</v>
      </c>
      <c r="AT22" s="410" t="str">
        <f>IF(ISBLANK(fixtures!$L148),"",IF(AQ22&gt;AS22,"W",IF(AQ22=AS22,"D","L")))</f>
        <v>D</v>
      </c>
      <c r="AU22" s="410"/>
      <c r="AV22" s="410"/>
      <c r="AW22" s="96">
        <v>31</v>
      </c>
      <c r="AX22" s="11" t="s">
        <v>107</v>
      </c>
      <c r="AY22" s="298">
        <f ca="1">IFERROR(INDIRECT("fixtures!" &amp; Dashboard!J1 &amp;165) - Dashboard!K1/24,"TBC")</f>
        <v>44926.8125</v>
      </c>
      <c r="AZ22" s="11"/>
      <c r="BA22" s="11" t="s">
        <v>1</v>
      </c>
      <c r="BB22" s="11" t="s">
        <v>108</v>
      </c>
      <c r="BC22" s="96">
        <f>IF(ISBLANK(fixtures!$K165),"",fixtures!$K165)</f>
        <v>2</v>
      </c>
      <c r="BD22" s="11" t="str">
        <f>IF(ISBLANK(fixtures!$L165),"",":")</f>
        <v>:</v>
      </c>
      <c r="BE22" s="98">
        <f>IF(ISBLANK(fixtures!$L165),"",fixtures!$L165)</f>
        <v>4</v>
      </c>
      <c r="BF22" s="11" t="str">
        <f>IF(ISBLANK(fixtures!$L165),"",IF(BC22&gt;BE22,"W",IF(BC22=BE22,"D","L")))</f>
        <v>L</v>
      </c>
      <c r="BG22" s="11"/>
      <c r="BH22" s="11"/>
      <c r="BI22" s="305" t="s">
        <v>22</v>
      </c>
      <c r="BJ22" s="15"/>
      <c r="BK22" s="304"/>
      <c r="BL22" s="15"/>
      <c r="BM22" s="15"/>
      <c r="BN22" s="15"/>
      <c r="BO22" s="181"/>
      <c r="BP22" s="15"/>
      <c r="BQ22" s="183"/>
      <c r="BR22" s="15"/>
      <c r="BS22" s="15"/>
      <c r="BT22" s="15"/>
      <c r="BU22" s="310">
        <v>31</v>
      </c>
      <c r="BV22" s="16" t="s">
        <v>107</v>
      </c>
      <c r="BW22" s="312">
        <f ca="1">IFERROR(INDIRECT("fixtures!" &amp; Dashboard!J1 &amp;161) - Dashboard!K1/24,"TBC")</f>
        <v>44926.708333333336</v>
      </c>
      <c r="BX22" s="16"/>
      <c r="BY22" s="16" t="s">
        <v>3</v>
      </c>
      <c r="BZ22" s="16" t="s">
        <v>106</v>
      </c>
      <c r="CA22" s="310">
        <f>IF(ISBLANK(fixtures!$L161),"",fixtures!$L161)</f>
        <v>2</v>
      </c>
      <c r="CB22" s="16" t="str">
        <f>IF(ISBLANK(fixtures!$L161),"",":")</f>
        <v>:</v>
      </c>
      <c r="CC22" s="311">
        <f>IF(ISBLANK(fixtures!$K161),"",fixtures!$K161)</f>
        <v>0</v>
      </c>
      <c r="CD22" s="16" t="str">
        <f>IF(ISBLANK(fixtures!$L161),"",IF(CA22&gt;CC22,"W",IF(CA22=CC22,"D","L")))</f>
        <v>W</v>
      </c>
      <c r="CE22" s="16"/>
      <c r="CF22" s="16"/>
      <c r="CG22" s="318">
        <v>26</v>
      </c>
      <c r="CH22" s="19" t="s">
        <v>109</v>
      </c>
      <c r="CI22" s="320">
        <f ca="1">IFERROR(INDIRECT("fixtures!" &amp; Dashboard!J1 &amp;150) - Dashboard!K1/24,"TBC")</f>
        <v>44921.708333333336</v>
      </c>
      <c r="CJ22" s="19"/>
      <c r="CK22" s="19" t="s">
        <v>16</v>
      </c>
      <c r="CL22" s="19" t="s">
        <v>108</v>
      </c>
      <c r="CM22" s="318">
        <f>IF(ISBLANK(fixtures!$K150),"",fixtures!$K150)</f>
        <v>1</v>
      </c>
      <c r="CN22" s="19" t="str">
        <f>IF(ISBLANK(fixtures!$L150),"",":")</f>
        <v>:</v>
      </c>
      <c r="CO22" s="319">
        <f>IF(ISBLANK(fixtures!$L150),"",fixtures!$L150)</f>
        <v>2</v>
      </c>
      <c r="CP22" s="19" t="str">
        <f>IF(ISBLANK(fixtures!$L150),"",IF(CM22&gt;CO22,"W",IF(CM22=CO22,"D","L")))</f>
        <v>L</v>
      </c>
      <c r="CQ22" s="19"/>
      <c r="CR22" s="19"/>
      <c r="CS22" s="326">
        <v>26</v>
      </c>
      <c r="CT22" s="178" t="s">
        <v>109</v>
      </c>
      <c r="CU22" s="328">
        <f ca="1">IFERROR(INDIRECT("fixtures!" &amp; Dashboard!J1 &amp;149) - Dashboard!K1/24,"TBC")</f>
        <v>44921.708333333336</v>
      </c>
      <c r="CV22" s="178"/>
      <c r="CW22" s="178" t="s">
        <v>6</v>
      </c>
      <c r="CX22" s="178" t="s">
        <v>106</v>
      </c>
      <c r="CY22" s="326">
        <f>IF(ISBLANK(fixtures!$L149),"",fixtures!$L149)</f>
        <v>3</v>
      </c>
      <c r="CZ22" s="178" t="str">
        <f>IF(ISBLANK(fixtures!$L149),"",":")</f>
        <v>:</v>
      </c>
      <c r="DA22" s="327">
        <f>IF(ISBLANK(fixtures!$K149),"",fixtures!$K149)</f>
        <v>0</v>
      </c>
      <c r="DB22" s="178" t="str">
        <f>IF(ISBLANK(fixtures!$L149),"",IF(CY22&gt;DA22,"W",IF(CY22=DA22,"D","L")))</f>
        <v>W</v>
      </c>
      <c r="DC22" s="178"/>
      <c r="DD22" s="178"/>
      <c r="DE22" s="334">
        <v>31</v>
      </c>
      <c r="DF22" s="177" t="s">
        <v>107</v>
      </c>
      <c r="DG22" s="336">
        <f ca="1">IFERROR(INDIRECT("fixtures!" &amp; Dashboard!J1 &amp;164) - Dashboard!K1/24,"TBC")</f>
        <v>44926.708333333336</v>
      </c>
      <c r="DH22" s="177"/>
      <c r="DI22" s="177" t="s">
        <v>12</v>
      </c>
      <c r="DJ22" s="177" t="s">
        <v>106</v>
      </c>
      <c r="DK22" s="334">
        <f>IF(ISBLANK(fixtures!$L164),"",fixtures!$L164)</f>
        <v>0</v>
      </c>
      <c r="DL22" s="177" t="str">
        <f>IF(ISBLANK(fixtures!$L164),"",":")</f>
        <v>:</v>
      </c>
      <c r="DM22" s="335">
        <f>IF(ISBLANK(fixtures!$K164),"",fixtures!$K164)</f>
        <v>0</v>
      </c>
      <c r="DN22" s="177" t="str">
        <f>IF(ISBLANK(fixtures!$L164),"",IF(DK22&gt;DM22,"W",IF(DK22=DM22,"D","L")))</f>
        <v>D</v>
      </c>
      <c r="DO22" s="177"/>
      <c r="DP22" s="177"/>
      <c r="DQ22" s="341">
        <v>26</v>
      </c>
      <c r="DR22" s="21" t="s">
        <v>109</v>
      </c>
      <c r="DS22" s="343">
        <f ca="1">IFERROR(INDIRECT("fixtures!" &amp; Dashboard!J1 &amp;151) - Dashboard!K1/24,"TBC")</f>
        <v>44921.708333333336</v>
      </c>
      <c r="DT22" s="21"/>
      <c r="DU22" s="21" t="s">
        <v>12</v>
      </c>
      <c r="DV22" s="21" t="s">
        <v>108</v>
      </c>
      <c r="DW22" s="341">
        <f>IF(ISBLANK(fixtures!$K151),"",fixtures!$K151)</f>
        <v>0</v>
      </c>
      <c r="DX22" s="21" t="str">
        <f>IF(ISBLANK(fixtures!$L151),"",":")</f>
        <v>:</v>
      </c>
      <c r="DY22" s="342">
        <f>IF(ISBLANK(fixtures!$L151),"",fixtures!$L151)</f>
        <v>3</v>
      </c>
      <c r="DZ22" s="21" t="str">
        <f>IF(ISBLANK(fixtures!$L151),"",IF(DW22&gt;DY22,"W",IF(DW22=DY22,"D","L")))</f>
        <v>L</v>
      </c>
      <c r="EA22" s="21"/>
      <c r="EB22" s="21"/>
      <c r="EC22" s="270">
        <v>30</v>
      </c>
      <c r="ED22" s="23" t="s">
        <v>146</v>
      </c>
      <c r="EE22" s="349">
        <f ca="1">IFERROR(INDIRECT("fixtures!" &amp; Dashboard!J1 &amp;159) - Dashboard!K1/24,"TBC")</f>
        <v>44925.916666666664</v>
      </c>
      <c r="EF22" s="23"/>
      <c r="EG22" s="23" t="s">
        <v>8</v>
      </c>
      <c r="EH22" s="23" t="s">
        <v>108</v>
      </c>
      <c r="EI22" s="270">
        <f>IF(ISBLANK(fixtures!$K159),"",fixtures!$K159)</f>
        <v>2</v>
      </c>
      <c r="EJ22" s="23" t="str">
        <f>IF(ISBLANK(fixtures!$L159),"",":")</f>
        <v>:</v>
      </c>
      <c r="EK22" s="272">
        <f>IF(ISBLANK(fixtures!$L159),"",fixtures!$L159)</f>
        <v>1</v>
      </c>
      <c r="EL22" s="23" t="str">
        <f>IF(ISBLANK(fixtures!$L159),"",IF(EI22&gt;EK22,"W",IF(EI22=EK22,"D","L")))</f>
        <v>W</v>
      </c>
      <c r="EM22" s="23"/>
      <c r="EN22" s="23"/>
      <c r="EO22" s="105">
        <v>31</v>
      </c>
      <c r="EP22" s="25" t="s">
        <v>107</v>
      </c>
      <c r="EQ22" s="355">
        <f ca="1">IFERROR(INDIRECT("fixtures!" &amp; Dashboard!J1 &amp;163) - Dashboard!K1/24,"TBC")</f>
        <v>44926.708333333336</v>
      </c>
      <c r="ER22" s="25"/>
      <c r="ES22" s="25" t="s">
        <v>7</v>
      </c>
      <c r="ET22" s="25" t="s">
        <v>108</v>
      </c>
      <c r="EU22" s="105">
        <f>IF(ISBLANK(fixtures!$K163),"",fixtures!$K163)</f>
        <v>1</v>
      </c>
      <c r="EV22" s="25" t="str">
        <f>IF(ISBLANK(fixtures!$L163),"",":")</f>
        <v>:</v>
      </c>
      <c r="EW22" s="107">
        <f>IF(ISBLANK(fixtures!$L163),"",fixtures!$L163)</f>
        <v>1</v>
      </c>
      <c r="EX22" s="25" t="str">
        <f>IF(ISBLANK(fixtures!$L163),"",IF(EU22&gt;EW22,"W",IF(EU22=EW22,"D","L")))</f>
        <v>D</v>
      </c>
      <c r="EY22" s="25"/>
      <c r="EZ22" s="25"/>
      <c r="FA22" s="361">
        <v>31</v>
      </c>
      <c r="FB22" s="27" t="s">
        <v>107</v>
      </c>
      <c r="FC22" s="363">
        <f ca="1">IFERROR(INDIRECT("fixtures!" &amp; Dashboard!J1 &amp;160) - Dashboard!K1/24,"TBC")</f>
        <v>44926.604166666664</v>
      </c>
      <c r="FD22" s="27"/>
      <c r="FE22" s="27" t="s">
        <v>16</v>
      </c>
      <c r="FF22" s="27" t="s">
        <v>106</v>
      </c>
      <c r="FG22" s="361">
        <f>IF(ISBLANK(fixtures!$L160),"",fixtures!$L160)</f>
        <v>1</v>
      </c>
      <c r="FH22" s="27" t="str">
        <f>IF(ISBLANK(fixtures!$L160),"",":")</f>
        <v>:</v>
      </c>
      <c r="FI22" s="362">
        <f>IF(ISBLANK(fixtures!$K160),"",fixtures!$K160)</f>
        <v>0</v>
      </c>
      <c r="FJ22" s="27" t="str">
        <f>IF(ISBLANK(fixtures!$L160),"",IF(FG22&gt;FI22,"W",IF(FG22=FI22,"D","L")))</f>
        <v>W</v>
      </c>
      <c r="FK22" s="27"/>
      <c r="FL22" s="27"/>
      <c r="FM22" s="110">
        <v>26</v>
      </c>
      <c r="FN22" s="29" t="s">
        <v>109</v>
      </c>
      <c r="FO22" s="369">
        <f ca="1">IFERROR(INDIRECT("fixtures!" &amp; Dashboard!J1 &amp;151) - Dashboard!K1/24,"TBC")</f>
        <v>44921.708333333336</v>
      </c>
      <c r="FP22" s="29"/>
      <c r="FQ22" s="29" t="s">
        <v>8</v>
      </c>
      <c r="FR22" s="29" t="s">
        <v>106</v>
      </c>
      <c r="FS22" s="110">
        <f>IF(ISBLANK(fixtures!$L151),"",fixtures!$L151)</f>
        <v>3</v>
      </c>
      <c r="FT22" s="29" t="str">
        <f>IF(ISBLANK(fixtures!$L151),"",":")</f>
        <v>:</v>
      </c>
      <c r="FU22" s="112">
        <f>IF(ISBLANK(fixtures!$K151),"",fixtures!$K151)</f>
        <v>0</v>
      </c>
      <c r="FV22" s="29" t="str">
        <f>IF(ISBLANK(fixtures!$L151),"",IF(FS22&gt;FU22,"W",IF(FS22=FU22,"D","L")))</f>
        <v>W</v>
      </c>
      <c r="FW22" s="29"/>
      <c r="FX22" s="29"/>
      <c r="FY22" s="375">
        <v>27</v>
      </c>
      <c r="FZ22" s="264" t="s">
        <v>111</v>
      </c>
      <c r="GA22" s="377">
        <f ca="1">IFERROR(INDIRECT("fixtures!" &amp; Dashboard!J1 &amp;156) - Dashboard!K1/24,"TBC")</f>
        <v>44922.916666666664</v>
      </c>
      <c r="GB22" s="264"/>
      <c r="GC22" s="264" t="s">
        <v>11</v>
      </c>
      <c r="GD22" s="264" t="s">
        <v>106</v>
      </c>
      <c r="GE22" s="375">
        <f>IF(ISBLANK(fixtures!$L156),"",fixtures!$L156)</f>
        <v>0</v>
      </c>
      <c r="GF22" s="264" t="str">
        <f>IF(ISBLANK(fixtures!$L156),"",":")</f>
        <v>:</v>
      </c>
      <c r="GG22" s="376">
        <f>IF(ISBLANK(fixtures!$K156),"",fixtures!$K156)</f>
        <v>3</v>
      </c>
      <c r="GH22" s="264" t="str">
        <f>IF(ISBLANK(fixtures!$L156),"",IF(GE22&gt;GG22,"W",IF(GE22=GG22,"D","L")))</f>
        <v>L</v>
      </c>
      <c r="GI22" s="264"/>
      <c r="GJ22" s="264"/>
      <c r="GK22" s="382">
        <v>26</v>
      </c>
      <c r="GL22" s="30" t="s">
        <v>109</v>
      </c>
      <c r="GM22" s="384">
        <f ca="1">IFERROR(INDIRECT("fixtures!" &amp; Dashboard!J1 &amp;152) - Dashboard!K1/24,"TBC")</f>
        <v>44921.708333333336</v>
      </c>
      <c r="GN22" s="30"/>
      <c r="GO22" s="30" t="s">
        <v>4</v>
      </c>
      <c r="GP22" s="30" t="s">
        <v>108</v>
      </c>
      <c r="GQ22" s="382">
        <f>IF(ISBLANK(fixtures!$K152),"",fixtures!$K152)</f>
        <v>1</v>
      </c>
      <c r="GR22" s="30" t="str">
        <f>IF(ISBLANK(fixtures!$L152),"",":")</f>
        <v>:</v>
      </c>
      <c r="GS22" s="383">
        <f>IF(ISBLANK(fixtures!$L152),"",fixtures!$L152)</f>
        <v>3</v>
      </c>
      <c r="GT22" s="30" t="str">
        <f>IF(ISBLANK(fixtures!$L152),"",IF(GQ22&gt;GS22,"W",IF(GQ22=GS22,"D","L")))</f>
        <v>L</v>
      </c>
      <c r="GU22" s="30"/>
      <c r="GV22" s="30"/>
      <c r="GW22" s="115">
        <v>26</v>
      </c>
      <c r="GX22" s="32" t="s">
        <v>109</v>
      </c>
      <c r="GY22" s="390">
        <f ca="1">IFERROR(INDIRECT("fixtures!" &amp; Dashboard!J1 &amp;148) - Dashboard!K1/24,"TBC")</f>
        <v>44921.604166666664</v>
      </c>
      <c r="GZ22" s="32"/>
      <c r="HA22" s="32" t="s">
        <v>125</v>
      </c>
      <c r="HB22" s="32" t="s">
        <v>106</v>
      </c>
      <c r="HC22" s="115">
        <f>IF(ISBLANK(fixtures!$L148),"",fixtures!$L148)</f>
        <v>2</v>
      </c>
      <c r="HD22" s="32" t="str">
        <f>IF(ISBLANK(fixtures!$L148),"",":")</f>
        <v>:</v>
      </c>
      <c r="HE22" s="117">
        <f>IF(ISBLANK(fixtures!$K148),"",fixtures!$K148)</f>
        <v>2</v>
      </c>
      <c r="HF22" s="32" t="str">
        <f>IF(ISBLANK(fixtures!$L148),"",IF(HC22&gt;HE22,"W",IF(HC22=HE22,"D","L")))</f>
        <v>D</v>
      </c>
      <c r="HG22" s="32"/>
      <c r="HH22" s="32"/>
      <c r="HI22" s="120">
        <v>26</v>
      </c>
      <c r="HJ22" s="34" t="s">
        <v>109</v>
      </c>
      <c r="HK22" s="396">
        <f ca="1">IFERROR(INDIRECT("fixtures!" &amp; Dashboard!J1 &amp;154) - Dashboard!K1/24,"TBC")</f>
        <v>44921.916666666664</v>
      </c>
      <c r="HL22" s="34"/>
      <c r="HM22" s="34" t="s">
        <v>1</v>
      </c>
      <c r="HN22" s="34" t="s">
        <v>106</v>
      </c>
      <c r="HO22" s="120">
        <f>IF(ISBLANK(fixtures!$L154),"",fixtures!$L154)</f>
        <v>1</v>
      </c>
      <c r="HP22" s="34" t="str">
        <f>IF(ISBLANK(fixtures!$L154),"",":")</f>
        <v>:</v>
      </c>
      <c r="HQ22" s="122">
        <f>IF(ISBLANK(fixtures!$K154),"",fixtures!$K154)</f>
        <v>3</v>
      </c>
      <c r="HR22" s="34" t="str">
        <f>IF(ISBLANK(fixtures!$L154),"",IF(HO22&gt;HQ22,"W",IF(HO22=HQ22,"D","L")))</f>
        <v>L</v>
      </c>
      <c r="HS22" s="34"/>
      <c r="HT22" s="34"/>
      <c r="HU22" s="125">
        <v>26</v>
      </c>
      <c r="HV22" s="36" t="s">
        <v>109</v>
      </c>
      <c r="HW22" s="402">
        <f ca="1">IFERROR(INDIRECT("fixtures!" &amp; Dashboard!J1 &amp;150) - Dashboard!K1/24,"TBC")</f>
        <v>44921.708333333336</v>
      </c>
      <c r="HX22" s="36"/>
      <c r="HY22" s="36" t="s">
        <v>7</v>
      </c>
      <c r="HZ22" s="36" t="s">
        <v>106</v>
      </c>
      <c r="IA22" s="125">
        <f>IF(ISBLANK(fixtures!$L150),"",fixtures!$L150)</f>
        <v>2</v>
      </c>
      <c r="IB22" s="36" t="str">
        <f>IF(ISBLANK(fixtures!$L150),"",":")</f>
        <v>:</v>
      </c>
      <c r="IC22" s="127">
        <f>IF(ISBLANK(fixtures!$K150),"",fixtures!$K150)</f>
        <v>1</v>
      </c>
      <c r="ID22" s="36" t="str">
        <f>IF(ISBLANK(fixtures!$L150),"",IF(IA22&gt;IC22,"W",IF(IA22=IC22,"D","L")))</f>
        <v>W</v>
      </c>
      <c r="IE22" s="36"/>
      <c r="IF22" s="36"/>
    </row>
    <row r="23" spans="1:243" x14ac:dyDescent="0.4">
      <c r="A23" s="278" t="s">
        <v>22</v>
      </c>
      <c r="B23" s="6"/>
      <c r="C23" s="277"/>
      <c r="D23" s="6"/>
      <c r="E23" s="6"/>
      <c r="F23" s="6"/>
      <c r="G23" s="91"/>
      <c r="H23" s="6"/>
      <c r="I23" s="93"/>
      <c r="J23" s="6"/>
      <c r="K23" s="6"/>
      <c r="L23" s="6"/>
      <c r="M23" s="285" t="s">
        <v>22</v>
      </c>
      <c r="N23" s="9"/>
      <c r="O23" s="284"/>
      <c r="P23" s="9"/>
      <c r="Q23" s="9"/>
      <c r="R23" s="9"/>
      <c r="S23" s="282"/>
      <c r="T23" s="9"/>
      <c r="U23" s="283"/>
      <c r="V23" s="9"/>
      <c r="W23" s="9"/>
      <c r="X23" s="9"/>
      <c r="Y23" s="290">
        <v>31</v>
      </c>
      <c r="Z23" s="262" t="s">
        <v>107</v>
      </c>
      <c r="AA23" s="291">
        <f ca="1">IFERROR(INDIRECT("fixtures!" &amp; Dashboard!J1 &amp;161) - Dashboard!K1/24,"TBC")</f>
        <v>44926.708333333336</v>
      </c>
      <c r="AB23" s="262"/>
      <c r="AC23" s="262" t="s">
        <v>6</v>
      </c>
      <c r="AD23" s="262" t="s">
        <v>108</v>
      </c>
      <c r="AE23" s="290">
        <f>IF(ISBLANK(fixtures!$K161),"",fixtures!$K161)</f>
        <v>0</v>
      </c>
      <c r="AF23" s="262" t="str">
        <f>IF(ISBLANK(fixtures!$L161),"",":")</f>
        <v>:</v>
      </c>
      <c r="AG23" s="292">
        <f>IF(ISBLANK(fixtures!$L161),"",fixtures!$L161)</f>
        <v>2</v>
      </c>
      <c r="AH23" s="262" t="str">
        <f>IF(ISBLANK(fixtures!$L161),"",IF(AE23&gt;AG23,"W",IF(AE23=AG23,"D","L")))</f>
        <v>L</v>
      </c>
      <c r="AI23" s="262"/>
      <c r="AJ23" s="262"/>
      <c r="AK23" s="411">
        <v>30</v>
      </c>
      <c r="AL23" s="412" t="s">
        <v>146</v>
      </c>
      <c r="AM23" s="413">
        <f ca="1">IFERROR(INDIRECT("fixtures!" &amp; Dashboard!J1 &amp;158) - Dashboard!K1/24,"TBC")</f>
        <v>44925.90625</v>
      </c>
      <c r="AN23" s="410"/>
      <c r="AO23" s="410" t="s">
        <v>15</v>
      </c>
      <c r="AP23" s="410" t="s">
        <v>106</v>
      </c>
      <c r="AQ23" s="411">
        <f>IF(ISBLANK(fixtures!$L158),"",fixtures!$L158)</f>
        <v>2</v>
      </c>
      <c r="AR23" s="410" t="str">
        <f>IF(ISBLANK(fixtures!$L158),"",":")</f>
        <v>:</v>
      </c>
      <c r="AS23" s="412">
        <f>IF(ISBLANK(fixtures!$K158),"",fixtures!$K158)</f>
        <v>0</v>
      </c>
      <c r="AT23" s="410" t="str">
        <f>IF(ISBLANK(fixtures!$L158),"",IF(AQ23&gt;AS23,"W",IF(AQ23=AS23,"D","L")))</f>
        <v>W</v>
      </c>
      <c r="AU23" s="410"/>
      <c r="AV23" s="410"/>
      <c r="AW23" s="299" t="s">
        <v>22</v>
      </c>
      <c r="AX23" s="11"/>
      <c r="AY23" s="298"/>
      <c r="AZ23" s="11"/>
      <c r="BA23" s="11"/>
      <c r="BB23" s="11"/>
      <c r="BC23" s="96"/>
      <c r="BD23" s="11"/>
      <c r="BE23" s="98"/>
      <c r="BF23" s="11"/>
      <c r="BG23" s="11"/>
      <c r="BH23" s="11"/>
      <c r="BI23" s="181">
        <v>1</v>
      </c>
      <c r="BJ23" s="15" t="s">
        <v>105</v>
      </c>
      <c r="BK23" s="304">
        <f ca="1">IFERROR(INDIRECT("fixtures!" &amp; Dashboard!J1 &amp;167) - Dashboard!K1/24,"TBC")</f>
        <v>44927.770833333336</v>
      </c>
      <c r="BL23" s="15"/>
      <c r="BM23" s="15" t="s">
        <v>204</v>
      </c>
      <c r="BN23" s="15" t="s">
        <v>106</v>
      </c>
      <c r="BO23" s="181">
        <f>IF(ISBLANK(fixtures!$L167),"",fixtures!$L167)</f>
        <v>1</v>
      </c>
      <c r="BP23" s="15" t="str">
        <f>IF(ISBLANK(fixtures!$L167),"",":")</f>
        <v>:</v>
      </c>
      <c r="BQ23" s="183">
        <f>IF(ISBLANK(fixtures!$K167),"",fixtures!$K167)</f>
        <v>1</v>
      </c>
      <c r="BR23" s="15" t="str">
        <f>IF(ISBLANK(fixtures!$L167),"",IF(BO23&gt;BQ23,"W",IF(BO23=BQ23,"D","L")))</f>
        <v>D</v>
      </c>
      <c r="BS23" s="15"/>
      <c r="BT23" s="15"/>
      <c r="BU23" s="313" t="s">
        <v>22</v>
      </c>
      <c r="BV23" s="16"/>
      <c r="BW23" s="312"/>
      <c r="BX23" s="16"/>
      <c r="BY23" s="16"/>
      <c r="BZ23" s="16"/>
      <c r="CA23" s="310"/>
      <c r="CB23" s="16"/>
      <c r="CC23" s="311"/>
      <c r="CD23" s="16"/>
      <c r="CE23" s="16"/>
      <c r="CF23" s="16"/>
      <c r="CG23" s="318">
        <v>31</v>
      </c>
      <c r="CH23" s="19" t="s">
        <v>107</v>
      </c>
      <c r="CI23" s="320">
        <f ca="1">IFERROR(INDIRECT("fixtures!" &amp; Dashboard!J1 &amp;163) - Dashboard!K1/24,"TBC")</f>
        <v>44926.708333333336</v>
      </c>
      <c r="CJ23" s="19"/>
      <c r="CK23" s="19" t="s">
        <v>10</v>
      </c>
      <c r="CL23" s="19" t="s">
        <v>106</v>
      </c>
      <c r="CM23" s="318">
        <f>IF(ISBLANK(fixtures!$L163),"",fixtures!$L163)</f>
        <v>1</v>
      </c>
      <c r="CN23" s="19" t="str">
        <f>IF(ISBLANK(fixtures!$L163),"",":")</f>
        <v>:</v>
      </c>
      <c r="CO23" s="319">
        <f>IF(ISBLANK(fixtures!$K163),"",fixtures!$K163)</f>
        <v>1</v>
      </c>
      <c r="CP23" s="19" t="str">
        <f>IF(ISBLANK(fixtures!$L163),"",IF(CM23&gt;CO23,"W",IF(CM23=CO23,"D","L")))</f>
        <v>D</v>
      </c>
      <c r="CQ23" s="19"/>
      <c r="CR23" s="19"/>
      <c r="CS23" s="326">
        <v>31</v>
      </c>
      <c r="CT23" s="178" t="s">
        <v>107</v>
      </c>
      <c r="CU23" s="328">
        <f ca="1">IFERROR(INDIRECT("fixtures!" &amp; Dashboard!J1 &amp;162) - Dashboard!K1/24,"TBC")</f>
        <v>44926.708333333336</v>
      </c>
      <c r="CV23" s="178"/>
      <c r="CW23" s="178" t="s">
        <v>13</v>
      </c>
      <c r="CX23" s="178" t="s">
        <v>108</v>
      </c>
      <c r="CY23" s="326">
        <f>IF(ISBLANK(fixtures!$K162),"",fixtures!$K162)</f>
        <v>2</v>
      </c>
      <c r="CZ23" s="178" t="str">
        <f>IF(ISBLANK(fixtures!$L162),"",":")</f>
        <v>:</v>
      </c>
      <c r="DA23" s="327">
        <f>IF(ISBLANK(fixtures!$L162),"",fixtures!$L162)</f>
        <v>1</v>
      </c>
      <c r="DB23" s="178" t="str">
        <f>IF(ISBLANK(fixtures!$L162),"",IF(CY23&gt;DA23,"W",IF(CY23=DA23,"D","L")))</f>
        <v>W</v>
      </c>
      <c r="DC23" s="178"/>
      <c r="DD23" s="178"/>
      <c r="DE23" s="337" t="s">
        <v>22</v>
      </c>
      <c r="DF23" s="177"/>
      <c r="DG23" s="336"/>
      <c r="DH23" s="177"/>
      <c r="DI23" s="177"/>
      <c r="DJ23" s="177"/>
      <c r="DK23" s="334"/>
      <c r="DL23" s="177"/>
      <c r="DM23" s="335"/>
      <c r="DN23" s="177"/>
      <c r="DO23" s="177"/>
      <c r="DP23" s="177"/>
      <c r="DQ23" s="341">
        <v>30</v>
      </c>
      <c r="DR23" s="21" t="s">
        <v>146</v>
      </c>
      <c r="DS23" s="343">
        <f ca="1">IFERROR(INDIRECT("fixtures!" &amp; Dashboard!J1 &amp;159) - Dashboard!K1/24,"TBC")</f>
        <v>44925.916666666664</v>
      </c>
      <c r="DT23" s="21"/>
      <c r="DU23" s="21" t="s">
        <v>9</v>
      </c>
      <c r="DV23" s="21" t="s">
        <v>106</v>
      </c>
      <c r="DW23" s="341">
        <f>IF(ISBLANK(fixtures!$L159),"",fixtures!$L159)</f>
        <v>1</v>
      </c>
      <c r="DX23" s="21" t="str">
        <f>IF(ISBLANK(fixtures!$L159),"",":")</f>
        <v>:</v>
      </c>
      <c r="DY23" s="342">
        <f>IF(ISBLANK(fixtures!$K159),"",fixtures!$K159)</f>
        <v>2</v>
      </c>
      <c r="DZ23" s="21" t="str">
        <f>IF(ISBLANK(fixtures!$L159),"",IF(DW23&gt;DY23,"W",IF(DW23=DY23,"D","L")))</f>
        <v>L</v>
      </c>
      <c r="EA23" s="21"/>
      <c r="EB23" s="21"/>
      <c r="EC23" s="350" t="s">
        <v>22</v>
      </c>
      <c r="ED23" s="23"/>
      <c r="EE23" s="349"/>
      <c r="EF23" s="23"/>
      <c r="EG23" s="23"/>
      <c r="EH23" s="23"/>
      <c r="EI23" s="270"/>
      <c r="EJ23" s="23"/>
      <c r="EK23" s="272"/>
      <c r="EL23" s="23"/>
      <c r="EM23" s="23"/>
      <c r="EN23" s="23"/>
      <c r="EO23" s="356" t="s">
        <v>22</v>
      </c>
      <c r="EP23" s="25"/>
      <c r="EQ23" s="355"/>
      <c r="ER23" s="25"/>
      <c r="ES23" s="25"/>
      <c r="ET23" s="25"/>
      <c r="EU23" s="105"/>
      <c r="EV23" s="25"/>
      <c r="EW23" s="107"/>
      <c r="EX23" s="25"/>
      <c r="EY23" s="25"/>
      <c r="EZ23" s="25"/>
      <c r="FA23" s="364" t="s">
        <v>22</v>
      </c>
      <c r="FB23" s="27"/>
      <c r="FC23" s="363"/>
      <c r="FD23" s="27"/>
      <c r="FE23" s="27"/>
      <c r="FF23" s="27"/>
      <c r="FG23" s="361"/>
      <c r="FH23" s="27"/>
      <c r="FI23" s="362"/>
      <c r="FJ23" s="27"/>
      <c r="FK23" s="27"/>
      <c r="FL23" s="27"/>
      <c r="FM23" s="110">
        <v>31</v>
      </c>
      <c r="FN23" s="29" t="s">
        <v>107</v>
      </c>
      <c r="FO23" s="369">
        <f ca="1">IFERROR(INDIRECT("fixtures!" &amp; Dashboard!J1 &amp;164) - Dashboard!K1/24,"TBC")</f>
        <v>44926.708333333336</v>
      </c>
      <c r="FP23" s="29"/>
      <c r="FQ23" s="29" t="s">
        <v>139</v>
      </c>
      <c r="FR23" s="29" t="s">
        <v>108</v>
      </c>
      <c r="FS23" s="110">
        <f>IF(ISBLANK(fixtures!$K164),"",fixtures!$K164)</f>
        <v>0</v>
      </c>
      <c r="FT23" s="29" t="str">
        <f>IF(ISBLANK(fixtures!$L164),"",":")</f>
        <v>:</v>
      </c>
      <c r="FU23" s="112">
        <f>IF(ISBLANK(fixtures!$L164),"",fixtures!$L164)</f>
        <v>0</v>
      </c>
      <c r="FV23" s="29" t="str">
        <f>IF(ISBLANK(fixtures!$L164),"",IF(FS23&gt;FU23,"W",IF(FS23=FU23,"D","L")))</f>
        <v>D</v>
      </c>
      <c r="FW23" s="29"/>
      <c r="FX23" s="29"/>
      <c r="FY23" s="378" t="s">
        <v>22</v>
      </c>
      <c r="FZ23" s="264"/>
      <c r="GA23" s="377"/>
      <c r="GB23" s="264"/>
      <c r="GC23" s="264"/>
      <c r="GD23" s="264"/>
      <c r="GE23" s="375"/>
      <c r="GF23" s="264"/>
      <c r="GG23" s="376"/>
      <c r="GH23" s="264"/>
      <c r="GI23" s="264"/>
      <c r="GJ23" s="264"/>
      <c r="GK23" s="382">
        <v>31</v>
      </c>
      <c r="GL23" s="30" t="s">
        <v>107</v>
      </c>
      <c r="GM23" s="384">
        <f ca="1">IFERROR(INDIRECT("fixtures!" &amp; Dashboard!J1 &amp;162) - Dashboard!K1/24,"TBC")</f>
        <v>44926.708333333336</v>
      </c>
      <c r="GN23" s="30"/>
      <c r="GO23" s="30" t="s">
        <v>126</v>
      </c>
      <c r="GP23" s="30" t="s">
        <v>106</v>
      </c>
      <c r="GQ23" s="382">
        <f>IF(ISBLANK(fixtures!$L162),"",fixtures!$L162)</f>
        <v>1</v>
      </c>
      <c r="GR23" s="30" t="str">
        <f>IF(ISBLANK(fixtures!$L162),"",":")</f>
        <v>:</v>
      </c>
      <c r="GS23" s="383">
        <f>IF(ISBLANK(fixtures!$K162),"",fixtures!$K162)</f>
        <v>2</v>
      </c>
      <c r="GT23" s="30" t="str">
        <f>IF(ISBLANK(fixtures!$L162),"",IF(GQ23&gt;GS23,"W",IF(GQ23=GS23,"D","L")))</f>
        <v>L</v>
      </c>
      <c r="GU23" s="30"/>
      <c r="GV23" s="30"/>
      <c r="GW23" s="391" t="s">
        <v>22</v>
      </c>
      <c r="GX23" s="32"/>
      <c r="GY23" s="390"/>
      <c r="GZ23" s="32"/>
      <c r="HA23" s="32"/>
      <c r="HB23" s="32"/>
      <c r="HC23" s="115"/>
      <c r="HD23" s="32"/>
      <c r="HE23" s="117"/>
      <c r="HF23" s="32"/>
      <c r="HG23" s="32"/>
      <c r="HH23" s="32"/>
      <c r="HI23" s="120">
        <v>30</v>
      </c>
      <c r="HJ23" s="34" t="s">
        <v>146</v>
      </c>
      <c r="HK23" s="396">
        <f ca="1">IFERROR(INDIRECT("fixtures!" &amp; Dashboard!J1 &amp;158) - Dashboard!K1/24,"TBC")</f>
        <v>44925.90625</v>
      </c>
      <c r="HL23" s="34"/>
      <c r="HM23" s="34" t="s">
        <v>125</v>
      </c>
      <c r="HN23" s="34" t="s">
        <v>108</v>
      </c>
      <c r="HO23" s="120">
        <f>IF(ISBLANK(fixtures!$K158),"",fixtures!$K158)</f>
        <v>0</v>
      </c>
      <c r="HP23" s="34" t="str">
        <f>IF(ISBLANK(fixtures!$L158),"",":")</f>
        <v>:</v>
      </c>
      <c r="HQ23" s="122">
        <f>IF(ISBLANK(fixtures!$L158),"",fixtures!$L158)</f>
        <v>2</v>
      </c>
      <c r="HR23" s="34" t="str">
        <f>IF(ISBLANK(fixtures!$L158),"",IF(HO23&gt;HQ23,"W",IF(HO23=HQ23,"D","L")))</f>
        <v>L</v>
      </c>
      <c r="HS23" s="34"/>
      <c r="HT23" s="34"/>
      <c r="HU23" s="125">
        <v>31</v>
      </c>
      <c r="HV23" s="36" t="s">
        <v>107</v>
      </c>
      <c r="HW23" s="402">
        <f ca="1">IFERROR(INDIRECT("fixtures!" &amp; Dashboard!J1 &amp;160) - Dashboard!K1/24,"TBC")</f>
        <v>44926.604166666664</v>
      </c>
      <c r="HX23" s="36"/>
      <c r="HY23" s="36" t="s">
        <v>11</v>
      </c>
      <c r="HZ23" s="36" t="s">
        <v>108</v>
      </c>
      <c r="IA23" s="125">
        <f>IF(ISBLANK(fixtures!$K160),"",fixtures!$K160)</f>
        <v>0</v>
      </c>
      <c r="IB23" s="36" t="str">
        <f>IF(ISBLANK(fixtures!$L160),"",":")</f>
        <v>:</v>
      </c>
      <c r="IC23" s="127">
        <f>IF(ISBLANK(fixtures!$L160),"",fixtures!$L160)</f>
        <v>1</v>
      </c>
      <c r="ID23" s="36" t="str">
        <f>IF(ISBLANK(fixtures!$L160),"",IF(IA23&gt;IC23,"W",IF(IA23=IC23,"D","L")))</f>
        <v>L</v>
      </c>
      <c r="IE23" s="36"/>
      <c r="IF23" s="36"/>
    </row>
    <row r="24" spans="1:243" x14ac:dyDescent="0.4">
      <c r="A24" s="91">
        <v>3</v>
      </c>
      <c r="B24" s="6" t="s">
        <v>111</v>
      </c>
      <c r="C24" s="277">
        <f ca="1">IFERROR(INDIRECT("fixtures!" &amp; Dashboard!J1 &amp;169) - Dashboard!K1/24,"TBC")</f>
        <v>44929.90625</v>
      </c>
      <c r="D24" s="6"/>
      <c r="E24" s="6" t="s">
        <v>12</v>
      </c>
      <c r="F24" s="6" t="s">
        <v>108</v>
      </c>
      <c r="G24" s="91">
        <f>IF(ISBLANK(fixtures!$K169),"",fixtures!$K169)</f>
        <v>0</v>
      </c>
      <c r="H24" s="6" t="str">
        <f>IF(ISBLANK(fixtures!$L169),"",":")</f>
        <v>:</v>
      </c>
      <c r="I24" s="93">
        <f>IF(ISBLANK(fixtures!$L169),"",fixtures!$L169)</f>
        <v>0</v>
      </c>
      <c r="J24" s="6" t="str">
        <f>IF(ISBLANK(fixtures!$L169),"",IF(G24&gt;I24,"W",IF(G24=I24,"D","L")))</f>
        <v>D</v>
      </c>
      <c r="K24" s="6"/>
      <c r="L24" s="6"/>
      <c r="M24" s="282">
        <v>1</v>
      </c>
      <c r="N24" s="9" t="s">
        <v>105</v>
      </c>
      <c r="O24" s="284">
        <f ca="1">IFERROR(INDIRECT("fixtures!" &amp; Dashboard!J1 &amp;166) - Dashboard!K1/24,"TBC")</f>
        <v>44927.666666666664</v>
      </c>
      <c r="P24" s="9"/>
      <c r="Q24" s="9" t="s">
        <v>14</v>
      </c>
      <c r="R24" s="9" t="s">
        <v>106</v>
      </c>
      <c r="S24" s="282">
        <f>IF(ISBLANK(fixtures!$L166),"",fixtures!$L166)</f>
        <v>2</v>
      </c>
      <c r="T24" s="9" t="str">
        <f>IF(ISBLANK(fixtures!$L166),"",":")</f>
        <v>:</v>
      </c>
      <c r="U24" s="283">
        <f>IF(ISBLANK(fixtures!$K166),"",fixtures!$K166)</f>
        <v>0</v>
      </c>
      <c r="V24" s="9" t="str">
        <f>IF(ISBLANK(fixtures!$L166),"",IF(S24&gt;U24,"W",IF(S24=U24,"D","L")))</f>
        <v>W</v>
      </c>
      <c r="W24" s="9"/>
      <c r="X24" s="9"/>
      <c r="Y24" s="293" t="s">
        <v>22</v>
      </c>
      <c r="Z24" s="292"/>
      <c r="AA24" s="291"/>
      <c r="AB24" s="262"/>
      <c r="AC24" s="262"/>
      <c r="AD24" s="262"/>
      <c r="AE24" s="290"/>
      <c r="AF24" s="262"/>
      <c r="AG24" s="292"/>
      <c r="AH24" s="262"/>
      <c r="AI24" s="262"/>
      <c r="AJ24" s="262"/>
      <c r="AK24" s="414" t="s">
        <v>22</v>
      </c>
      <c r="AL24" s="410"/>
      <c r="AM24" s="413"/>
      <c r="AN24" s="410"/>
      <c r="AO24" s="410"/>
      <c r="AP24" s="410"/>
      <c r="AQ24" s="411"/>
      <c r="AR24" s="410"/>
      <c r="AS24" s="412"/>
      <c r="AT24" s="410"/>
      <c r="AU24" s="410"/>
      <c r="AV24" s="410"/>
      <c r="AW24" s="96">
        <v>3</v>
      </c>
      <c r="AX24" s="11" t="s">
        <v>111</v>
      </c>
      <c r="AY24" s="298">
        <f ca="1">IFERROR(INDIRECT("fixtures!" &amp; Dashboard!J1 &amp;170) - Dashboard!K1/24,"TBC")</f>
        <v>44929.90625</v>
      </c>
      <c r="AZ24" s="11"/>
      <c r="BA24" s="11" t="s">
        <v>7</v>
      </c>
      <c r="BB24" s="11" t="s">
        <v>106</v>
      </c>
      <c r="BC24" s="96">
        <f>IF(ISBLANK(fixtures!$L170),"",fixtures!$L170)</f>
        <v>4</v>
      </c>
      <c r="BD24" s="11" t="str">
        <f>IF(ISBLANK(fixtures!$L170),"",":")</f>
        <v>:</v>
      </c>
      <c r="BE24" s="98">
        <f>IF(ISBLANK(fixtures!$K170),"",fixtures!$K170)</f>
        <v>1</v>
      </c>
      <c r="BF24" s="11" t="str">
        <f>IF(ISBLANK(fixtures!$L170),"",IF(BC24&gt;BE24,"W",IF(BC24=BE24,"D","L")))</f>
        <v>W</v>
      </c>
      <c r="BG24" s="11"/>
      <c r="BH24" s="11"/>
      <c r="BI24" s="181">
        <v>5</v>
      </c>
      <c r="BJ24" s="15" t="s">
        <v>582</v>
      </c>
      <c r="BK24" s="304">
        <f ca="1">IFERROR(INDIRECT("fixtures!" &amp; Dashboard!J1 &amp;177) - Dashboard!K1/24,"TBC")</f>
        <v>44931.916666666664</v>
      </c>
      <c r="BL24" s="15"/>
      <c r="BM24" s="15" t="s">
        <v>10</v>
      </c>
      <c r="BN24" s="15" t="s">
        <v>108</v>
      </c>
      <c r="BO24" s="181">
        <f>IF(ISBLANK(fixtures!$K177),"",fixtures!$K177)</f>
        <v>0</v>
      </c>
      <c r="BP24" s="15" t="str">
        <f>IF(ISBLANK(fixtures!$L177),"",":")</f>
        <v>:</v>
      </c>
      <c r="BQ24" s="183">
        <f>IF(ISBLANK(fixtures!$L177),"",fixtures!$L177)</f>
        <v>1</v>
      </c>
      <c r="BR24" s="15" t="str">
        <f>IF(ISBLANK(fixtures!$L177),"",IF(BO24&gt;BQ24,"W",IF(BO24=BQ24,"D","L")))</f>
        <v>L</v>
      </c>
      <c r="BS24" s="15"/>
      <c r="BT24" s="15"/>
      <c r="BU24" s="310">
        <v>4</v>
      </c>
      <c r="BV24" s="16" t="s">
        <v>110</v>
      </c>
      <c r="BW24" s="312">
        <f ca="1">IFERROR(INDIRECT("fixtures!" &amp; Dashboard!J1 &amp;176) - Dashboard!K1/24,"TBC")</f>
        <v>44930.916666666664</v>
      </c>
      <c r="BX24" s="16"/>
      <c r="BY24" s="16" t="s">
        <v>14</v>
      </c>
      <c r="BZ24" s="16" t="s">
        <v>108</v>
      </c>
      <c r="CA24" s="310">
        <f>IF(ISBLANK(fixtures!$K176),"",fixtures!$K176)</f>
        <v>0</v>
      </c>
      <c r="CB24" s="16" t="str">
        <f>IF(ISBLANK(fixtures!$L176),"",":")</f>
        <v>:</v>
      </c>
      <c r="CC24" s="311">
        <f>IF(ISBLANK(fixtures!$L176),"",fixtures!$L176)</f>
        <v>4</v>
      </c>
      <c r="CD24" s="16" t="str">
        <f>IF(ISBLANK(fixtures!$L176),"",IF(CA24&gt;CC24,"W",IF(CA24=CC24,"D","L")))</f>
        <v>L</v>
      </c>
      <c r="CE24" s="16"/>
      <c r="CF24" s="16"/>
      <c r="CG24" s="321" t="s">
        <v>22</v>
      </c>
      <c r="CH24" s="19"/>
      <c r="CI24" s="320"/>
      <c r="CJ24" s="19"/>
      <c r="CK24" s="19"/>
      <c r="CL24" s="19"/>
      <c r="CM24" s="318"/>
      <c r="CN24" s="19"/>
      <c r="CO24" s="319"/>
      <c r="CP24" s="19"/>
      <c r="CQ24" s="19"/>
      <c r="CR24" s="19"/>
      <c r="CS24" s="329" t="s">
        <v>22</v>
      </c>
      <c r="CT24" s="178"/>
      <c r="CU24" s="328"/>
      <c r="CV24" s="178"/>
      <c r="CW24" s="178"/>
      <c r="CX24" s="178"/>
      <c r="CY24" s="326"/>
      <c r="CZ24" s="178"/>
      <c r="DA24" s="327"/>
      <c r="DB24" s="178"/>
      <c r="DC24" s="178"/>
      <c r="DD24" s="178"/>
      <c r="DE24" s="334">
        <v>4</v>
      </c>
      <c r="DF24" s="335" t="s">
        <v>110</v>
      </c>
      <c r="DG24" s="336">
        <f ca="1">IFERROR(INDIRECT("fixtures!" &amp; Dashboard!J1 &amp;174) - Dashboard!K1/24,"TBC")</f>
        <v>44930.90625</v>
      </c>
      <c r="DH24" s="177"/>
      <c r="DI24" s="177" t="s">
        <v>15</v>
      </c>
      <c r="DJ24" s="177" t="s">
        <v>108</v>
      </c>
      <c r="DK24" s="334">
        <f>IF(ISBLANK(fixtures!$K174),"",fixtures!$K174)</f>
        <v>2</v>
      </c>
      <c r="DL24" s="177" t="str">
        <f>IF(ISBLANK(fixtures!$L174),"",":")</f>
        <v>:</v>
      </c>
      <c r="DM24" s="335">
        <f>IF(ISBLANK(fixtures!$L174),"",fixtures!$L174)</f>
        <v>2</v>
      </c>
      <c r="DN24" s="177" t="str">
        <f>IF(ISBLANK(fixtures!$L174),"",IF(DK24&gt;DM24,"W",IF(DK24=DM24,"D","L")))</f>
        <v>D</v>
      </c>
      <c r="DO24" s="177"/>
      <c r="DP24" s="177"/>
      <c r="DQ24" s="344" t="s">
        <v>22</v>
      </c>
      <c r="DR24" s="21"/>
      <c r="DS24" s="343"/>
      <c r="DT24" s="21"/>
      <c r="DU24" s="21"/>
      <c r="DV24" s="21"/>
      <c r="DW24" s="341"/>
      <c r="DX24" s="21"/>
      <c r="DY24" s="342"/>
      <c r="DZ24" s="21"/>
      <c r="EA24" s="21"/>
      <c r="EB24" s="21"/>
      <c r="EC24" s="270">
        <v>2</v>
      </c>
      <c r="ED24" s="23" t="s">
        <v>109</v>
      </c>
      <c r="EE24" s="349">
        <f ca="1">IFERROR(INDIRECT("fixtures!" &amp; Dashboard!J1 &amp;168) - Dashboard!K1/24,"TBC")</f>
        <v>44928.8125</v>
      </c>
      <c r="EF24" s="23"/>
      <c r="EG24" s="23" t="s">
        <v>125</v>
      </c>
      <c r="EH24" s="23" t="s">
        <v>106</v>
      </c>
      <c r="EI24" s="270">
        <f>IF(ISBLANK(fixtures!$L168),"",fixtures!$L168)</f>
        <v>1</v>
      </c>
      <c r="EJ24" s="23" t="str">
        <f>IF(ISBLANK(fixtures!$L168),"",":")</f>
        <v>:</v>
      </c>
      <c r="EK24" s="272">
        <f>IF(ISBLANK(fixtures!$K168),"",fixtures!$K168)</f>
        <v>3</v>
      </c>
      <c r="EL24" s="23" t="str">
        <f>IF(ISBLANK(fixtures!$L168),"",IF(EI24&gt;EK24,"W",IF(EI24=EK24,"D","L")))</f>
        <v>L</v>
      </c>
      <c r="EM24" s="23"/>
      <c r="EN24" s="23"/>
      <c r="EO24" s="105">
        <v>5</v>
      </c>
      <c r="EP24" s="107" t="s">
        <v>582</v>
      </c>
      <c r="EQ24" s="355">
        <f ca="1">IFERROR(INDIRECT("fixtures!" &amp; Dashboard!J1 &amp;177) - Dashboard!K1/24,"TBC")</f>
        <v>44931.916666666664</v>
      </c>
      <c r="ER24" s="25"/>
      <c r="ES24" s="25" t="s">
        <v>5</v>
      </c>
      <c r="ET24" s="25" t="s">
        <v>106</v>
      </c>
      <c r="EU24" s="105">
        <f>IF(ISBLANK(fixtures!$L177),"",fixtures!$L177)</f>
        <v>1</v>
      </c>
      <c r="EV24" s="25" t="str">
        <f>IF(ISBLANK(fixtures!$L177),"",":")</f>
        <v>:</v>
      </c>
      <c r="EW24" s="107">
        <f>IF(ISBLANK(fixtures!$K177),"",fixtures!$K177)</f>
        <v>0</v>
      </c>
      <c r="EX24" s="25" t="str">
        <f>IF(ISBLANK(fixtures!$L177),"",IF(EU24&gt;EW24,"W",IF(EU24=EW24,"D","L")))</f>
        <v>W</v>
      </c>
      <c r="EY24" s="25"/>
      <c r="EZ24" s="25"/>
      <c r="FA24" s="361">
        <v>3</v>
      </c>
      <c r="FB24" s="27" t="s">
        <v>111</v>
      </c>
      <c r="FC24" s="363">
        <f ca="1">IFERROR(INDIRECT("fixtures!" &amp; Dashboard!J1 &amp;172) - Dashboard!K1/24,"TBC")</f>
        <v>44929.916666666664</v>
      </c>
      <c r="FD24" s="27"/>
      <c r="FE24" s="27" t="s">
        <v>3</v>
      </c>
      <c r="FF24" s="27" t="s">
        <v>108</v>
      </c>
      <c r="FG24" s="361">
        <f>IF(ISBLANK(fixtures!$K172),"",fixtures!$K172)</f>
        <v>3</v>
      </c>
      <c r="FH24" s="27" t="str">
        <f>IF(ISBLANK(fixtures!$L172),"",":")</f>
        <v>:</v>
      </c>
      <c r="FI24" s="362">
        <f>IF(ISBLANK(fixtures!$L172),"",fixtures!$L172)</f>
        <v>0</v>
      </c>
      <c r="FJ24" s="27" t="str">
        <f>IF(ISBLANK(fixtures!$L172),"",IF(FG24&gt;FI24,"W",IF(FG24=FI24,"D","L")))</f>
        <v>W</v>
      </c>
      <c r="FK24" s="27"/>
      <c r="FL24" s="27"/>
      <c r="FM24" s="370" t="s">
        <v>22</v>
      </c>
      <c r="FN24" s="29"/>
      <c r="FO24" s="369"/>
      <c r="FP24" s="29"/>
      <c r="FQ24" s="29"/>
      <c r="FR24" s="29"/>
      <c r="FS24" s="110"/>
      <c r="FT24" s="29"/>
      <c r="FU24" s="112"/>
      <c r="FV24" s="29"/>
      <c r="FW24" s="29"/>
      <c r="FX24" s="29"/>
      <c r="FY24" s="375">
        <v>1</v>
      </c>
      <c r="FZ24" s="264" t="s">
        <v>105</v>
      </c>
      <c r="GA24" s="377">
        <f ca="1">IFERROR(INDIRECT("fixtures!" &amp; Dashboard!J1 &amp;167) - Dashboard!K1/24,"TBC")</f>
        <v>44927.770833333336</v>
      </c>
      <c r="GB24" s="264"/>
      <c r="GC24" s="264" t="s">
        <v>5</v>
      </c>
      <c r="GD24" s="264" t="s">
        <v>108</v>
      </c>
      <c r="GE24" s="375">
        <f>IF(ISBLANK(fixtures!$K167),"",fixtures!$K167)</f>
        <v>1</v>
      </c>
      <c r="GF24" s="264" t="str">
        <f>IF(ISBLANK(fixtures!$L167),"",":")</f>
        <v>:</v>
      </c>
      <c r="GG24" s="376">
        <f>IF(ISBLANK(fixtures!$L167),"",fixtures!$L167)</f>
        <v>1</v>
      </c>
      <c r="GH24" s="264" t="str">
        <f>IF(ISBLANK(fixtures!$L167),"",IF(GE24&gt;GG24,"W",IF(GE24=GG24,"D","L")))</f>
        <v>D</v>
      </c>
      <c r="GI24" s="264"/>
      <c r="GJ24" s="264"/>
      <c r="GK24" s="385" t="s">
        <v>22</v>
      </c>
      <c r="GL24" s="383"/>
      <c r="GM24" s="384"/>
      <c r="GN24" s="30"/>
      <c r="GO24" s="30"/>
      <c r="GP24" s="30"/>
      <c r="GQ24" s="382"/>
      <c r="GR24" s="30"/>
      <c r="GS24" s="383"/>
      <c r="GT24" s="30"/>
      <c r="GU24" s="30"/>
      <c r="GV24" s="30"/>
      <c r="GW24" s="115">
        <v>1</v>
      </c>
      <c r="GX24" s="117" t="s">
        <v>105</v>
      </c>
      <c r="GY24" s="390">
        <f ca="1">IFERROR(INDIRECT("fixtures!" &amp; Dashboard!J1 &amp;166) - Dashboard!K1/24,"TBC")</f>
        <v>44927.666666666664</v>
      </c>
      <c r="GZ24" s="32"/>
      <c r="HA24" s="32" t="s">
        <v>2</v>
      </c>
      <c r="HB24" s="32" t="s">
        <v>108</v>
      </c>
      <c r="HC24" s="115">
        <f>IF(ISBLANK(fixtures!$K166),"",fixtures!$K166)</f>
        <v>0</v>
      </c>
      <c r="HD24" s="32" t="str">
        <f>IF(ISBLANK(fixtures!$L166),"",":")</f>
        <v>:</v>
      </c>
      <c r="HE24" s="117">
        <f>IF(ISBLANK(fixtures!$L166),"",fixtures!$L166)</f>
        <v>2</v>
      </c>
      <c r="HF24" s="32" t="str">
        <f>IF(ISBLANK(fixtures!$L166),"",IF(HC24&gt;HE24,"W",IF(HC24=HE24,"D","L")))</f>
        <v>L</v>
      </c>
      <c r="HG24" s="32"/>
      <c r="HH24" s="32"/>
      <c r="HI24" s="397" t="s">
        <v>22</v>
      </c>
      <c r="HJ24" s="34"/>
      <c r="HK24" s="396"/>
      <c r="HL24" s="34"/>
      <c r="HM24" s="34"/>
      <c r="HN24" s="34"/>
      <c r="HO24" s="120"/>
      <c r="HP24" s="34"/>
      <c r="HQ24" s="122"/>
      <c r="HR24" s="34"/>
      <c r="HS24" s="34"/>
      <c r="HT24" s="34"/>
      <c r="HU24" s="403" t="s">
        <v>22</v>
      </c>
      <c r="HV24" s="36"/>
      <c r="HW24" s="402"/>
      <c r="HX24" s="36"/>
      <c r="HY24" s="36"/>
      <c r="HZ24" s="36"/>
      <c r="IA24" s="125"/>
      <c r="IB24" s="36"/>
      <c r="IC24" s="127"/>
      <c r="ID24" s="36"/>
      <c r="IE24" s="36"/>
      <c r="IF24" s="36"/>
    </row>
    <row r="25" spans="1:243" x14ac:dyDescent="0.4">
      <c r="A25" s="91">
        <v>15</v>
      </c>
      <c r="B25" s="6" t="s">
        <v>105</v>
      </c>
      <c r="C25" s="277">
        <f ca="1">IFERROR(INDIRECT("fixtures!" &amp; Dashboard!J1 &amp;188) - Dashboard!K1/24,"TBC")</f>
        <v>44941.770833333336</v>
      </c>
      <c r="D25" s="6"/>
      <c r="E25" s="6" t="s">
        <v>14</v>
      </c>
      <c r="F25" s="6" t="s">
        <v>106</v>
      </c>
      <c r="G25" s="91">
        <f>IF(ISBLANK(fixtures!$L188),"",fixtures!$L188)</f>
        <v>2</v>
      </c>
      <c r="H25" s="6" t="str">
        <f>IF(ISBLANK(fixtures!$L188),"",":")</f>
        <v>:</v>
      </c>
      <c r="I25" s="93">
        <f>IF(ISBLANK(fixtures!$K188),"",fixtures!$K188)</f>
        <v>0</v>
      </c>
      <c r="J25" s="6" t="str">
        <f>IF(ISBLANK(fixtures!$L188),"",IF(G25&gt;I25,"W",IF(G25=I25,"D","L")))</f>
        <v>W</v>
      </c>
      <c r="K25" s="6"/>
      <c r="L25" s="6"/>
      <c r="M25" s="282">
        <v>4</v>
      </c>
      <c r="N25" s="283" t="s">
        <v>110</v>
      </c>
      <c r="O25" s="284">
        <f ca="1">IFERROR(INDIRECT("fixtures!" &amp; Dashboard!J1 &amp;175) - Dashboard!K1/24,"TBC")</f>
        <v>44930.916666666664</v>
      </c>
      <c r="P25" s="9"/>
      <c r="Q25" s="9" t="s">
        <v>16</v>
      </c>
      <c r="R25" s="9" t="s">
        <v>108</v>
      </c>
      <c r="S25" s="282">
        <f>IF(ISBLANK(fixtures!$K175),"",fixtures!$K175)</f>
        <v>1</v>
      </c>
      <c r="T25" s="9" t="str">
        <f>IF(ISBLANK(fixtures!$L175),"",":")</f>
        <v>:</v>
      </c>
      <c r="U25" s="283">
        <f>IF(ISBLANK(fixtures!$L175),"",fixtures!$L175)</f>
        <v>1</v>
      </c>
      <c r="V25" s="9" t="str">
        <f>IF(ISBLANK(fixtures!$L175),"",IF(S25&gt;U25,"W",IF(S25=U25,"D","L")))</f>
        <v>D</v>
      </c>
      <c r="W25" s="9"/>
      <c r="X25" s="9"/>
      <c r="Y25" s="290">
        <v>3</v>
      </c>
      <c r="Z25" s="292" t="s">
        <v>111</v>
      </c>
      <c r="AA25" s="291">
        <f ca="1">IFERROR(INDIRECT("fixtures!" &amp; Dashboard!J1 &amp;172) - Dashboard!K1/24,"TBC")</f>
        <v>44929.916666666664</v>
      </c>
      <c r="AB25" s="262"/>
      <c r="AC25" s="262" t="s">
        <v>11</v>
      </c>
      <c r="AD25" s="262" t="s">
        <v>106</v>
      </c>
      <c r="AE25" s="290">
        <f>IF(ISBLANK(fixtures!$L172),"",fixtures!$L172)</f>
        <v>0</v>
      </c>
      <c r="AF25" s="262" t="str">
        <f>IF(ISBLANK(fixtures!$L172),"",":")</f>
        <v>:</v>
      </c>
      <c r="AG25" s="292">
        <f>IF(ISBLANK(fixtures!$K172),"",fixtures!$K172)</f>
        <v>3</v>
      </c>
      <c r="AH25" s="262" t="str">
        <f>IF(ISBLANK(fixtures!$L172),"",IF(AE25&gt;AG25,"W",IF(AE25=AG25,"D","L")))</f>
        <v>L</v>
      </c>
      <c r="AI25" s="262"/>
      <c r="AJ25" s="262"/>
      <c r="AK25" s="411">
        <v>2</v>
      </c>
      <c r="AL25" s="410" t="s">
        <v>109</v>
      </c>
      <c r="AM25" s="413">
        <f ca="1">IFERROR(INDIRECT("fixtures!" &amp; Dashboard!J1 &amp;168) - Dashboard!K1/24,"TBC")</f>
        <v>44928.8125</v>
      </c>
      <c r="AN25" s="410"/>
      <c r="AO25" s="410" t="s">
        <v>9</v>
      </c>
      <c r="AP25" s="410" t="s">
        <v>108</v>
      </c>
      <c r="AQ25" s="411">
        <f>IF(ISBLANK(fixtures!$K168),"",fixtures!$K168)</f>
        <v>3</v>
      </c>
      <c r="AR25" s="410" t="str">
        <f>IF(ISBLANK(fixtures!$L168),"",":")</f>
        <v>:</v>
      </c>
      <c r="AS25" s="412">
        <f>IF(ISBLANK(fixtures!$L168),"",fixtures!$L168)</f>
        <v>1</v>
      </c>
      <c r="AT25" s="410" t="str">
        <f>IF(ISBLANK(fixtures!$L168),"",IF(AQ25&gt;AS25,"W",IF(AQ25=AS25,"D","L")))</f>
        <v>W</v>
      </c>
      <c r="AU25" s="410"/>
      <c r="AV25" s="410"/>
      <c r="AW25" s="96">
        <v>14</v>
      </c>
      <c r="AX25" s="98" t="s">
        <v>107</v>
      </c>
      <c r="AY25" s="298">
        <f ca="1">IFERROR(INDIRECT("fixtures!" &amp; Dashboard!J1 &amp;181) - Dashboard!K1/24,"TBC")</f>
        <v>44940.708333333336</v>
      </c>
      <c r="AZ25" s="11"/>
      <c r="BA25" s="11" t="s">
        <v>9</v>
      </c>
      <c r="BB25" s="11" t="s">
        <v>108</v>
      </c>
      <c r="BC25" s="96">
        <f>IF(ISBLANK(fixtures!$K181),"",fixtures!$K181)</f>
        <v>3</v>
      </c>
      <c r="BD25" s="11" t="str">
        <f>IF(ISBLANK(fixtures!$L181),"",":")</f>
        <v>:</v>
      </c>
      <c r="BE25" s="98">
        <f>IF(ISBLANK(fixtures!$L181),"",fixtures!$L181)</f>
        <v>0</v>
      </c>
      <c r="BF25" s="11" t="str">
        <f>IF(ISBLANK(fixtures!$L181),"",IF(BC25&gt;BE25,"W",IF(BC25=BE25,"D","L")))</f>
        <v>W</v>
      </c>
      <c r="BG25" s="11"/>
      <c r="BH25" s="11"/>
      <c r="BI25" s="181">
        <v>12</v>
      </c>
      <c r="BJ25" s="15" t="s">
        <v>582</v>
      </c>
      <c r="BK25" s="304">
        <f ca="1">IFERROR(INDIRECT("fixtures!" &amp; Dashboard!J1 &amp;178) - Dashboard!K1/24,"TBC")</f>
        <v>44938.916666666664</v>
      </c>
      <c r="BL25" s="15"/>
      <c r="BM25" s="15" t="s">
        <v>126</v>
      </c>
      <c r="BN25" s="15" t="s">
        <v>106</v>
      </c>
      <c r="BO25" s="181">
        <f>IF(ISBLANK(fixtures!$L178),"",fixtures!$L178)</f>
        <v>1</v>
      </c>
      <c r="BP25" s="15" t="str">
        <f>IF(ISBLANK(fixtures!$L178),"",":")</f>
        <v>:</v>
      </c>
      <c r="BQ25" s="183">
        <f>IF(ISBLANK(fixtures!$K178),"",fixtures!$K178)</f>
        <v>2</v>
      </c>
      <c r="BR25" s="15" t="str">
        <f>IF(ISBLANK(fixtures!$L178),"",IF(BO25&gt;BQ25,"W",IF(BO25=BQ25,"D","L")))</f>
        <v>L</v>
      </c>
      <c r="BS25" s="15"/>
      <c r="BT25" s="15"/>
      <c r="BU25" s="310">
        <v>15</v>
      </c>
      <c r="BV25" s="311" t="s">
        <v>105</v>
      </c>
      <c r="BW25" s="312">
        <f ca="1">IFERROR(INDIRECT("fixtures!" &amp; Dashboard!J1 &amp;186) - Dashboard!K1/24,"TBC")</f>
        <v>44941.666666666664</v>
      </c>
      <c r="BX25" s="16"/>
      <c r="BY25" s="16" t="s">
        <v>5</v>
      </c>
      <c r="BZ25" s="16" t="s">
        <v>106</v>
      </c>
      <c r="CA25" s="310">
        <f>IF(ISBLANK(fixtures!$L186),"",fixtures!$L186)</f>
        <v>0</v>
      </c>
      <c r="CB25" s="16" t="str">
        <f>IF(ISBLANK(fixtures!$L186),"",":")</f>
        <v>:</v>
      </c>
      <c r="CC25" s="311">
        <f>IF(ISBLANK(fixtures!$K186),"",fixtures!$K186)</f>
        <v>1</v>
      </c>
      <c r="CD25" s="16" t="str">
        <f>IF(ISBLANK(fixtures!$L186),"",IF(CA25&gt;CC25,"W",IF(CA25=CC25,"D","L")))</f>
        <v>L</v>
      </c>
      <c r="CE25" s="16"/>
      <c r="CF25" s="16"/>
      <c r="CG25" s="318">
        <v>3</v>
      </c>
      <c r="CH25" s="319" t="s">
        <v>111</v>
      </c>
      <c r="CI25" s="320">
        <f ca="1">IFERROR(INDIRECT("fixtures!" &amp; Dashboard!J1 &amp;170) - Dashboard!K1/24,"TBC")</f>
        <v>44929.90625</v>
      </c>
      <c r="CJ25" s="19"/>
      <c r="CK25" s="19" t="s">
        <v>4</v>
      </c>
      <c r="CL25" s="19" t="s">
        <v>108</v>
      </c>
      <c r="CM25" s="318">
        <f>IF(ISBLANK(fixtures!$K170),"",fixtures!$K170)</f>
        <v>1</v>
      </c>
      <c r="CN25" s="19" t="str">
        <f>IF(ISBLANK(fixtures!$L170),"",":")</f>
        <v>:</v>
      </c>
      <c r="CO25" s="319">
        <f>IF(ISBLANK(fixtures!$L170),"",fixtures!$L170)</f>
        <v>4</v>
      </c>
      <c r="CP25" s="19" t="str">
        <f>IF(ISBLANK(fixtures!$L170),"",IF(CM25&gt;CO25,"W",IF(CM25=CO25,"D","L")))</f>
        <v>L</v>
      </c>
      <c r="CQ25" s="19"/>
      <c r="CR25" s="19"/>
      <c r="CS25" s="326">
        <v>3</v>
      </c>
      <c r="CT25" s="178" t="s">
        <v>111</v>
      </c>
      <c r="CU25" s="328">
        <f ca="1">IFERROR(INDIRECT("fixtures!" &amp; Dashboard!J1 &amp;171) - Dashboard!K1/24,"TBC")</f>
        <v>44929.90625</v>
      </c>
      <c r="CV25" s="178"/>
      <c r="CW25" s="178" t="s">
        <v>8</v>
      </c>
      <c r="CX25" s="178" t="s">
        <v>106</v>
      </c>
      <c r="CY25" s="326">
        <f>IF(ISBLANK(fixtures!$L171),"",fixtures!$L171)</f>
        <v>1</v>
      </c>
      <c r="CZ25" s="178" t="str">
        <f>IF(ISBLANK(fixtures!$L171),"",":")</f>
        <v>:</v>
      </c>
      <c r="DA25" s="327">
        <f>IF(ISBLANK(fixtures!$K171),"",fixtures!$K171)</f>
        <v>0</v>
      </c>
      <c r="DB25" s="178" t="str">
        <f>IF(ISBLANK(fixtures!$L171),"",IF(CY25&gt;DA25,"W",IF(CY25=DA25,"D","L")))</f>
        <v>W</v>
      </c>
      <c r="DC25" s="178"/>
      <c r="DD25" s="178"/>
      <c r="DE25" s="334">
        <v>13</v>
      </c>
      <c r="DF25" s="335" t="s">
        <v>146</v>
      </c>
      <c r="DG25" s="336">
        <f ca="1">IFERROR(INDIRECT("fixtures!" &amp; Dashboard!J1 &amp;179) - Dashboard!K1/24,"TBC")</f>
        <v>44939.916666666664</v>
      </c>
      <c r="DH25" s="177"/>
      <c r="DI25" s="177" t="s">
        <v>2</v>
      </c>
      <c r="DJ25" s="177" t="s">
        <v>106</v>
      </c>
      <c r="DK25" s="334">
        <f>IF(ISBLANK(fixtures!$L179),"",fixtures!$L179)</f>
        <v>1</v>
      </c>
      <c r="DL25" s="177" t="str">
        <f>IF(ISBLANK(fixtures!$L179),"",":")</f>
        <v>:</v>
      </c>
      <c r="DM25" s="335">
        <f>IF(ISBLANK(fixtures!$K179),"",fixtures!$K179)</f>
        <v>2</v>
      </c>
      <c r="DN25" s="177" t="str">
        <f>IF(ISBLANK(fixtures!$L179),"",IF(DK25&gt;DM25,"W",IF(DK25=DM25,"D","L")))</f>
        <v>L</v>
      </c>
      <c r="DO25" s="177"/>
      <c r="DP25" s="177"/>
      <c r="DQ25" s="341">
        <v>3</v>
      </c>
      <c r="DR25" s="21" t="s">
        <v>111</v>
      </c>
      <c r="DS25" s="343">
        <f ca="1">IFERROR(INDIRECT("fixtures!" &amp; Dashboard!J1 &amp;171) - Dashboard!K1/24,"TBC")</f>
        <v>44929.90625</v>
      </c>
      <c r="DT25" s="21"/>
      <c r="DU25" s="21" t="s">
        <v>126</v>
      </c>
      <c r="DV25" s="21" t="s">
        <v>108</v>
      </c>
      <c r="DW25" s="341">
        <f>IF(ISBLANK(fixtures!$K171),"",fixtures!$K171)</f>
        <v>0</v>
      </c>
      <c r="DX25" s="21" t="str">
        <f>IF(ISBLANK(fixtures!$L171),"",":")</f>
        <v>:</v>
      </c>
      <c r="DY25" s="342">
        <f>IF(ISBLANK(fixtures!$L171),"",fixtures!$L171)</f>
        <v>1</v>
      </c>
      <c r="DZ25" s="21" t="str">
        <f>IF(ISBLANK(fixtures!$L171),"",IF(DW25&gt;DY25,"W",IF(DW25=DY25,"D","L")))</f>
        <v>L</v>
      </c>
      <c r="EA25" s="21"/>
      <c r="EB25" s="21"/>
      <c r="EC25" s="270">
        <v>14</v>
      </c>
      <c r="ED25" s="23" t="s">
        <v>107</v>
      </c>
      <c r="EE25" s="349">
        <f ca="1">IFERROR(INDIRECT("fixtures!" &amp; Dashboard!J1 &amp;181) - Dashboard!K1/24,"TBC")</f>
        <v>44940.708333333336</v>
      </c>
      <c r="EF25" s="23"/>
      <c r="EG25" s="23" t="s">
        <v>4</v>
      </c>
      <c r="EH25" s="23" t="s">
        <v>106</v>
      </c>
      <c r="EI25" s="270">
        <f>IF(ISBLANK(fixtures!$L181),"",fixtures!$L181)</f>
        <v>0</v>
      </c>
      <c r="EJ25" s="23" t="str">
        <f>IF(ISBLANK(fixtures!$L181),"",":")</f>
        <v>:</v>
      </c>
      <c r="EK25" s="272">
        <f>IF(ISBLANK(fixtures!$K181),"",fixtures!$K181)</f>
        <v>3</v>
      </c>
      <c r="EL25" s="23" t="str">
        <f>IF(ISBLANK(fixtures!$L181),"",IF(EI25&gt;EK25,"W",IF(EI25=EK25,"D","L")))</f>
        <v>L</v>
      </c>
      <c r="EM25" s="23"/>
      <c r="EN25" s="23"/>
      <c r="EO25" s="105">
        <v>14</v>
      </c>
      <c r="EP25" s="107" t="s">
        <v>107</v>
      </c>
      <c r="EQ25" s="355">
        <f ca="1">IFERROR(INDIRECT("fixtures!" &amp; Dashboard!J1 &amp;180) - Dashboard!K1/24,"TBC")</f>
        <v>44940.604166666664</v>
      </c>
      <c r="ER25" s="25"/>
      <c r="ES25" s="25" t="s">
        <v>11</v>
      </c>
      <c r="ET25" s="25" t="s">
        <v>106</v>
      </c>
      <c r="EU25" s="105">
        <f>IF(ISBLANK(fixtures!$L180),"",fixtures!$L180)</f>
        <v>1</v>
      </c>
      <c r="EV25" s="25" t="str">
        <f>IF(ISBLANK(fixtures!$L180),"",":")</f>
        <v>:</v>
      </c>
      <c r="EW25" s="107">
        <f>IF(ISBLANK(fixtures!$K180),"",fixtures!$K180)</f>
        <v>2</v>
      </c>
      <c r="EX25" s="25" t="str">
        <f>IF(ISBLANK(fixtures!$L180),"",IF(EU25&gt;EW25,"W",IF(EU25=EW25,"D","L")))</f>
        <v>L</v>
      </c>
      <c r="EY25" s="25"/>
      <c r="EZ25" s="25"/>
      <c r="FA25" s="361">
        <v>14</v>
      </c>
      <c r="FB25" s="27" t="s">
        <v>107</v>
      </c>
      <c r="FC25" s="363">
        <f ca="1">IFERROR(INDIRECT("fixtures!" &amp; Dashboard!J1 &amp;180) - Dashboard!K1/24,"TBC")</f>
        <v>44940.604166666664</v>
      </c>
      <c r="FD25" s="27"/>
      <c r="FE25" s="27" t="s">
        <v>10</v>
      </c>
      <c r="FF25" s="27" t="s">
        <v>108</v>
      </c>
      <c r="FG25" s="361">
        <f>IF(ISBLANK(fixtures!$K180),"",fixtures!$K180)</f>
        <v>2</v>
      </c>
      <c r="FH25" s="27" t="str">
        <f>IF(ISBLANK(fixtures!$L180),"",":")</f>
        <v>:</v>
      </c>
      <c r="FI25" s="362">
        <f>IF(ISBLANK(fixtures!$L180),"",fixtures!$L180)</f>
        <v>1</v>
      </c>
      <c r="FJ25" s="27" t="str">
        <f>IF(ISBLANK(fixtures!$L180),"",IF(FG25&gt;FI25,"W",IF(FG25=FI25,"D","L")))</f>
        <v>W</v>
      </c>
      <c r="FK25" s="27"/>
      <c r="FL25" s="27"/>
      <c r="FM25" s="110">
        <v>3</v>
      </c>
      <c r="FN25" s="112" t="s">
        <v>111</v>
      </c>
      <c r="FO25" s="369">
        <f ca="1">IFERROR(INDIRECT("fixtures!" &amp; Dashboard!J1 &amp;169) - Dashboard!K1/24,"TBC")</f>
        <v>44929.90625</v>
      </c>
      <c r="FP25" s="29"/>
      <c r="FQ25" s="29" t="s">
        <v>1</v>
      </c>
      <c r="FR25" s="29" t="s">
        <v>106</v>
      </c>
      <c r="FS25" s="110">
        <f>IF(ISBLANK(fixtures!$L169),"",fixtures!$L169)</f>
        <v>0</v>
      </c>
      <c r="FT25" s="29" t="str">
        <f>IF(ISBLANK(fixtures!$L169),"",":")</f>
        <v>:</v>
      </c>
      <c r="FU25" s="112">
        <f>IF(ISBLANK(fixtures!$K169),"",fixtures!$K169)</f>
        <v>0</v>
      </c>
      <c r="FV25" s="29" t="str">
        <f>IF(ISBLANK(fixtures!$L169),"",IF(FS25&gt;FU25,"W",IF(FS25=FU25,"D","L")))</f>
        <v>D</v>
      </c>
      <c r="FW25" s="29"/>
      <c r="FX25" s="29"/>
      <c r="FY25" s="375">
        <v>4</v>
      </c>
      <c r="FZ25" s="376" t="s">
        <v>110</v>
      </c>
      <c r="GA25" s="377">
        <f ca="1">IFERROR(INDIRECT("fixtures!" &amp; Dashboard!J1 &amp;173) - Dashboard!K1/24,"TBC")</f>
        <v>44930.895833333336</v>
      </c>
      <c r="GB25" s="264"/>
      <c r="GC25" s="264" t="s">
        <v>13</v>
      </c>
      <c r="GD25" s="264" t="s">
        <v>106</v>
      </c>
      <c r="GE25" s="375">
        <f>IF(ISBLANK(fixtures!$L173),"",fixtures!$L173)</f>
        <v>1</v>
      </c>
      <c r="GF25" s="264" t="str">
        <f>IF(ISBLANK(fixtures!$L173),"",":")</f>
        <v>:</v>
      </c>
      <c r="GG25" s="376">
        <f>IF(ISBLANK(fixtures!$K173),"",fixtures!$K173)</f>
        <v>0</v>
      </c>
      <c r="GH25" s="264" t="str">
        <f>IF(ISBLANK(fixtures!$L173),"",IF(GE25&gt;GG25,"W",IF(GE25=GG25,"D","L")))</f>
        <v>W</v>
      </c>
      <c r="GI25" s="264"/>
      <c r="GJ25" s="264"/>
      <c r="GK25" s="382">
        <v>4</v>
      </c>
      <c r="GL25" s="383" t="s">
        <v>110</v>
      </c>
      <c r="GM25" s="384">
        <f ca="1">IFERROR(INDIRECT("fixtures!" &amp; Dashboard!J1 &amp;173) - Dashboard!K1/24,"TBC")</f>
        <v>44930.895833333336</v>
      </c>
      <c r="GN25" s="30"/>
      <c r="GO25" s="30" t="s">
        <v>204</v>
      </c>
      <c r="GP25" s="30" t="s">
        <v>108</v>
      </c>
      <c r="GQ25" s="382">
        <f>IF(ISBLANK(fixtures!$K173),"",fixtures!$K173)</f>
        <v>0</v>
      </c>
      <c r="GR25" s="30" t="str">
        <f>IF(ISBLANK(fixtures!$L173),"",":")</f>
        <v>:</v>
      </c>
      <c r="GS25" s="383">
        <f>IF(ISBLANK(fixtures!$L173),"",fixtures!$L173)</f>
        <v>1</v>
      </c>
      <c r="GT25" s="30" t="str">
        <f>IF(ISBLANK(fixtures!$L173),"",IF(GQ25&gt;GS25,"W",IF(GQ25=GS25,"D","L")))</f>
        <v>L</v>
      </c>
      <c r="GU25" s="30"/>
      <c r="GV25" s="30"/>
      <c r="GW25" s="115">
        <v>4</v>
      </c>
      <c r="GX25" s="117" t="s">
        <v>110</v>
      </c>
      <c r="GY25" s="390">
        <f ca="1">IFERROR(INDIRECT("fixtures!" &amp; Dashboard!J1 &amp;176) - Dashboard!K1/24,"TBC")</f>
        <v>44930.916666666664</v>
      </c>
      <c r="GZ25" s="32"/>
      <c r="HA25" s="32" t="s">
        <v>6</v>
      </c>
      <c r="HB25" s="32" t="s">
        <v>106</v>
      </c>
      <c r="HC25" s="115">
        <f>IF(ISBLANK(fixtures!$L176),"",fixtures!$L176)</f>
        <v>4</v>
      </c>
      <c r="HD25" s="32" t="str">
        <f>IF(ISBLANK(fixtures!$L176),"",":")</f>
        <v>:</v>
      </c>
      <c r="HE25" s="117">
        <f>IF(ISBLANK(fixtures!$K176),"",fixtures!$K176)</f>
        <v>0</v>
      </c>
      <c r="HF25" s="32" t="str">
        <f>IF(ISBLANK(fixtures!$L176),"",IF(HC25&gt;HE25,"W",IF(HC25=HE25,"D","L")))</f>
        <v>W</v>
      </c>
      <c r="HG25" s="32"/>
      <c r="HH25" s="32"/>
      <c r="HI25" s="120">
        <v>4</v>
      </c>
      <c r="HJ25" s="122" t="s">
        <v>110</v>
      </c>
      <c r="HK25" s="396">
        <f ca="1">IFERROR(INDIRECT("fixtures!" &amp; Dashboard!J1 &amp;174) - Dashboard!K1/24,"TBC")</f>
        <v>44930.90625</v>
      </c>
      <c r="HL25" s="34"/>
      <c r="HM25" s="34" t="s">
        <v>139</v>
      </c>
      <c r="HN25" s="34" t="s">
        <v>106</v>
      </c>
      <c r="HO25" s="120">
        <f>IF(ISBLANK(fixtures!$L174),"",fixtures!$L174)</f>
        <v>2</v>
      </c>
      <c r="HP25" s="34" t="str">
        <f>IF(ISBLANK(fixtures!$L174),"",":")</f>
        <v>:</v>
      </c>
      <c r="HQ25" s="122">
        <f>IF(ISBLANK(fixtures!$K174),"",fixtures!$K174)</f>
        <v>2</v>
      </c>
      <c r="HR25" s="34" t="str">
        <f>IF(ISBLANK(fixtures!$L174),"",IF(HO25&gt;HQ25,"W",IF(HO25=HQ25,"D","L")))</f>
        <v>D</v>
      </c>
      <c r="HS25" s="34"/>
      <c r="HT25" s="34"/>
      <c r="HU25" s="125">
        <v>4</v>
      </c>
      <c r="HV25" s="36" t="s">
        <v>110</v>
      </c>
      <c r="HW25" s="402">
        <f ca="1">IFERROR(INDIRECT("fixtures!" &amp; Dashboard!J1 &amp;175) - Dashboard!K1/24,"TBC")</f>
        <v>44930.916666666664</v>
      </c>
      <c r="HX25" s="36"/>
      <c r="HY25" s="36" t="s">
        <v>2</v>
      </c>
      <c r="HZ25" s="36" t="s">
        <v>106</v>
      </c>
      <c r="IA25" s="125">
        <f>IF(ISBLANK(fixtures!$L175),"",fixtures!$L175)</f>
        <v>1</v>
      </c>
      <c r="IB25" s="36" t="str">
        <f>IF(ISBLANK(fixtures!$L175),"",":")</f>
        <v>:</v>
      </c>
      <c r="IC25" s="127">
        <f>IF(ISBLANK(fixtures!$K175),"",fixtures!$K175)</f>
        <v>1</v>
      </c>
      <c r="ID25" s="36" t="str">
        <f>IF(ISBLANK(fixtures!$L175),"",IF(IA25&gt;IC25,"W",IF(IA25=IC25,"D","L")))</f>
        <v>D</v>
      </c>
      <c r="IE25" s="36"/>
      <c r="IF25" s="36"/>
    </row>
    <row r="26" spans="1:243" x14ac:dyDescent="0.4">
      <c r="A26" s="91">
        <v>22</v>
      </c>
      <c r="B26" s="6" t="s">
        <v>105</v>
      </c>
      <c r="C26" s="277">
        <f ca="1">IFERROR(INDIRECT("fixtures!" &amp; Dashboard!J1 &amp;199) - Dashboard!K1/24,"TBC")</f>
        <v>44948.770833333336</v>
      </c>
      <c r="D26" s="6"/>
      <c r="E26" s="6" t="s">
        <v>11</v>
      </c>
      <c r="F26" s="6" t="s">
        <v>108</v>
      </c>
      <c r="G26" s="91">
        <f>IF(ISBLANK(fixtures!$K199),"",fixtures!$K199)</f>
        <v>3</v>
      </c>
      <c r="H26" s="6" t="str">
        <f>IF(ISBLANK(fixtures!$L199),"",":")</f>
        <v>:</v>
      </c>
      <c r="I26" s="93">
        <f>IF(ISBLANK(fixtures!$L199),"",fixtures!$L199)</f>
        <v>2</v>
      </c>
      <c r="J26" s="6" t="str">
        <f>IF(ISBLANK(fixtures!$L199),"",IF(G26&gt;I26,"W",IF(G26=I26,"D","L")))</f>
        <v>W</v>
      </c>
      <c r="K26" s="6"/>
      <c r="L26" s="6"/>
      <c r="M26" s="282">
        <v>13</v>
      </c>
      <c r="N26" s="9" t="s">
        <v>146</v>
      </c>
      <c r="O26" s="284">
        <f ca="1">IFERROR(INDIRECT("fixtures!" &amp; Dashboard!J1 &amp;179) - Dashboard!K1/24,"TBC")</f>
        <v>44939.916666666664</v>
      </c>
      <c r="P26" s="9"/>
      <c r="Q26" s="9" t="s">
        <v>139</v>
      </c>
      <c r="R26" s="9" t="s">
        <v>108</v>
      </c>
      <c r="S26" s="282">
        <f>IF(ISBLANK(fixtures!$K179),"",fixtures!$K179)</f>
        <v>2</v>
      </c>
      <c r="T26" s="9" t="str">
        <f>IF(ISBLANK(fixtures!$L179),"",":")</f>
        <v>:</v>
      </c>
      <c r="U26" s="283">
        <f>IF(ISBLANK(fixtures!$L179),"",fixtures!$L179)</f>
        <v>1</v>
      </c>
      <c r="V26" s="9" t="str">
        <f>IF(ISBLANK(fixtures!$L179),"",IF(S26&gt;U26,"W",IF(S26=U26,"D","L")))</f>
        <v>W</v>
      </c>
      <c r="W26" s="9"/>
      <c r="X26" s="9"/>
      <c r="Y26" s="290">
        <v>14</v>
      </c>
      <c r="Z26" s="262" t="s">
        <v>107</v>
      </c>
      <c r="AA26" s="291">
        <f ca="1">IFERROR(INDIRECT("fixtures!" &amp; Dashboard!J1 &amp;185) - Dashboard!K1/24,"TBC")</f>
        <v>44940.8125</v>
      </c>
      <c r="AB26" s="262"/>
      <c r="AC26" s="262" t="s">
        <v>125</v>
      </c>
      <c r="AD26" s="262" t="s">
        <v>106</v>
      </c>
      <c r="AE26" s="290">
        <f>IF(ISBLANK(fixtures!$L185),"",fixtures!$L185)</f>
        <v>0</v>
      </c>
      <c r="AF26" s="262" t="str">
        <f>IF(ISBLANK(fixtures!$L185),"",":")</f>
        <v>:</v>
      </c>
      <c r="AG26" s="292">
        <f>IF(ISBLANK(fixtures!$K185),"",fixtures!$K185)</f>
        <v>2</v>
      </c>
      <c r="AH26" s="262" t="str">
        <f>IF(ISBLANK(fixtures!$L185),"",IF(AE26&gt;AG26,"W",IF(AE26=AG26,"D","L")))</f>
        <v>L</v>
      </c>
      <c r="AI26" s="262"/>
      <c r="AJ26" s="262"/>
      <c r="AK26" s="411">
        <v>14</v>
      </c>
      <c r="AL26" s="410" t="s">
        <v>107</v>
      </c>
      <c r="AM26" s="413">
        <f ca="1">IFERROR(INDIRECT("fixtures!" &amp; Dashboard!J1 &amp;185) - Dashboard!K1/24,"TBC")</f>
        <v>44940.8125</v>
      </c>
      <c r="AN26" s="410"/>
      <c r="AO26" s="410" t="s">
        <v>3</v>
      </c>
      <c r="AP26" s="410" t="s">
        <v>108</v>
      </c>
      <c r="AQ26" s="411">
        <f>IF(ISBLANK(fixtures!$K185),"",fixtures!$K185)</f>
        <v>2</v>
      </c>
      <c r="AR26" s="410" t="str">
        <f>IF(ISBLANK(fixtures!$L185),"",":")</f>
        <v>:</v>
      </c>
      <c r="AS26" s="412">
        <f>IF(ISBLANK(fixtures!$L185),"",fixtures!$L185)</f>
        <v>0</v>
      </c>
      <c r="AT26" s="410" t="str">
        <f>IF(ISBLANK(fixtures!$L185),"",IF(AQ26&gt;AS26,"W",IF(AQ26=AS26,"D","L")))</f>
        <v>W</v>
      </c>
      <c r="AU26" s="410"/>
      <c r="AV26" s="410"/>
      <c r="AW26" s="96">
        <v>21</v>
      </c>
      <c r="AX26" s="98" t="s">
        <v>107</v>
      </c>
      <c r="AY26" s="298">
        <f ca="1">IFERROR(INDIRECT("fixtures!" &amp; Dashboard!J1 &amp;193) - Dashboard!K1/24,"TBC")</f>
        <v>44947.708333333336</v>
      </c>
      <c r="AZ26" s="11"/>
      <c r="BA26" s="11" t="s">
        <v>8</v>
      </c>
      <c r="BB26" s="11" t="s">
        <v>106</v>
      </c>
      <c r="BC26" s="96">
        <f>IF(ISBLANK(fixtures!$L193),"",fixtures!$L193)</f>
        <v>2</v>
      </c>
      <c r="BD26" s="11" t="str">
        <f>IF(ISBLANK(fixtures!$L193),"",":")</f>
        <v>:</v>
      </c>
      <c r="BE26" s="98">
        <f>IF(ISBLANK(fixtures!$K193),"",fixtures!$K193)</f>
        <v>2</v>
      </c>
      <c r="BF26" s="11" t="str">
        <f>IF(ISBLANK(fixtures!$L193),"",IF(BC26&gt;BE26,"W",IF(BC26=BE26,"D","L")))</f>
        <v>D</v>
      </c>
      <c r="BG26" s="11"/>
      <c r="BH26" s="11"/>
      <c r="BI26" s="181">
        <v>15</v>
      </c>
      <c r="BJ26" s="15" t="s">
        <v>105</v>
      </c>
      <c r="BK26" s="304">
        <f ca="1">IFERROR(INDIRECT("fixtures!" &amp; Dashboard!J1 &amp;186) - Dashboard!K1/24,"TBC")</f>
        <v>44941.666666666664</v>
      </c>
      <c r="BL26" s="15"/>
      <c r="BM26" s="15" t="s">
        <v>6</v>
      </c>
      <c r="BN26" s="15" t="s">
        <v>108</v>
      </c>
      <c r="BO26" s="181">
        <f>IF(ISBLANK(fixtures!$K186),"",fixtures!$K186)</f>
        <v>1</v>
      </c>
      <c r="BP26" s="15" t="str">
        <f>IF(ISBLANK(fixtures!$L186),"",":")</f>
        <v>:</v>
      </c>
      <c r="BQ26" s="183">
        <f>IF(ISBLANK(fixtures!$L186),"",fixtures!$L186)</f>
        <v>0</v>
      </c>
      <c r="BR26" s="15" t="str">
        <f>IF(ISBLANK(fixtures!$L186),"",IF(BO26&gt;BQ26,"W",IF(BO26=BQ26,"D","L")))</f>
        <v>W</v>
      </c>
      <c r="BS26" s="15"/>
      <c r="BT26" s="15"/>
      <c r="BU26" s="310">
        <v>18</v>
      </c>
      <c r="BV26" s="16" t="s">
        <v>110</v>
      </c>
      <c r="BW26" s="312">
        <f ca="1">IFERROR(INDIRECT("fixtures!" &amp; Dashboard!J1 &amp;189) - Dashboard!K1/24,"TBC")</f>
        <v>44944.916666666664</v>
      </c>
      <c r="BX26" s="16"/>
      <c r="BY26" s="16" t="s">
        <v>11</v>
      </c>
      <c r="BZ26" s="16" t="s">
        <v>108</v>
      </c>
      <c r="CA26" s="310">
        <f>IF(ISBLANK(fixtures!$K189),"",fixtures!$K189)</f>
        <v>1</v>
      </c>
      <c r="CB26" s="16" t="str">
        <f>IF(ISBLANK(fixtures!$L189),"",":")</f>
        <v>:</v>
      </c>
      <c r="CC26" s="311">
        <f>IF(ISBLANK(fixtures!$L189),"",fixtures!$L189)</f>
        <v>1</v>
      </c>
      <c r="CD26" s="16" t="str">
        <f>IF(ISBLANK(fixtures!$L189),"",IF(CA26&gt;CC26,"W",IF(CA26=CC26,"D","L")))</f>
        <v>D</v>
      </c>
      <c r="CE26" s="16"/>
      <c r="CF26" s="16"/>
      <c r="CG26" s="318">
        <v>14</v>
      </c>
      <c r="CH26" s="319" t="s">
        <v>107</v>
      </c>
      <c r="CI26" s="320">
        <f ca="1">IFERROR(INDIRECT("fixtures!" &amp; Dashboard!J1 &amp;182) - Dashboard!K1/24,"TBC")</f>
        <v>44940.708333333336</v>
      </c>
      <c r="CJ26" s="19"/>
      <c r="CK26" s="19" t="s">
        <v>13</v>
      </c>
      <c r="CL26" s="19" t="s">
        <v>108</v>
      </c>
      <c r="CM26" s="318">
        <f>IF(ISBLANK(fixtures!$K182),"",fixtures!$K182)</f>
        <v>1</v>
      </c>
      <c r="CN26" s="19" t="str">
        <f>IF(ISBLANK(fixtures!$L182),"",":")</f>
        <v>:</v>
      </c>
      <c r="CO26" s="319">
        <f>IF(ISBLANK(fixtures!$L182),"",fixtures!$L182)</f>
        <v>2</v>
      </c>
      <c r="CP26" s="19" t="str">
        <f>IF(ISBLANK(fixtures!$L182),"",IF(CM26&gt;CO26,"W",IF(CM26=CO26,"D","L")))</f>
        <v>L</v>
      </c>
      <c r="CQ26" s="19"/>
      <c r="CR26" s="19"/>
      <c r="CS26" s="326">
        <v>12</v>
      </c>
      <c r="CT26" s="327" t="s">
        <v>582</v>
      </c>
      <c r="CU26" s="328">
        <f ca="1">IFERROR(INDIRECT("fixtures!" &amp; Dashboard!J1 &amp;178) - Dashboard!K1/24,"TBC")</f>
        <v>44938.916666666664</v>
      </c>
      <c r="CV26" s="178"/>
      <c r="CW26" s="178" t="s">
        <v>5</v>
      </c>
      <c r="CX26" s="178" t="s">
        <v>108</v>
      </c>
      <c r="CY26" s="326">
        <f>IF(ISBLANK(fixtures!$K178),"",fixtures!$K178)</f>
        <v>2</v>
      </c>
      <c r="CZ26" s="178" t="str">
        <f>IF(ISBLANK(fixtures!$L178),"",":")</f>
        <v>:</v>
      </c>
      <c r="DA26" s="327">
        <f>IF(ISBLANK(fixtures!$L178),"",fixtures!$L178)</f>
        <v>1</v>
      </c>
      <c r="DB26" s="178" t="str">
        <f>IF(ISBLANK(fixtures!$L178),"",IF(CY26&gt;DA26,"W",IF(CY26=DA26,"D","L")))</f>
        <v>W</v>
      </c>
      <c r="DC26" s="178"/>
      <c r="DD26" s="178"/>
      <c r="DE26" s="334">
        <v>22</v>
      </c>
      <c r="DF26" s="335" t="s">
        <v>105</v>
      </c>
      <c r="DG26" s="336">
        <f ca="1">IFERROR(INDIRECT("fixtures!" &amp; Dashboard!J1 &amp;197) - Dashboard!K1/24,"TBC")</f>
        <v>44948.666666666664</v>
      </c>
      <c r="DH26" s="177"/>
      <c r="DI26" s="177" t="s">
        <v>125</v>
      </c>
      <c r="DJ26" s="177" t="s">
        <v>108</v>
      </c>
      <c r="DK26" s="334">
        <f>IF(ISBLANK(fixtures!$K197),"",fixtures!$K197)</f>
        <v>0</v>
      </c>
      <c r="DL26" s="177" t="str">
        <f>IF(ISBLANK(fixtures!$L197),"",":")</f>
        <v>:</v>
      </c>
      <c r="DM26" s="335">
        <f>IF(ISBLANK(fixtures!$L197),"",fixtures!$L197)</f>
        <v>0</v>
      </c>
      <c r="DN26" s="177" t="str">
        <f>IF(ISBLANK(fixtures!$L197),"",IF(DK26&gt;DM26,"W",IF(DK26=DM26,"D","L")))</f>
        <v>D</v>
      </c>
      <c r="DO26" s="177"/>
      <c r="DP26" s="177"/>
      <c r="DQ26" s="341">
        <v>14</v>
      </c>
      <c r="DR26" s="342" t="s">
        <v>107</v>
      </c>
      <c r="DS26" s="343">
        <f ca="1">IFERROR(INDIRECT("fixtures!" &amp; Dashboard!J1 &amp;183) - Dashboard!K1/24,"TBC")</f>
        <v>44940.708333333336</v>
      </c>
      <c r="DT26" s="21"/>
      <c r="DU26" s="21" t="s">
        <v>204</v>
      </c>
      <c r="DV26" s="21" t="s">
        <v>106</v>
      </c>
      <c r="DW26" s="341">
        <f>IF(ISBLANK(fixtures!$L183),"",fixtures!$L183)</f>
        <v>0</v>
      </c>
      <c r="DX26" s="21" t="str">
        <f>IF(ISBLANK(fixtures!$L183),"",":")</f>
        <v>:</v>
      </c>
      <c r="DY26" s="342">
        <f>IF(ISBLANK(fixtures!$K183),"",fixtures!$K183)</f>
        <v>2</v>
      </c>
      <c r="DZ26" s="21" t="str">
        <f>IF(ISBLANK(fixtures!$L183),"",IF(DW26&gt;DY26,"W",IF(DW26=DY26,"D","L")))</f>
        <v>L</v>
      </c>
      <c r="EA26" s="21"/>
      <c r="EB26" s="21"/>
      <c r="EC26" s="270">
        <v>21</v>
      </c>
      <c r="ED26" s="23" t="s">
        <v>107</v>
      </c>
      <c r="EE26" s="349">
        <f ca="1">IFERROR(INDIRECT("fixtures!" &amp; Dashboard!J1 &amp;191) - Dashboard!K1/24,"TBC")</f>
        <v>44947.604166666664</v>
      </c>
      <c r="EF26" s="23"/>
      <c r="EG26" s="23" t="s">
        <v>5</v>
      </c>
      <c r="EH26" s="23" t="s">
        <v>108</v>
      </c>
      <c r="EI26" s="270">
        <f>IF(ISBLANK(fixtures!$K191),"",fixtures!$K191)</f>
        <v>0</v>
      </c>
      <c r="EJ26" s="23" t="str">
        <f>IF(ISBLANK(fixtures!$L191),"",":")</f>
        <v>:</v>
      </c>
      <c r="EK26" s="272">
        <f>IF(ISBLANK(fixtures!$L191),"",fixtures!$L191)</f>
        <v>0</v>
      </c>
      <c r="EL26" s="23" t="str">
        <f>IF(ISBLANK(fixtures!$L191),"",IF(EI26&gt;EK26,"W",IF(EI26=EK26,"D","L")))</f>
        <v>D</v>
      </c>
      <c r="EM26" s="23"/>
      <c r="EN26" s="23"/>
      <c r="EO26" s="105">
        <v>19</v>
      </c>
      <c r="EP26" s="107" t="s">
        <v>582</v>
      </c>
      <c r="EQ26" s="355">
        <f ca="1">IFERROR(INDIRECT("fixtures!" &amp; Dashboard!J1 &amp;190) - Dashboard!K1/24,"TBC")</f>
        <v>44945.916666666664</v>
      </c>
      <c r="ER26" s="25"/>
      <c r="ES26" s="25" t="s">
        <v>14</v>
      </c>
      <c r="ET26" s="25" t="s">
        <v>108</v>
      </c>
      <c r="EU26" s="105">
        <f>IF(ISBLANK(fixtures!$K190),"",fixtures!$K190)</f>
        <v>4</v>
      </c>
      <c r="EV26" s="25" t="str">
        <f>IF(ISBLANK(fixtures!$L190),"",":")</f>
        <v>:</v>
      </c>
      <c r="EW26" s="107">
        <f>IF(ISBLANK(fixtures!$L190),"",fixtures!$L190)</f>
        <v>2</v>
      </c>
      <c r="EX26" s="25" t="str">
        <f>IF(ISBLANK(fixtures!$L190),"",IF(EU26&gt;EW26,"W",IF(EU26=EW26,"D","L")))</f>
        <v>W</v>
      </c>
      <c r="EY26" s="25"/>
      <c r="EZ26" s="25"/>
      <c r="FA26" s="361">
        <v>18</v>
      </c>
      <c r="FB26" s="27" t="s">
        <v>110</v>
      </c>
      <c r="FC26" s="363">
        <f ca="1">IFERROR(INDIRECT("fixtures!" &amp; Dashboard!J1 &amp;189) - Dashboard!K1/24,"TBC")</f>
        <v>44944.916666666664</v>
      </c>
      <c r="FD26" s="27"/>
      <c r="FE26" s="27" t="s">
        <v>6</v>
      </c>
      <c r="FF26" s="27" t="s">
        <v>106</v>
      </c>
      <c r="FG26" s="361">
        <f>IF(ISBLANK(fixtures!$L189),"",fixtures!$L189)</f>
        <v>1</v>
      </c>
      <c r="FH26" s="27" t="str">
        <f>IF(ISBLANK(fixtures!$L189),"",":")</f>
        <v>:</v>
      </c>
      <c r="FI26" s="362">
        <f>IF(ISBLANK(fixtures!$K189),"",fixtures!$K189)</f>
        <v>1</v>
      </c>
      <c r="FJ26" s="27" t="str">
        <f>IF(ISBLANK(fixtures!$L189),"",IF(FG26&gt;FI26,"W",IF(FG26=FI26,"D","L")))</f>
        <v>D</v>
      </c>
      <c r="FK26" s="27"/>
      <c r="FL26" s="27"/>
      <c r="FM26" s="110">
        <v>15</v>
      </c>
      <c r="FN26" s="29" t="s">
        <v>105</v>
      </c>
      <c r="FO26" s="369">
        <f ca="1">IFERROR(INDIRECT("fixtures!" &amp; Dashboard!J1 &amp;187) - Dashboard!K1/24,"TBC")</f>
        <v>44941.666666666664</v>
      </c>
      <c r="FP26" s="29"/>
      <c r="FQ26" s="29" t="s">
        <v>126</v>
      </c>
      <c r="FR26" s="29" t="s">
        <v>108</v>
      </c>
      <c r="FS26" s="110">
        <f>IF(ISBLANK(fixtures!$K187),"",fixtures!$K187)</f>
        <v>1</v>
      </c>
      <c r="FT26" s="29" t="str">
        <f>IF(ISBLANK(fixtures!$L187),"",":")</f>
        <v>:</v>
      </c>
      <c r="FU26" s="112">
        <f>IF(ISBLANK(fixtures!$L187),"",fixtures!$L187)</f>
        <v>0</v>
      </c>
      <c r="FV26" s="29" t="str">
        <f>IF(ISBLANK(fixtures!$L187),"",IF(FS26&gt;FU26,"W",IF(FS26=FU26,"D","L")))</f>
        <v>W</v>
      </c>
      <c r="FW26" s="29"/>
      <c r="FX26" s="29"/>
      <c r="FY26" s="375">
        <v>14</v>
      </c>
      <c r="FZ26" s="264" t="s">
        <v>107</v>
      </c>
      <c r="GA26" s="377">
        <f ca="1">IFERROR(INDIRECT("fixtures!" &amp; Dashboard!J1 &amp;183) - Dashboard!K1/24,"TBC")</f>
        <v>44940.708333333336</v>
      </c>
      <c r="GB26" s="264"/>
      <c r="GC26" s="264" t="s">
        <v>8</v>
      </c>
      <c r="GD26" s="264" t="s">
        <v>108</v>
      </c>
      <c r="GE26" s="375">
        <f>IF(ISBLANK(fixtures!$K183),"",fixtures!$K183)</f>
        <v>2</v>
      </c>
      <c r="GF26" s="264" t="str">
        <f>IF(ISBLANK(fixtures!$L183),"",":")</f>
        <v>:</v>
      </c>
      <c r="GG26" s="376">
        <f>IF(ISBLANK(fixtures!$L183),"",fixtures!$L183)</f>
        <v>0</v>
      </c>
      <c r="GH26" s="264" t="str">
        <f>IF(ISBLANK(fixtures!$L183),"",IF(GE26&gt;GG26,"W",IF(GE26=GG26,"D","L")))</f>
        <v>W</v>
      </c>
      <c r="GI26" s="264"/>
      <c r="GJ26" s="264"/>
      <c r="GK26" s="382">
        <v>14</v>
      </c>
      <c r="GL26" s="30" t="s">
        <v>107</v>
      </c>
      <c r="GM26" s="384">
        <f ca="1">IFERROR(INDIRECT("fixtures!" &amp; Dashboard!J1 &amp;182) - Dashboard!K1/24,"TBC")</f>
        <v>44940.708333333336</v>
      </c>
      <c r="GN26" s="30"/>
      <c r="GO26" s="30" t="s">
        <v>7</v>
      </c>
      <c r="GP26" s="30" t="s">
        <v>106</v>
      </c>
      <c r="GQ26" s="382">
        <f>IF(ISBLANK(fixtures!$L182),"",fixtures!$L182)</f>
        <v>2</v>
      </c>
      <c r="GR26" s="30" t="str">
        <f>IF(ISBLANK(fixtures!$L182),"",":")</f>
        <v>:</v>
      </c>
      <c r="GS26" s="383">
        <f>IF(ISBLANK(fixtures!$K182),"",fixtures!$K182)</f>
        <v>1</v>
      </c>
      <c r="GT26" s="30" t="str">
        <f>IF(ISBLANK(fixtures!$L182),"",IF(GQ26&gt;GS26,"W",IF(GQ26=GS26,"D","L")))</f>
        <v>W</v>
      </c>
      <c r="GU26" s="30"/>
      <c r="GV26" s="30"/>
      <c r="GW26" s="115">
        <v>15</v>
      </c>
      <c r="GX26" s="117" t="s">
        <v>105</v>
      </c>
      <c r="GY26" s="390">
        <f ca="1">IFERROR(INDIRECT("fixtures!" &amp; Dashboard!J1 &amp;188) - Dashboard!K1/24,"TBC")</f>
        <v>44941.770833333336</v>
      </c>
      <c r="GZ26" s="32"/>
      <c r="HA26" s="32" t="s">
        <v>1</v>
      </c>
      <c r="HB26" s="32" t="s">
        <v>108</v>
      </c>
      <c r="HC26" s="115">
        <f>IF(ISBLANK(fixtures!$K188),"",fixtures!$K188)</f>
        <v>0</v>
      </c>
      <c r="HD26" s="32" t="str">
        <f>IF(ISBLANK(fixtures!$L188),"",":")</f>
        <v>:</v>
      </c>
      <c r="HE26" s="117">
        <f>IF(ISBLANK(fixtures!$L188),"",fixtures!$L188)</f>
        <v>2</v>
      </c>
      <c r="HF26" s="32" t="str">
        <f>IF(ISBLANK(fixtures!$L188),"",IF(HC26&gt;HE26,"W",IF(HC26=HE26,"D","L")))</f>
        <v>L</v>
      </c>
      <c r="HG26" s="32"/>
      <c r="HH26" s="32"/>
      <c r="HI26" s="120">
        <v>14</v>
      </c>
      <c r="HJ26" s="34" t="s">
        <v>107</v>
      </c>
      <c r="HK26" s="396">
        <f ca="1">IFERROR(INDIRECT("fixtures!" &amp; Dashboard!J1 &amp;184) - Dashboard!K1/24,"TBC")</f>
        <v>44940.708333333336</v>
      </c>
      <c r="HL26" s="34"/>
      <c r="HM26" s="34" t="s">
        <v>16</v>
      </c>
      <c r="HN26" s="34" t="s">
        <v>106</v>
      </c>
      <c r="HO26" s="120">
        <f>IF(ISBLANK(fixtures!$L184),"",fixtures!$L184)</f>
        <v>0</v>
      </c>
      <c r="HP26" s="34" t="str">
        <f>IF(ISBLANK(fixtures!$L184),"",":")</f>
        <v>:</v>
      </c>
      <c r="HQ26" s="122">
        <f>IF(ISBLANK(fixtures!$K184),"",fixtures!$K184)</f>
        <v>1</v>
      </c>
      <c r="HR26" s="34" t="str">
        <f>IF(ISBLANK(fixtures!$L184),"",IF(HO26&gt;HQ26,"W",IF(HO26=HQ26,"D","L")))</f>
        <v>L</v>
      </c>
      <c r="HS26" s="34"/>
      <c r="HT26" s="34"/>
      <c r="HU26" s="125">
        <v>14</v>
      </c>
      <c r="HV26" s="127" t="s">
        <v>107</v>
      </c>
      <c r="HW26" s="402">
        <f ca="1">IFERROR(INDIRECT("fixtures!" &amp; Dashboard!J1 &amp;184) - Dashboard!K1/24,"TBC")</f>
        <v>44940.708333333336</v>
      </c>
      <c r="HX26" s="36"/>
      <c r="HY26" s="36" t="s">
        <v>15</v>
      </c>
      <c r="HZ26" s="36" t="s">
        <v>108</v>
      </c>
      <c r="IA26" s="125">
        <f>IF(ISBLANK(fixtures!$K184),"",fixtures!$K184)</f>
        <v>1</v>
      </c>
      <c r="IB26" s="36" t="str">
        <f>IF(ISBLANK(fixtures!$L184),"",":")</f>
        <v>:</v>
      </c>
      <c r="IC26" s="127">
        <f>IF(ISBLANK(fixtures!$L184),"",fixtures!$L184)</f>
        <v>0</v>
      </c>
      <c r="ID26" s="36" t="str">
        <f>IF(ISBLANK(fixtures!$L184),"",IF(IA26&gt;IC26,"W",IF(IA26=IC26,"D","L")))</f>
        <v>W</v>
      </c>
      <c r="IE26" s="36"/>
      <c r="IF26" s="36"/>
    </row>
    <row r="27" spans="1:243" x14ac:dyDescent="0.4">
      <c r="A27" s="278" t="s">
        <v>23</v>
      </c>
      <c r="B27" s="93"/>
      <c r="C27" s="277"/>
      <c r="D27" s="6"/>
      <c r="E27" s="6"/>
      <c r="F27" s="6"/>
      <c r="G27" s="91"/>
      <c r="H27" s="6"/>
      <c r="I27" s="93"/>
      <c r="J27" s="6"/>
      <c r="K27" s="6"/>
      <c r="L27" s="6"/>
      <c r="M27" s="282">
        <v>21</v>
      </c>
      <c r="N27" s="9" t="s">
        <v>107</v>
      </c>
      <c r="O27" s="284">
        <f ca="1">IFERROR(INDIRECT("fixtures!" &amp; Dashboard!J1 &amp;194) - Dashboard!K1/24,"TBC")</f>
        <v>44947.708333333336</v>
      </c>
      <c r="P27" s="9"/>
      <c r="Q27" s="9" t="s">
        <v>13</v>
      </c>
      <c r="R27" s="9" t="s">
        <v>106</v>
      </c>
      <c r="S27" s="282">
        <f>IF(ISBLANK(fixtures!$L194),"",fixtures!$L194)</f>
        <v>1</v>
      </c>
      <c r="T27" s="9" t="str">
        <f>IF(ISBLANK(fixtures!$L194),"",":")</f>
        <v>:</v>
      </c>
      <c r="U27" s="283">
        <f>IF(ISBLANK(fixtures!$K194),"",fixtures!$K194)</f>
        <v>0</v>
      </c>
      <c r="V27" s="9" t="str">
        <f>IF(ISBLANK(fixtures!$L194),"",IF(S27&gt;U27,"W",IF(S27=U27,"D","L")))</f>
        <v>W</v>
      </c>
      <c r="W27" s="9"/>
      <c r="X27" s="9"/>
      <c r="Y27" s="290">
        <v>21</v>
      </c>
      <c r="Z27" s="262" t="s">
        <v>107</v>
      </c>
      <c r="AA27" s="291">
        <f ca="1">IFERROR(INDIRECT("fixtures!" &amp; Dashboard!J1 &amp;192) - Dashboard!K1/24,"TBC")</f>
        <v>44947.708333333336</v>
      </c>
      <c r="AB27" s="262"/>
      <c r="AC27" s="262" t="s">
        <v>204</v>
      </c>
      <c r="AD27" s="262" t="s">
        <v>108</v>
      </c>
      <c r="AE27" s="290">
        <f>IF(ISBLANK(fixtures!$K192),"",fixtures!$K192)</f>
        <v>1</v>
      </c>
      <c r="AF27" s="262" t="str">
        <f>IF(ISBLANK(fixtures!$L192),"",":")</f>
        <v>:</v>
      </c>
      <c r="AG27" s="292">
        <f>IF(ISBLANK(fixtures!$L192),"",fixtures!$L192)</f>
        <v>1</v>
      </c>
      <c r="AH27" s="262" t="str">
        <f>IF(ISBLANK(fixtures!$L192),"",IF(AE27&gt;AG27,"W",IF(AE27=AG27,"D","L")))</f>
        <v>D</v>
      </c>
      <c r="AI27" s="262"/>
      <c r="AJ27" s="262"/>
      <c r="AK27" s="411">
        <v>22</v>
      </c>
      <c r="AL27" s="412" t="s">
        <v>105</v>
      </c>
      <c r="AM27" s="413">
        <f ca="1">IFERROR(INDIRECT("fixtures!" &amp; Dashboard!J1 &amp;197) - Dashboard!K1/24,"TBC")</f>
        <v>44948.666666666664</v>
      </c>
      <c r="AN27" s="410"/>
      <c r="AO27" s="410" t="s">
        <v>139</v>
      </c>
      <c r="AP27" s="410" t="s">
        <v>106</v>
      </c>
      <c r="AQ27" s="411">
        <f>IF(ISBLANK(fixtures!$L197),"",fixtures!$L197)</f>
        <v>0</v>
      </c>
      <c r="AR27" s="410" t="str">
        <f>IF(ISBLANK(fixtures!$L197),"",":")</f>
        <v>:</v>
      </c>
      <c r="AS27" s="412">
        <f>IF(ISBLANK(fixtures!$K197),"",fixtures!$K197)</f>
        <v>0</v>
      </c>
      <c r="AT27" s="410" t="str">
        <f>IF(ISBLANK(fixtures!$L197),"",IF(AQ27&gt;AS27,"W",IF(AQ27=AS27,"D","L")))</f>
        <v>D</v>
      </c>
      <c r="AU27" s="410"/>
      <c r="AV27" s="410"/>
      <c r="AW27" s="299" t="s">
        <v>23</v>
      </c>
      <c r="AX27" s="98"/>
      <c r="AY27" s="298"/>
      <c r="AZ27" s="11"/>
      <c r="BA27" s="11"/>
      <c r="BB27" s="11"/>
      <c r="BC27" s="96"/>
      <c r="BD27" s="11"/>
      <c r="BE27" s="98"/>
      <c r="BF27" s="11"/>
      <c r="BG27" s="11"/>
      <c r="BH27" s="11"/>
      <c r="BI27" s="181">
        <v>21</v>
      </c>
      <c r="BJ27" s="15" t="s">
        <v>107</v>
      </c>
      <c r="BK27" s="304">
        <f ca="1">IFERROR(INDIRECT("fixtures!" &amp; Dashboard!J1 &amp;191) - Dashboard!K1/24,"TBC")</f>
        <v>44947.604166666664</v>
      </c>
      <c r="BL27" s="15"/>
      <c r="BM27" s="15" t="s">
        <v>9</v>
      </c>
      <c r="BN27" s="15" t="s">
        <v>106</v>
      </c>
      <c r="BO27" s="181">
        <f>IF(ISBLANK(fixtures!$L191),"",fixtures!$L191)</f>
        <v>0</v>
      </c>
      <c r="BP27" s="15" t="str">
        <f>IF(ISBLANK(fixtures!$L191),"",":")</f>
        <v>:</v>
      </c>
      <c r="BQ27" s="183">
        <f>IF(ISBLANK(fixtures!$K191),"",fixtures!$K191)</f>
        <v>0</v>
      </c>
      <c r="BR27" s="15" t="str">
        <f>IF(ISBLANK(fixtures!$L191),"",IF(BO27&gt;BQ27,"W",IF(BO27=BQ27,"D","L")))</f>
        <v>D</v>
      </c>
      <c r="BS27" s="15"/>
      <c r="BT27" s="15"/>
      <c r="BU27" s="310">
        <v>21</v>
      </c>
      <c r="BV27" s="16" t="s">
        <v>107</v>
      </c>
      <c r="BW27" s="312">
        <f ca="1">IFERROR(INDIRECT("fixtures!" &amp; Dashboard!J1 &amp;196) - Dashboard!K1/24,"TBC")</f>
        <v>44947.8125</v>
      </c>
      <c r="BX27" s="16"/>
      <c r="BY27" s="16" t="s">
        <v>12</v>
      </c>
      <c r="BZ27" s="16" t="s">
        <v>108</v>
      </c>
      <c r="CA27" s="310">
        <f>IF(ISBLANK(fixtures!$K196),"",fixtures!$K196)</f>
        <v>0</v>
      </c>
      <c r="CB27" s="16" t="str">
        <f>IF(ISBLANK(fixtures!$L196),"",":")</f>
        <v>:</v>
      </c>
      <c r="CC27" s="311">
        <f>IF(ISBLANK(fixtures!$L196),"",fixtures!$L196)</f>
        <v>0</v>
      </c>
      <c r="CD27" s="16" t="str">
        <f>IF(ISBLANK(fixtures!$L196),"",IF(CA27&gt;CC27,"W",IF(CA27=CC27,"D","L")))</f>
        <v>D</v>
      </c>
      <c r="CE27" s="16"/>
      <c r="CF27" s="16"/>
      <c r="CG27" s="318">
        <v>21</v>
      </c>
      <c r="CH27" s="319" t="s">
        <v>107</v>
      </c>
      <c r="CI27" s="320">
        <f ca="1">IFERROR(INDIRECT("fixtures!" &amp; Dashboard!J1 &amp;195) - Dashboard!K1/24,"TBC")</f>
        <v>44947.708333333336</v>
      </c>
      <c r="CJ27" s="19"/>
      <c r="CK27" s="19" t="s">
        <v>15</v>
      </c>
      <c r="CL27" s="19" t="s">
        <v>106</v>
      </c>
      <c r="CM27" s="318">
        <f>IF(ISBLANK(fixtures!$L195),"",fixtures!$L195)</f>
        <v>0</v>
      </c>
      <c r="CN27" s="19" t="str">
        <f>IF(ISBLANK(fixtures!$L195),"",":")</f>
        <v>:</v>
      </c>
      <c r="CO27" s="319">
        <f>IF(ISBLANK(fixtures!$K195),"",fixtures!$K195)</f>
        <v>2</v>
      </c>
      <c r="CP27" s="19" t="str">
        <f>IF(ISBLANK(fixtures!$L195),"",IF(CM27&gt;CO27,"W",IF(CM27=CO27,"D","L")))</f>
        <v>L</v>
      </c>
      <c r="CQ27" s="19"/>
      <c r="CR27" s="19"/>
      <c r="CS27" s="326">
        <v>15</v>
      </c>
      <c r="CT27" s="327" t="s">
        <v>105</v>
      </c>
      <c r="CU27" s="328">
        <f ca="1">IFERROR(INDIRECT("fixtures!" &amp; Dashboard!J1 &amp;187) - Dashboard!K1/24,"TBC")</f>
        <v>44941.666666666664</v>
      </c>
      <c r="CV27" s="178"/>
      <c r="CW27" s="178" t="s">
        <v>12</v>
      </c>
      <c r="CX27" s="178" t="s">
        <v>106</v>
      </c>
      <c r="CY27" s="326">
        <f>IF(ISBLANK(fixtures!$L187),"",fixtures!$L187)</f>
        <v>0</v>
      </c>
      <c r="CZ27" s="178" t="str">
        <f>IF(ISBLANK(fixtures!$L187),"",":")</f>
        <v>:</v>
      </c>
      <c r="DA27" s="327">
        <f>IF(ISBLANK(fixtures!$K187),"",fixtures!$K187)</f>
        <v>1</v>
      </c>
      <c r="DB27" s="178" t="str">
        <f>IF(ISBLANK(fixtures!$L187),"",IF(CY27&gt;DA27,"W",IF(CY27=DA27,"D","L")))</f>
        <v>L</v>
      </c>
      <c r="DC27" s="178"/>
      <c r="DD27" s="178"/>
      <c r="DE27" s="337" t="s">
        <v>23</v>
      </c>
      <c r="DF27" s="177"/>
      <c r="DG27" s="336"/>
      <c r="DH27" s="177"/>
      <c r="DI27" s="177"/>
      <c r="DJ27" s="177"/>
      <c r="DK27" s="334"/>
      <c r="DL27" s="177"/>
      <c r="DM27" s="335"/>
      <c r="DN27" s="177"/>
      <c r="DO27" s="177"/>
      <c r="DP27" s="177"/>
      <c r="DQ27" s="341">
        <v>21</v>
      </c>
      <c r="DR27" s="21" t="s">
        <v>107</v>
      </c>
      <c r="DS27" s="343">
        <f ca="1">IFERROR(INDIRECT("fixtures!" &amp; Dashboard!J1 &amp;193) - Dashboard!K1/24,"TBC")</f>
        <v>44947.708333333336</v>
      </c>
      <c r="DT27" s="21"/>
      <c r="DU27" s="21" t="s">
        <v>4</v>
      </c>
      <c r="DV27" s="21" t="s">
        <v>108</v>
      </c>
      <c r="DW27" s="341">
        <f>IF(ISBLANK(fixtures!$K193),"",fixtures!$K193)</f>
        <v>2</v>
      </c>
      <c r="DX27" s="21" t="str">
        <f>IF(ISBLANK(fixtures!$L193),"",":")</f>
        <v>:</v>
      </c>
      <c r="DY27" s="342">
        <f>IF(ISBLANK(fixtures!$L193),"",fixtures!$L193)</f>
        <v>2</v>
      </c>
      <c r="DZ27" s="21" t="str">
        <f>IF(ISBLANK(fixtures!$L193),"",IF(DW27&gt;DY27,"W",IF(DW27=DY27,"D","L")))</f>
        <v>D</v>
      </c>
      <c r="EA27" s="21"/>
      <c r="EB27" s="21"/>
      <c r="EC27" s="350" t="s">
        <v>23</v>
      </c>
      <c r="ED27" s="23"/>
      <c r="EE27" s="349"/>
      <c r="EF27" s="23"/>
      <c r="EG27" s="23"/>
      <c r="EH27" s="23"/>
      <c r="EI27" s="270"/>
      <c r="EJ27" s="23"/>
      <c r="EK27" s="272"/>
      <c r="EL27" s="23"/>
      <c r="EM27" s="23"/>
      <c r="EN27" s="23"/>
      <c r="EO27" s="105">
        <v>22</v>
      </c>
      <c r="EP27" s="25" t="s">
        <v>105</v>
      </c>
      <c r="EQ27" s="355">
        <f ca="1">IFERROR(INDIRECT("fixtures!" &amp; Dashboard!J1 &amp;198) - Dashboard!K1/24,"TBC")</f>
        <v>44948.666666666664</v>
      </c>
      <c r="ER27" s="25"/>
      <c r="ES27" s="25" t="s">
        <v>16</v>
      </c>
      <c r="ET27" s="25" t="s">
        <v>108</v>
      </c>
      <c r="EU27" s="105">
        <f>IF(ISBLANK(fixtures!$K198),"",fixtures!$K198)</f>
        <v>3</v>
      </c>
      <c r="EV27" s="25" t="str">
        <f>IF(ISBLANK(fixtures!$L198),"",":")</f>
        <v>:</v>
      </c>
      <c r="EW27" s="107">
        <f>IF(ISBLANK(fixtures!$L198),"",fixtures!$L198)</f>
        <v>0</v>
      </c>
      <c r="EX27" s="25" t="str">
        <f>IF(ISBLANK(fixtures!$L198),"",IF(EU27&gt;EW27,"W",IF(EU27=EW27,"D","L")))</f>
        <v>W</v>
      </c>
      <c r="EY27" s="25"/>
      <c r="EZ27" s="25"/>
      <c r="FA27" s="361">
        <v>22</v>
      </c>
      <c r="FB27" s="362" t="s">
        <v>105</v>
      </c>
      <c r="FC27" s="363">
        <f ca="1">IFERROR(INDIRECT("fixtures!" &amp; Dashboard!J1 &amp;199) - Dashboard!K1/24,"TBC")</f>
        <v>44948.770833333336</v>
      </c>
      <c r="FD27" s="27"/>
      <c r="FE27" s="27" t="s">
        <v>1</v>
      </c>
      <c r="FF27" s="27" t="s">
        <v>106</v>
      </c>
      <c r="FG27" s="361">
        <f>IF(ISBLANK(fixtures!$L199),"",fixtures!$L199)</f>
        <v>2</v>
      </c>
      <c r="FH27" s="27" t="str">
        <f>IF(ISBLANK(fixtures!$L199),"",":")</f>
        <v>:</v>
      </c>
      <c r="FI27" s="362">
        <f>IF(ISBLANK(fixtures!$K199),"",fixtures!$K199)</f>
        <v>3</v>
      </c>
      <c r="FJ27" s="27" t="str">
        <f>IF(ISBLANK(fixtures!$L199),"",IF(FG27&gt;FI27,"W",IF(FG27=FI27,"D","L")))</f>
        <v>L</v>
      </c>
      <c r="FK27" s="27"/>
      <c r="FL27" s="27"/>
      <c r="FM27" s="110">
        <v>21</v>
      </c>
      <c r="FN27" s="29" t="s">
        <v>107</v>
      </c>
      <c r="FO27" s="369">
        <f ca="1">IFERROR(INDIRECT("fixtures!" &amp; Dashboard!J1 &amp;196) - Dashboard!K1/24,"TBC")</f>
        <v>44947.8125</v>
      </c>
      <c r="FP27" s="29"/>
      <c r="FQ27" s="29" t="s">
        <v>6</v>
      </c>
      <c r="FR27" s="29" t="s">
        <v>106</v>
      </c>
      <c r="FS27" s="110">
        <f>IF(ISBLANK(fixtures!$L196),"",fixtures!$L196)</f>
        <v>0</v>
      </c>
      <c r="FT27" s="29" t="str">
        <f>IF(ISBLANK(fixtures!$L196),"",":")</f>
        <v>:</v>
      </c>
      <c r="FU27" s="112">
        <f>IF(ISBLANK(fixtures!$K196),"",fixtures!$K196)</f>
        <v>0</v>
      </c>
      <c r="FV27" s="29" t="str">
        <f>IF(ISBLANK(fixtures!$L196),"",IF(FS27&gt;FU27,"W",IF(FS27=FU27,"D","L")))</f>
        <v>D</v>
      </c>
      <c r="FW27" s="29"/>
      <c r="FX27" s="29"/>
      <c r="FY27" s="375">
        <v>21</v>
      </c>
      <c r="FZ27" s="264" t="s">
        <v>107</v>
      </c>
      <c r="GA27" s="377">
        <f ca="1">IFERROR(INDIRECT("fixtures!" &amp; Dashboard!J1 &amp;192) - Dashboard!K1/24,"TBC")</f>
        <v>44947.708333333336</v>
      </c>
      <c r="GB27" s="264"/>
      <c r="GC27" s="264" t="s">
        <v>3</v>
      </c>
      <c r="GD27" s="264" t="s">
        <v>106</v>
      </c>
      <c r="GE27" s="375">
        <f>IF(ISBLANK(fixtures!$L192),"",fixtures!$L192)</f>
        <v>1</v>
      </c>
      <c r="GF27" s="264" t="str">
        <f>IF(ISBLANK(fixtures!$L192),"",":")</f>
        <v>:</v>
      </c>
      <c r="GG27" s="376">
        <f>IF(ISBLANK(fixtures!$K192),"",fixtures!$K192)</f>
        <v>1</v>
      </c>
      <c r="GH27" s="264" t="str">
        <f>IF(ISBLANK(fixtures!$L192),"",IF(GE27&gt;GG27,"W",IF(GE27=GG27,"D","L")))</f>
        <v>D</v>
      </c>
      <c r="GI27" s="264"/>
      <c r="GJ27" s="264"/>
      <c r="GK27" s="382">
        <v>21</v>
      </c>
      <c r="GL27" s="30" t="s">
        <v>107</v>
      </c>
      <c r="GM27" s="384">
        <f ca="1">IFERROR(INDIRECT("fixtures!" &amp; Dashboard!J1 &amp;194) - Dashboard!K1/24,"TBC")</f>
        <v>44947.708333333336</v>
      </c>
      <c r="GN27" s="30"/>
      <c r="GO27" s="30" t="s">
        <v>2</v>
      </c>
      <c r="GP27" s="30" t="s">
        <v>108</v>
      </c>
      <c r="GQ27" s="382">
        <f>IF(ISBLANK(fixtures!$K194),"",fixtures!$K194)</f>
        <v>0</v>
      </c>
      <c r="GR27" s="30" t="str">
        <f>IF(ISBLANK(fixtures!$L194),"",":")</f>
        <v>:</v>
      </c>
      <c r="GS27" s="383">
        <f>IF(ISBLANK(fixtures!$L194),"",fixtures!$L194)</f>
        <v>1</v>
      </c>
      <c r="GT27" s="30" t="str">
        <f>IF(ISBLANK(fixtures!$L194),"",IF(GQ27&gt;GS27,"W",IF(GQ27=GS27,"D","L")))</f>
        <v>L</v>
      </c>
      <c r="GU27" s="30"/>
      <c r="GV27" s="30"/>
      <c r="GW27" s="115">
        <v>19</v>
      </c>
      <c r="GX27" s="117" t="s">
        <v>582</v>
      </c>
      <c r="GY27" s="390">
        <f ca="1">IFERROR(INDIRECT("fixtures!" &amp; Dashboard!J1 &amp;190) - Dashboard!K1/24,"TBC")</f>
        <v>44945.916666666664</v>
      </c>
      <c r="GZ27" s="32"/>
      <c r="HA27" s="32" t="s">
        <v>10</v>
      </c>
      <c r="HB27" s="32" t="s">
        <v>106</v>
      </c>
      <c r="HC27" s="115">
        <f>IF(ISBLANK(fixtures!$L190),"",fixtures!$L190)</f>
        <v>2</v>
      </c>
      <c r="HD27" s="32" t="str">
        <f>IF(ISBLANK(fixtures!$L190),"",":")</f>
        <v>:</v>
      </c>
      <c r="HE27" s="117">
        <f>IF(ISBLANK(fixtures!$K190),"",fixtures!$K190)</f>
        <v>4</v>
      </c>
      <c r="HF27" s="32" t="str">
        <f>IF(ISBLANK(fixtures!$L190),"",IF(HC27&gt;HE27,"W",IF(HC27=HE27,"D","L")))</f>
        <v>L</v>
      </c>
      <c r="HG27" s="32"/>
      <c r="HH27" s="32"/>
      <c r="HI27" s="120">
        <v>21</v>
      </c>
      <c r="HJ27" s="34" t="s">
        <v>107</v>
      </c>
      <c r="HK27" s="396">
        <f ca="1">IFERROR(INDIRECT("fixtures!" &amp; Dashboard!J1 &amp;195) - Dashboard!K1/24,"TBC")</f>
        <v>44947.708333333336</v>
      </c>
      <c r="HL27" s="34"/>
      <c r="HM27" s="34" t="s">
        <v>7</v>
      </c>
      <c r="HN27" s="34" t="s">
        <v>108</v>
      </c>
      <c r="HO27" s="120">
        <f>IF(ISBLANK(fixtures!$K195),"",fixtures!$K195)</f>
        <v>2</v>
      </c>
      <c r="HP27" s="34" t="str">
        <f>IF(ISBLANK(fixtures!$L195),"",":")</f>
        <v>:</v>
      </c>
      <c r="HQ27" s="122">
        <f>IF(ISBLANK(fixtures!$L195),"",fixtures!$L195)</f>
        <v>0</v>
      </c>
      <c r="HR27" s="34" t="str">
        <f>IF(ISBLANK(fixtures!$L195),"",IF(HO27&gt;HQ27,"W",IF(HO27=HQ27,"D","L")))</f>
        <v>W</v>
      </c>
      <c r="HS27" s="34"/>
      <c r="HT27" s="34"/>
      <c r="HU27" s="125">
        <v>22</v>
      </c>
      <c r="HV27" s="127" t="s">
        <v>105</v>
      </c>
      <c r="HW27" s="402">
        <f ca="1">IFERROR(INDIRECT("fixtures!" &amp; Dashboard!J1 &amp;198) - Dashboard!K1/24,"TBC")</f>
        <v>44948.666666666664</v>
      </c>
      <c r="HX27" s="36"/>
      <c r="HY27" s="36" t="s">
        <v>10</v>
      </c>
      <c r="HZ27" s="36" t="s">
        <v>106</v>
      </c>
      <c r="IA27" s="125">
        <f>IF(ISBLANK(fixtures!$L198),"",fixtures!$L198)</f>
        <v>0</v>
      </c>
      <c r="IB27" s="36" t="str">
        <f>IF(ISBLANK(fixtures!$L198),"",":")</f>
        <v>:</v>
      </c>
      <c r="IC27" s="127">
        <f>IF(ISBLANK(fixtures!$K198),"",fixtures!$K198)</f>
        <v>3</v>
      </c>
      <c r="ID27" s="36" t="str">
        <f>IF(ISBLANK(fixtures!$L198),"",IF(IA27&gt;IC27,"W",IF(IA27=IC27,"D","L")))</f>
        <v>L</v>
      </c>
      <c r="IE27" s="36"/>
      <c r="IF27" s="36"/>
    </row>
    <row r="28" spans="1:243" x14ac:dyDescent="0.4">
      <c r="A28" s="91">
        <v>4</v>
      </c>
      <c r="B28" s="6" t="s">
        <v>107</v>
      </c>
      <c r="C28" s="277">
        <f ca="1">IFERROR(INDIRECT("fixtures!" &amp; Dashboard!J1 &amp;202) - Dashboard!K1/24,"TBC")</f>
        <v>44961.604166666664</v>
      </c>
      <c r="D28" s="6"/>
      <c r="E28" s="6" t="s">
        <v>7</v>
      </c>
      <c r="F28" s="6" t="s">
        <v>106</v>
      </c>
      <c r="G28" s="91">
        <f>IF(ISBLANK(fixtures!$L202),"",fixtures!$L202)</f>
        <v>0</v>
      </c>
      <c r="H28" s="6" t="str">
        <f>IF(ISBLANK(fixtures!$L202),"",":")</f>
        <v>:</v>
      </c>
      <c r="I28" s="93">
        <f>IF(ISBLANK(fixtures!$K202),"",fixtures!$K202)</f>
        <v>1</v>
      </c>
      <c r="J28" s="6" t="str">
        <f>IF(ISBLANK(fixtures!$L202),"",IF(G28&gt;I28,"W",IF(G28=I28,"D","L")))</f>
        <v>L</v>
      </c>
      <c r="K28" s="6"/>
      <c r="L28" s="6"/>
      <c r="M28" s="285" t="s">
        <v>23</v>
      </c>
      <c r="N28" s="9"/>
      <c r="O28" s="284"/>
      <c r="P28" s="9"/>
      <c r="Q28" s="9"/>
      <c r="R28" s="9"/>
      <c r="S28" s="282"/>
      <c r="T28" s="9"/>
      <c r="U28" s="283"/>
      <c r="V28" s="9"/>
      <c r="W28" s="9"/>
      <c r="X28" s="9"/>
      <c r="Y28" s="293" t="s">
        <v>23</v>
      </c>
      <c r="Z28" s="262"/>
      <c r="AA28" s="291"/>
      <c r="AB28" s="262"/>
      <c r="AC28" s="262"/>
      <c r="AD28" s="262"/>
      <c r="AE28" s="290"/>
      <c r="AF28" s="262"/>
      <c r="AG28" s="292"/>
      <c r="AH28" s="262"/>
      <c r="AI28" s="262"/>
      <c r="AJ28" s="262"/>
      <c r="AK28" s="414" t="s">
        <v>23</v>
      </c>
      <c r="AL28" s="410"/>
      <c r="AM28" s="413"/>
      <c r="AN28" s="410"/>
      <c r="AO28" s="410"/>
      <c r="AP28" s="410"/>
      <c r="AQ28" s="411"/>
      <c r="AR28" s="410"/>
      <c r="AS28" s="412"/>
      <c r="AT28" s="410"/>
      <c r="AU28" s="410"/>
      <c r="AV28" s="410"/>
      <c r="AW28" s="96">
        <v>4</v>
      </c>
      <c r="AX28" s="98" t="s">
        <v>107</v>
      </c>
      <c r="AY28" s="298">
        <f ca="1">IFERROR(INDIRECT("fixtures!" &amp; Dashboard!J1 &amp;205) - Dashboard!K1/24,"TBC")</f>
        <v>44961.708333333336</v>
      </c>
      <c r="AZ28" s="11"/>
      <c r="BA28" s="11" t="s">
        <v>3</v>
      </c>
      <c r="BB28" s="11" t="s">
        <v>108</v>
      </c>
      <c r="BC28" s="96">
        <f>IF(ISBLANK(fixtures!$K205),"",fixtures!$K205)</f>
        <v>1</v>
      </c>
      <c r="BD28" s="11" t="str">
        <f>IF(ISBLANK(fixtures!$L205),"",":")</f>
        <v>:</v>
      </c>
      <c r="BE28" s="98">
        <f>IF(ISBLANK(fixtures!$L205),"",fixtures!$L205)</f>
        <v>0</v>
      </c>
      <c r="BF28" s="11" t="str">
        <f>IF(ISBLANK(fixtures!$L205),"",IF(BC28&gt;BE28,"W",IF(BC28=BE28,"D","L")))</f>
        <v>W</v>
      </c>
      <c r="BG28" s="11"/>
      <c r="BH28" s="11"/>
      <c r="BI28" s="305" t="s">
        <v>23</v>
      </c>
      <c r="BJ28" s="15"/>
      <c r="BK28" s="304"/>
      <c r="BL28" s="15"/>
      <c r="BM28" s="15"/>
      <c r="BN28" s="15"/>
      <c r="BO28" s="181"/>
      <c r="BP28" s="15"/>
      <c r="BQ28" s="183"/>
      <c r="BR28" s="15"/>
      <c r="BS28" s="15"/>
      <c r="BT28" s="15"/>
      <c r="BU28" s="313" t="s">
        <v>23</v>
      </c>
      <c r="BV28" s="16"/>
      <c r="BW28" s="312"/>
      <c r="BX28" s="16"/>
      <c r="BY28" s="16"/>
      <c r="BZ28" s="16"/>
      <c r="CA28" s="310"/>
      <c r="CB28" s="16"/>
      <c r="CC28" s="311"/>
      <c r="CD28" s="16"/>
      <c r="CE28" s="16"/>
      <c r="CF28" s="16"/>
      <c r="CG28" s="321" t="s">
        <v>23</v>
      </c>
      <c r="CH28" s="319"/>
      <c r="CI28" s="320"/>
      <c r="CJ28" s="19"/>
      <c r="CK28" s="19"/>
      <c r="CL28" s="19"/>
      <c r="CM28" s="318"/>
      <c r="CN28" s="19"/>
      <c r="CO28" s="319"/>
      <c r="CP28" s="19"/>
      <c r="CQ28" s="19"/>
      <c r="CR28" s="19"/>
      <c r="CS28" s="326">
        <v>23</v>
      </c>
      <c r="CT28" s="178" t="s">
        <v>109</v>
      </c>
      <c r="CU28" s="328">
        <f ca="1">IFERROR(INDIRECT("fixtures!" &amp; Dashboard!J1 &amp;200) - Dashboard!K1/24,"TBC")</f>
        <v>44949.927083333336</v>
      </c>
      <c r="CV28" s="178"/>
      <c r="CW28" s="178" t="s">
        <v>14</v>
      </c>
      <c r="CX28" s="178" t="s">
        <v>108</v>
      </c>
      <c r="CY28" s="326">
        <f>IF(ISBLANK(fixtures!$K200),"",fixtures!$K200)</f>
        <v>0</v>
      </c>
      <c r="CZ28" s="178" t="str">
        <f>IF(ISBLANK(fixtures!$L200),"",":")</f>
        <v>:</v>
      </c>
      <c r="DA28" s="327">
        <f>IF(ISBLANK(fixtures!$L200),"",fixtures!$L200)</f>
        <v>1</v>
      </c>
      <c r="DB28" s="178" t="str">
        <f>IF(ISBLANK(fixtures!$L200),"",IF(CY28&gt;DA28,"W",IF(CY28=DA28,"D","L")))</f>
        <v>L</v>
      </c>
      <c r="DC28" s="178"/>
      <c r="DD28" s="178"/>
      <c r="DE28" s="334">
        <v>5</v>
      </c>
      <c r="DF28" s="177" t="s">
        <v>105</v>
      </c>
      <c r="DG28" s="336">
        <f ca="1">IFERROR(INDIRECT("fixtures!" &amp; Dashboard!J1 &amp;209) - Dashboard!K1/24,"TBC")</f>
        <v>44962.666666666664</v>
      </c>
      <c r="DH28" s="177"/>
      <c r="DI28" s="177" t="s">
        <v>204</v>
      </c>
      <c r="DJ28" s="177" t="s">
        <v>106</v>
      </c>
      <c r="DK28" s="334">
        <f>IF(ISBLANK(fixtures!$L209),"",fixtures!$L209)</f>
        <v>0</v>
      </c>
      <c r="DL28" s="177" t="str">
        <f>IF(ISBLANK(fixtures!$L209),"",":")</f>
        <v>:</v>
      </c>
      <c r="DM28" s="335">
        <f>IF(ISBLANK(fixtures!$K209),"",fixtures!$K209)</f>
        <v>1</v>
      </c>
      <c r="DN28" s="177" t="str">
        <f>IF(ISBLANK(fixtures!$L209),"",IF(DK28&gt;DM28,"W",IF(DK28=DM28,"D","L")))</f>
        <v>L</v>
      </c>
      <c r="DO28" s="177"/>
      <c r="DP28" s="177"/>
      <c r="DQ28" s="344" t="s">
        <v>23</v>
      </c>
      <c r="DR28" s="21"/>
      <c r="DS28" s="343"/>
      <c r="DT28" s="21"/>
      <c r="DU28" s="21"/>
      <c r="DV28" s="21"/>
      <c r="DW28" s="341"/>
      <c r="DX28" s="21"/>
      <c r="DY28" s="342"/>
      <c r="DZ28" s="21"/>
      <c r="EA28" s="21"/>
      <c r="EB28" s="21"/>
      <c r="EC28" s="270">
        <v>4</v>
      </c>
      <c r="ED28" s="23" t="s">
        <v>107</v>
      </c>
      <c r="EE28" s="349">
        <f ca="1">IFERROR(INDIRECT("fixtures!" &amp; Dashboard!J1 &amp;207) - Dashboard!K1/24,"TBC")</f>
        <v>44961.708333333336</v>
      </c>
      <c r="EF28" s="23"/>
      <c r="EG28" s="23" t="s">
        <v>16</v>
      </c>
      <c r="EH28" s="23" t="s">
        <v>106</v>
      </c>
      <c r="EI28" s="270">
        <f>IF(ISBLANK(fixtures!$L207),"",fixtures!$L207)</f>
        <v>0</v>
      </c>
      <c r="EJ28" s="23" t="str">
        <f>IF(ISBLANK(fixtures!$L207),"",":")</f>
        <v>:</v>
      </c>
      <c r="EK28" s="272">
        <f>IF(ISBLANK(fixtures!$K207),"",fixtures!$K207)</f>
        <v>3</v>
      </c>
      <c r="EL28" s="23" t="str">
        <f>IF(ISBLANK(fixtures!$L207),"",IF(EI28&gt;EK28,"W",IF(EI28=EK28,"D","L")))</f>
        <v>L</v>
      </c>
      <c r="EM28" s="23"/>
      <c r="EN28" s="23"/>
      <c r="EO28" s="356" t="s">
        <v>23</v>
      </c>
      <c r="EP28" s="25"/>
      <c r="EQ28" s="355"/>
      <c r="ER28" s="25"/>
      <c r="ES28" s="25"/>
      <c r="ET28" s="25"/>
      <c r="EU28" s="105"/>
      <c r="EV28" s="25"/>
      <c r="EW28" s="107"/>
      <c r="EX28" s="25"/>
      <c r="EY28" s="25"/>
      <c r="EZ28" s="25"/>
      <c r="FA28" s="364" t="s">
        <v>23</v>
      </c>
      <c r="FB28" s="362"/>
      <c r="FC28" s="363"/>
      <c r="FD28" s="27"/>
      <c r="FE28" s="27"/>
      <c r="FF28" s="27"/>
      <c r="FG28" s="361"/>
      <c r="FH28" s="27"/>
      <c r="FI28" s="362"/>
      <c r="FJ28" s="27"/>
      <c r="FK28" s="27"/>
      <c r="FL28" s="27"/>
      <c r="FM28" s="370" t="s">
        <v>23</v>
      </c>
      <c r="FN28" s="29"/>
      <c r="FO28" s="369"/>
      <c r="FP28" s="29"/>
      <c r="FQ28" s="29"/>
      <c r="FR28" s="29"/>
      <c r="FS28" s="110"/>
      <c r="FT28" s="29"/>
      <c r="FU28" s="112"/>
      <c r="FV28" s="29"/>
      <c r="FW28" s="29"/>
      <c r="FX28" s="29"/>
      <c r="FY28" s="378" t="s">
        <v>23</v>
      </c>
      <c r="FZ28" s="264"/>
      <c r="GA28" s="377"/>
      <c r="GB28" s="264"/>
      <c r="GC28" s="264"/>
      <c r="GD28" s="264"/>
      <c r="GE28" s="375"/>
      <c r="GF28" s="264"/>
      <c r="GG28" s="376"/>
      <c r="GH28" s="264"/>
      <c r="GI28" s="264"/>
      <c r="GJ28" s="264"/>
      <c r="GK28" s="385" t="s">
        <v>23</v>
      </c>
      <c r="GL28" s="30"/>
      <c r="GM28" s="384"/>
      <c r="GN28" s="30"/>
      <c r="GO28" s="30"/>
      <c r="GP28" s="30"/>
      <c r="GQ28" s="382"/>
      <c r="GR28" s="30"/>
      <c r="GS28" s="383"/>
      <c r="GT28" s="30"/>
      <c r="GU28" s="30"/>
      <c r="GV28" s="30"/>
      <c r="GW28" s="115">
        <v>23</v>
      </c>
      <c r="GX28" s="32" t="s">
        <v>109</v>
      </c>
      <c r="GY28" s="390">
        <f ca="1">IFERROR(INDIRECT("fixtures!" &amp; Dashboard!J1 &amp;200) - Dashboard!K1/24,"TBC")</f>
        <v>44949.927083333336</v>
      </c>
      <c r="GZ28" s="32"/>
      <c r="HA28" s="32" t="s">
        <v>126</v>
      </c>
      <c r="HB28" s="32" t="s">
        <v>106</v>
      </c>
      <c r="HC28" s="115">
        <f>IF(ISBLANK(fixtures!$L200),"",fixtures!$L200)</f>
        <v>1</v>
      </c>
      <c r="HD28" s="32" t="str">
        <f>IF(ISBLANK(fixtures!$L200),"",":")</f>
        <v>:</v>
      </c>
      <c r="HE28" s="117">
        <f>IF(ISBLANK(fixtures!$K200),"",fixtures!$K200)</f>
        <v>0</v>
      </c>
      <c r="HF28" s="32" t="str">
        <f>IF(ISBLANK(fixtures!$L200),"",IF(HC28&gt;HE28,"W",IF(HC28=HE28,"D","L")))</f>
        <v>W</v>
      </c>
      <c r="HG28" s="32"/>
      <c r="HH28" s="32"/>
      <c r="HI28" s="397" t="s">
        <v>23</v>
      </c>
      <c r="HJ28" s="34"/>
      <c r="HK28" s="396"/>
      <c r="HL28" s="34"/>
      <c r="HM28" s="34"/>
      <c r="HN28" s="34"/>
      <c r="HO28" s="120"/>
      <c r="HP28" s="34"/>
      <c r="HQ28" s="122"/>
      <c r="HR28" s="34"/>
      <c r="HS28" s="34"/>
      <c r="HT28" s="34"/>
      <c r="HU28" s="403" t="s">
        <v>23</v>
      </c>
      <c r="HV28" s="36"/>
      <c r="HW28" s="402"/>
      <c r="HX28" s="36"/>
      <c r="HY28" s="36"/>
      <c r="HZ28" s="36"/>
      <c r="IA28" s="125"/>
      <c r="IB28" s="36"/>
      <c r="IC28" s="127"/>
      <c r="ID28" s="36"/>
      <c r="IE28" s="36"/>
      <c r="IF28" s="36"/>
    </row>
    <row r="29" spans="1:243" x14ac:dyDescent="0.4">
      <c r="A29" s="91">
        <v>11</v>
      </c>
      <c r="B29" s="6" t="s">
        <v>107</v>
      </c>
      <c r="C29" s="277">
        <f ca="1">IFERROR(INDIRECT("fixtures!" &amp; Dashboard!J1 &amp;213) - Dashboard!K1/24,"TBC")</f>
        <v>44968.708333333336</v>
      </c>
      <c r="D29" s="6"/>
      <c r="E29" s="6" t="s">
        <v>125</v>
      </c>
      <c r="F29" s="6" t="s">
        <v>108</v>
      </c>
      <c r="G29" s="91">
        <f>IF(ISBLANK(fixtures!$K213),"",fixtures!$K213)</f>
        <v>1</v>
      </c>
      <c r="H29" s="6" t="str">
        <f>IF(ISBLANK(fixtures!$L213),"",":")</f>
        <v>:</v>
      </c>
      <c r="I29" s="93">
        <f>IF(ISBLANK(fixtures!$L213),"",fixtures!$L213)</f>
        <v>1</v>
      </c>
      <c r="J29" s="6" t="str">
        <f>IF(ISBLANK(fixtures!$L213),"",IF(G29&gt;I29,"W",IF(G29=I29,"D","L")))</f>
        <v>D</v>
      </c>
      <c r="K29" s="6"/>
      <c r="L29" s="6"/>
      <c r="M29" s="282">
        <v>4</v>
      </c>
      <c r="N29" s="283" t="s">
        <v>107</v>
      </c>
      <c r="O29" s="284">
        <f ca="1">IFERROR(INDIRECT("fixtures!" &amp; Dashboard!J1 &amp;203) - Dashboard!K1/24,"TBC")</f>
        <v>44961.708333333336</v>
      </c>
      <c r="P29" s="9"/>
      <c r="Q29" s="9" t="s">
        <v>8</v>
      </c>
      <c r="R29" s="9" t="s">
        <v>108</v>
      </c>
      <c r="S29" s="282">
        <f>IF(ISBLANK(fixtures!$K203),"",fixtures!$K203)</f>
        <v>2</v>
      </c>
      <c r="T29" s="9" t="str">
        <f>IF(ISBLANK(fixtures!$L203),"",":")</f>
        <v>:</v>
      </c>
      <c r="U29" s="283">
        <f>IF(ISBLANK(fixtures!$L203),"",fixtures!$L203)</f>
        <v>4</v>
      </c>
      <c r="V29" s="9" t="str">
        <f>IF(ISBLANK(fixtures!$L203),"",IF(S29&gt;U29,"W",IF(S29=U29,"D","L")))</f>
        <v>L</v>
      </c>
      <c r="W29" s="9"/>
      <c r="X29" s="9"/>
      <c r="Y29" s="290">
        <v>4</v>
      </c>
      <c r="Z29" s="262" t="s">
        <v>107</v>
      </c>
      <c r="AA29" s="291">
        <f ca="1">IFERROR(INDIRECT("fixtures!" &amp; Dashboard!J1 &amp;205) - Dashboard!K1/24,"TBC")</f>
        <v>44961.708333333336</v>
      </c>
      <c r="AB29" s="262"/>
      <c r="AC29" s="262" t="s">
        <v>4</v>
      </c>
      <c r="AD29" s="262" t="s">
        <v>106</v>
      </c>
      <c r="AE29" s="290">
        <f>IF(ISBLANK(fixtures!$L205),"",fixtures!$L205)</f>
        <v>0</v>
      </c>
      <c r="AF29" s="262" t="str">
        <f>IF(ISBLANK(fixtures!$L205),"",":")</f>
        <v>:</v>
      </c>
      <c r="AG29" s="292">
        <f>IF(ISBLANK(fixtures!$K205),"",fixtures!$K205)</f>
        <v>1</v>
      </c>
      <c r="AH29" s="262" t="str">
        <f>IF(ISBLANK(fixtures!$L205),"",IF(AE29&gt;AG29,"W",IF(AE29=AG29,"D","L")))</f>
        <v>L</v>
      </c>
      <c r="AI29" s="262"/>
      <c r="AJ29" s="262"/>
      <c r="AK29" s="411">
        <v>4</v>
      </c>
      <c r="AL29" s="410" t="s">
        <v>107</v>
      </c>
      <c r="AM29" s="413">
        <f ca="1">IFERROR(INDIRECT("fixtures!" &amp; Dashboard!J1 &amp;204) - Dashboard!K1/24,"TBC")</f>
        <v>44961.708333333336</v>
      </c>
      <c r="AN29" s="410"/>
      <c r="AO29" s="410" t="s">
        <v>13</v>
      </c>
      <c r="AP29" s="410" t="s">
        <v>108</v>
      </c>
      <c r="AQ29" s="411">
        <f>IF(ISBLANK(fixtures!$K204),"",fixtures!$K204)</f>
        <v>3</v>
      </c>
      <c r="AR29" s="410" t="str">
        <f>IF(ISBLANK(fixtures!$L204),"",":")</f>
        <v>:</v>
      </c>
      <c r="AS29" s="412">
        <f>IF(ISBLANK(fixtures!$L204),"",fixtures!$L204)</f>
        <v>0</v>
      </c>
      <c r="AT29" s="410" t="str">
        <f>IF(ISBLANK(fixtures!$L204),"",IF(AQ29&gt;AS29,"W",IF(AQ29=AS29,"D","L")))</f>
        <v>W</v>
      </c>
      <c r="AU29" s="410"/>
      <c r="AV29" s="410"/>
      <c r="AW29" s="96">
        <v>11</v>
      </c>
      <c r="AX29" s="11" t="s">
        <v>107</v>
      </c>
      <c r="AY29" s="298">
        <f ca="1">IFERROR(INDIRECT("fixtures!" &amp; Dashboard!J1 &amp;214) - Dashboard!K1/24,"TBC")</f>
        <v>44968.708333333336</v>
      </c>
      <c r="AZ29" s="11"/>
      <c r="BA29" s="11" t="s">
        <v>6</v>
      </c>
      <c r="BB29" s="11" t="s">
        <v>106</v>
      </c>
      <c r="BC29" s="96">
        <f>IF(ISBLANK(fixtures!$L214),"",fixtures!$L214)</f>
        <v>1</v>
      </c>
      <c r="BD29" s="11" t="str">
        <f>IF(ISBLANK(fixtures!$L214),"",":")</f>
        <v>:</v>
      </c>
      <c r="BE29" s="98">
        <f>IF(ISBLANK(fixtures!$K214),"",fixtures!$K214)</f>
        <v>1</v>
      </c>
      <c r="BF29" s="11" t="str">
        <f>IF(ISBLANK(fixtures!$L214),"",IF(BC29&gt;BE29,"W",IF(BC29=BE29,"D","L")))</f>
        <v>D</v>
      </c>
      <c r="BG29" s="11"/>
      <c r="BH29" s="11"/>
      <c r="BI29" s="181">
        <v>3</v>
      </c>
      <c r="BJ29" s="15" t="s">
        <v>146</v>
      </c>
      <c r="BK29" s="304">
        <f ca="1">IFERROR(INDIRECT("fixtures!" &amp; Dashboard!J1 &amp;201) - Dashboard!K1/24,"TBC")</f>
        <v>44960.916666666664</v>
      </c>
      <c r="BL29" s="15"/>
      <c r="BM29" s="15" t="s">
        <v>126</v>
      </c>
      <c r="BN29" s="15" t="s">
        <v>108</v>
      </c>
      <c r="BO29" s="181">
        <f>IF(ISBLANK(fixtures!$K201),"",fixtures!$K201)</f>
        <v>0</v>
      </c>
      <c r="BP29" s="15" t="str">
        <f>IF(ISBLANK(fixtures!$L201),"",":")</f>
        <v>:</v>
      </c>
      <c r="BQ29" s="183">
        <f>IF(ISBLANK(fixtures!$L201),"",fixtures!$L201)</f>
        <v>0</v>
      </c>
      <c r="BR29" s="15" t="str">
        <f>IF(ISBLANK(fixtures!$L201),"",IF(BO29&gt;BQ29,"W",IF(BO29=BQ29,"D","L")))</f>
        <v>D</v>
      </c>
      <c r="BS29" s="15"/>
      <c r="BT29" s="15"/>
      <c r="BU29" s="310">
        <v>4</v>
      </c>
      <c r="BV29" s="16" t="s">
        <v>107</v>
      </c>
      <c r="BW29" s="312">
        <f ca="1">IFERROR(INDIRECT("fixtures!" &amp; Dashboard!J1 &amp;206) - Dashboard!K1/24,"TBC")</f>
        <v>44961.708333333336</v>
      </c>
      <c r="BX29" s="16"/>
      <c r="BY29" s="16" t="s">
        <v>11</v>
      </c>
      <c r="BZ29" s="16" t="s">
        <v>106</v>
      </c>
      <c r="CA29" s="310">
        <f>IF(ISBLANK(fixtures!$L206),"",fixtures!$L206)</f>
        <v>1</v>
      </c>
      <c r="CB29" s="16" t="str">
        <f>IF(ISBLANK(fixtures!$L206),"",":")</f>
        <v>:</v>
      </c>
      <c r="CC29" s="311">
        <f>IF(ISBLANK(fixtures!$K206),"",fixtures!$K206)</f>
        <v>2</v>
      </c>
      <c r="CD29" s="16" t="str">
        <f>IF(ISBLANK(fixtures!$L206),"",IF(CA29&gt;CC29,"W",IF(CA29=CC29,"D","L")))</f>
        <v>L</v>
      </c>
      <c r="CE29" s="16"/>
      <c r="CF29" s="16"/>
      <c r="CG29" s="318">
        <v>4</v>
      </c>
      <c r="CH29" s="19" t="s">
        <v>107</v>
      </c>
      <c r="CI29" s="320">
        <f ca="1">IFERROR(INDIRECT("fixtures!" &amp; Dashboard!J1 &amp;202) - Dashboard!K1/24,"TBC")</f>
        <v>44961.604166666664</v>
      </c>
      <c r="CJ29" s="19"/>
      <c r="CK29" s="19" t="s">
        <v>1</v>
      </c>
      <c r="CL29" s="19" t="s">
        <v>108</v>
      </c>
      <c r="CM29" s="318">
        <f>IF(ISBLANK(fixtures!$K202),"",fixtures!$K202)</f>
        <v>1</v>
      </c>
      <c r="CN29" s="19" t="str">
        <f>IF(ISBLANK(fixtures!$L202),"",":")</f>
        <v>:</v>
      </c>
      <c r="CO29" s="319">
        <f>IF(ISBLANK(fixtures!$L202),"",fixtures!$L202)</f>
        <v>0</v>
      </c>
      <c r="CP29" s="19" t="str">
        <f>IF(ISBLANK(fixtures!$L202),"",IF(CM29&gt;CO29,"W",IF(CM29=CO29,"D","L")))</f>
        <v>W</v>
      </c>
      <c r="CQ29" s="19"/>
      <c r="CR29" s="19"/>
      <c r="CS29" s="329" t="s">
        <v>23</v>
      </c>
      <c r="CT29" s="178"/>
      <c r="CU29" s="328"/>
      <c r="CV29" s="178"/>
      <c r="CW29" s="178"/>
      <c r="CX29" s="178"/>
      <c r="CY29" s="326"/>
      <c r="CZ29" s="178"/>
      <c r="DA29" s="327"/>
      <c r="DB29" s="178"/>
      <c r="DC29" s="178"/>
      <c r="DD29" s="178"/>
      <c r="DE29" s="334">
        <v>8</v>
      </c>
      <c r="DF29" s="177" t="s">
        <v>110</v>
      </c>
      <c r="DG29" s="336">
        <f ca="1">IFERROR(INDIRECT("fixtures!" &amp; Dashboard!J1 &amp;211) - Dashboard!K1/24,"TBC")</f>
        <v>44965.916666666664</v>
      </c>
      <c r="DH29" s="177"/>
      <c r="DI29" s="177" t="s">
        <v>11</v>
      </c>
      <c r="DJ29" s="177" t="s">
        <v>106</v>
      </c>
      <c r="DK29" s="334">
        <f>IF(ISBLANK(fixtures!$L211),"",fixtures!$L211)</f>
        <v>2</v>
      </c>
      <c r="DL29" s="177" t="str">
        <f>IF(ISBLANK(fixtures!$L211),"",":")</f>
        <v>:</v>
      </c>
      <c r="DM29" s="335">
        <f>IF(ISBLANK(fixtures!$K211),"",fixtures!$K211)</f>
        <v>2</v>
      </c>
      <c r="DN29" s="177" t="str">
        <f>IF(ISBLANK(fixtures!$L211),"",IF(DK29&gt;DM29,"W",IF(DK29=DM29,"D","L")))</f>
        <v>D</v>
      </c>
      <c r="DO29" s="177"/>
      <c r="DP29" s="177"/>
      <c r="DQ29" s="341">
        <v>4</v>
      </c>
      <c r="DR29" s="21" t="s">
        <v>107</v>
      </c>
      <c r="DS29" s="343">
        <f ca="1">IFERROR(INDIRECT("fixtures!" &amp; Dashboard!J1 &amp;203) - Dashboard!K1/24,"TBC")</f>
        <v>44961.708333333336</v>
      </c>
      <c r="DT29" s="21"/>
      <c r="DU29" s="21" t="s">
        <v>2</v>
      </c>
      <c r="DV29" s="21" t="s">
        <v>106</v>
      </c>
      <c r="DW29" s="341">
        <f>IF(ISBLANK(fixtures!$L203),"",fixtures!$L203)</f>
        <v>4</v>
      </c>
      <c r="DX29" s="21" t="str">
        <f>IF(ISBLANK(fixtures!$L203),"",":")</f>
        <v>:</v>
      </c>
      <c r="DY29" s="342">
        <f>IF(ISBLANK(fixtures!$K203),"",fixtures!$K203)</f>
        <v>2</v>
      </c>
      <c r="DZ29" s="21" t="str">
        <f>IF(ISBLANK(fixtures!$L203),"",IF(DW29&gt;DY29,"W",IF(DW29=DY29,"D","L")))</f>
        <v>W</v>
      </c>
      <c r="EA29" s="21"/>
      <c r="EB29" s="21"/>
      <c r="EC29" s="270">
        <v>13</v>
      </c>
      <c r="ED29" s="23" t="s">
        <v>109</v>
      </c>
      <c r="EE29" s="349">
        <f ca="1">IFERROR(INDIRECT("fixtures!" &amp; Dashboard!J1 &amp;221) - Dashboard!K1/24,"TBC")</f>
        <v>44970.916666666664</v>
      </c>
      <c r="EF29" s="23"/>
      <c r="EG29" s="23" t="s">
        <v>7</v>
      </c>
      <c r="EH29" s="23" t="s">
        <v>108</v>
      </c>
      <c r="EI29" s="270">
        <f>IF(ISBLANK(fixtures!$K221),"",fixtures!$K221)</f>
        <v>2</v>
      </c>
      <c r="EJ29" s="23" t="str">
        <f>IF(ISBLANK(fixtures!$L221),"",":")</f>
        <v>:</v>
      </c>
      <c r="EK29" s="272">
        <f>IF(ISBLANK(fixtures!$L221),"",fixtures!$L221)</f>
        <v>0</v>
      </c>
      <c r="EL29" s="23" t="str">
        <f>IF(ISBLANK(fixtures!$L221),"",IF(EI29&gt;EK29,"W",IF(EI29=EK29,"D","L")))</f>
        <v>W</v>
      </c>
      <c r="EM29" s="23"/>
      <c r="EN29" s="23"/>
      <c r="EO29" s="105">
        <v>5</v>
      </c>
      <c r="EP29" s="25" t="s">
        <v>105</v>
      </c>
      <c r="EQ29" s="355">
        <f ca="1">IFERROR(INDIRECT("fixtures!" &amp; Dashboard!J1 &amp;210) - Dashboard!K1/24,"TBC")</f>
        <v>44962.770833333336</v>
      </c>
      <c r="ER29" s="25"/>
      <c r="ES29" s="25" t="s">
        <v>14</v>
      </c>
      <c r="ET29" s="25" t="s">
        <v>106</v>
      </c>
      <c r="EU29" s="105">
        <f>IF(ISBLANK(fixtures!$L210),"",fixtures!$L210)</f>
        <v>0</v>
      </c>
      <c r="EV29" s="25" t="str">
        <f>IF(ISBLANK(fixtures!$L210),"",":")</f>
        <v>:</v>
      </c>
      <c r="EW29" s="107">
        <f>IF(ISBLANK(fixtures!$K210),"",fixtures!$K210)</f>
        <v>1</v>
      </c>
      <c r="EX29" s="25" t="str">
        <f>IF(ISBLANK(fixtures!$L210),"",IF(EU29&gt;EW29,"W",IF(EU29=EW29,"D","L")))</f>
        <v>L</v>
      </c>
      <c r="EY29" s="25"/>
      <c r="EZ29" s="25"/>
      <c r="FA29" s="361">
        <v>4</v>
      </c>
      <c r="FB29" s="27" t="s">
        <v>107</v>
      </c>
      <c r="FC29" s="363">
        <f ca="1">IFERROR(INDIRECT("fixtures!" &amp; Dashboard!J1 &amp;206) - Dashboard!K1/24,"TBC")</f>
        <v>44961.708333333336</v>
      </c>
      <c r="FD29" s="27"/>
      <c r="FE29" s="27" t="s">
        <v>6</v>
      </c>
      <c r="FF29" s="27" t="s">
        <v>108</v>
      </c>
      <c r="FG29" s="361">
        <f>IF(ISBLANK(fixtures!$K206),"",fixtures!$K206)</f>
        <v>2</v>
      </c>
      <c r="FH29" s="27" t="str">
        <f>IF(ISBLANK(fixtures!$L206),"",":")</f>
        <v>:</v>
      </c>
      <c r="FI29" s="362">
        <f>IF(ISBLANK(fixtures!$L206),"",fixtures!$L206)</f>
        <v>1</v>
      </c>
      <c r="FJ29" s="27" t="str">
        <f>IF(ISBLANK(fixtures!$L206),"",IF(FG29&gt;FI29,"W",IF(FG29=FI29,"D","L")))</f>
        <v>W</v>
      </c>
      <c r="FK29" s="27"/>
      <c r="FL29" s="27"/>
      <c r="FM29" s="110">
        <v>4</v>
      </c>
      <c r="FN29" s="29" t="s">
        <v>107</v>
      </c>
      <c r="FO29" s="369">
        <f ca="1">IFERROR(INDIRECT("fixtures!" &amp; Dashboard!J1 &amp;208) - Dashboard!K1/24,"TBC")</f>
        <v>44961.8125</v>
      </c>
      <c r="FP29" s="29"/>
      <c r="FQ29" s="29" t="s">
        <v>15</v>
      </c>
      <c r="FR29" s="29" t="s">
        <v>108</v>
      </c>
      <c r="FS29" s="110">
        <f>IF(ISBLANK(fixtures!$K208),"",fixtures!$K208)</f>
        <v>1</v>
      </c>
      <c r="FT29" s="29" t="str">
        <f>IF(ISBLANK(fixtures!$L208),"",":")</f>
        <v>:</v>
      </c>
      <c r="FU29" s="112">
        <f>IF(ISBLANK(fixtures!$L208),"",fixtures!$L208)</f>
        <v>1</v>
      </c>
      <c r="FV29" s="29" t="str">
        <f>IF(ISBLANK(fixtures!$L208),"",IF(FS29&gt;FU29,"W",IF(FS29=FU29,"D","L")))</f>
        <v>D</v>
      </c>
      <c r="FW29" s="29"/>
      <c r="FX29" s="29"/>
      <c r="FY29" s="375">
        <v>5</v>
      </c>
      <c r="FZ29" s="264" t="s">
        <v>105</v>
      </c>
      <c r="GA29" s="377">
        <f ca="1">IFERROR(INDIRECT("fixtures!" &amp; Dashboard!J1 &amp;209) - Dashboard!K1/24,"TBC")</f>
        <v>44962.666666666664</v>
      </c>
      <c r="GB29" s="264"/>
      <c r="GC29" s="264" t="s">
        <v>139</v>
      </c>
      <c r="GD29" s="264" t="s">
        <v>108</v>
      </c>
      <c r="GE29" s="375">
        <f>IF(ISBLANK(fixtures!$K209),"",fixtures!$K209)</f>
        <v>1</v>
      </c>
      <c r="GF29" s="264" t="str">
        <f>IF(ISBLANK(fixtures!$L209),"",":")</f>
        <v>:</v>
      </c>
      <c r="GG29" s="376">
        <f>IF(ISBLANK(fixtures!$L209),"",fixtures!$L209)</f>
        <v>0</v>
      </c>
      <c r="GH29" s="264" t="str">
        <f>IF(ISBLANK(fixtures!$L209),"",IF(GE29&gt;GG29,"W",IF(GE29=GG29,"D","L")))</f>
        <v>W</v>
      </c>
      <c r="GI29" s="264"/>
      <c r="GJ29" s="264"/>
      <c r="GK29" s="382">
        <v>4</v>
      </c>
      <c r="GL29" s="30" t="s">
        <v>107</v>
      </c>
      <c r="GM29" s="384">
        <f ca="1">IFERROR(INDIRECT("fixtures!" &amp; Dashboard!J1 &amp;204) - Dashboard!K1/24,"TBC")</f>
        <v>44961.708333333336</v>
      </c>
      <c r="GN29" s="30"/>
      <c r="GO29" s="30" t="s">
        <v>125</v>
      </c>
      <c r="GP29" s="30" t="s">
        <v>106</v>
      </c>
      <c r="GQ29" s="382">
        <f>IF(ISBLANK(fixtures!$L204),"",fixtures!$L204)</f>
        <v>0</v>
      </c>
      <c r="GR29" s="30" t="str">
        <f>IF(ISBLANK(fixtures!$L204),"",":")</f>
        <v>:</v>
      </c>
      <c r="GS29" s="383">
        <f>IF(ISBLANK(fixtures!$K204),"",fixtures!$K204)</f>
        <v>3</v>
      </c>
      <c r="GT29" s="30" t="str">
        <f>IF(ISBLANK(fixtures!$L204),"",IF(GQ29&gt;GS29,"W",IF(GQ29=GS29,"D","L")))</f>
        <v>L</v>
      </c>
      <c r="GU29" s="30"/>
      <c r="GV29" s="30"/>
      <c r="GW29" s="391" t="s">
        <v>23</v>
      </c>
      <c r="GX29" s="32"/>
      <c r="GY29" s="390"/>
      <c r="GZ29" s="32"/>
      <c r="HA29" s="32"/>
      <c r="HB29" s="32"/>
      <c r="HC29" s="115"/>
      <c r="HD29" s="32"/>
      <c r="HE29" s="117"/>
      <c r="HF29" s="32"/>
      <c r="HG29" s="32"/>
      <c r="HH29" s="32"/>
      <c r="HI29" s="120">
        <v>4</v>
      </c>
      <c r="HJ29" s="34" t="s">
        <v>107</v>
      </c>
      <c r="HK29" s="396">
        <f ca="1">IFERROR(INDIRECT("fixtures!" &amp; Dashboard!J1 &amp;208) - Dashboard!K1/24,"TBC")</f>
        <v>44961.8125</v>
      </c>
      <c r="HL29" s="34"/>
      <c r="HM29" s="34" t="s">
        <v>12</v>
      </c>
      <c r="HN29" s="34" t="s">
        <v>106</v>
      </c>
      <c r="HO29" s="120">
        <f>IF(ISBLANK(fixtures!$L208),"",fixtures!$L208)</f>
        <v>1</v>
      </c>
      <c r="HP29" s="34" t="str">
        <f>IF(ISBLANK(fixtures!$L208),"",":")</f>
        <v>:</v>
      </c>
      <c r="HQ29" s="122">
        <f>IF(ISBLANK(fixtures!$K208),"",fixtures!$K208)</f>
        <v>1</v>
      </c>
      <c r="HR29" s="34" t="str">
        <f>IF(ISBLANK(fixtures!$L208),"",IF(HO29&gt;HQ29,"W",IF(HO29=HQ29,"D","L")))</f>
        <v>D</v>
      </c>
      <c r="HS29" s="34"/>
      <c r="HT29" s="34"/>
      <c r="HU29" s="125">
        <v>4</v>
      </c>
      <c r="HV29" s="36" t="s">
        <v>107</v>
      </c>
      <c r="HW29" s="402">
        <f ca="1">IFERROR(INDIRECT("fixtures!" &amp; Dashboard!J1 &amp;207) - Dashboard!K1/24,"TBC")</f>
        <v>44961.708333333336</v>
      </c>
      <c r="HX29" s="36"/>
      <c r="HY29" s="36" t="s">
        <v>9</v>
      </c>
      <c r="HZ29" s="36" t="s">
        <v>108</v>
      </c>
      <c r="IA29" s="125">
        <f>IF(ISBLANK(fixtures!$K207),"",fixtures!$K207)</f>
        <v>3</v>
      </c>
      <c r="IB29" s="36" t="str">
        <f>IF(ISBLANK(fixtures!$L207),"",":")</f>
        <v>:</v>
      </c>
      <c r="IC29" s="127">
        <f>IF(ISBLANK(fixtures!$L207),"",fixtures!$L207)</f>
        <v>0</v>
      </c>
      <c r="ID29" s="36" t="str">
        <f>IF(ISBLANK(fixtures!$L207),"",IF(IA29&gt;IC29,"W",IF(IA29=IC29,"D","L")))</f>
        <v>W</v>
      </c>
      <c r="IE29" s="36"/>
      <c r="IF29" s="36"/>
    </row>
    <row r="30" spans="1:243" x14ac:dyDescent="0.4">
      <c r="A30" s="91">
        <v>15</v>
      </c>
      <c r="B30" s="6" t="s">
        <v>110</v>
      </c>
      <c r="C30" s="277">
        <f ca="1">IFERROR(INDIRECT("fixtures!" &amp; Dashboard!J1 &amp;222) - Dashboard!K1/24,"TBC")</f>
        <v>44972.895833333336</v>
      </c>
      <c r="D30" s="6"/>
      <c r="E30" s="6" t="s">
        <v>10</v>
      </c>
      <c r="F30" s="6" t="s">
        <v>108</v>
      </c>
      <c r="G30" s="91">
        <f>IF(ISBLANK(fixtures!$K222),"",fixtures!$K222)</f>
        <v>1</v>
      </c>
      <c r="H30" s="6" t="str">
        <f>IF(ISBLANK(fixtures!$L222),"",":")</f>
        <v>:</v>
      </c>
      <c r="I30" s="93">
        <f>IF(ISBLANK(fixtures!$L222),"",fixtures!$L222)</f>
        <v>3</v>
      </c>
      <c r="J30" s="6" t="str">
        <f>IF(ISBLANK(fixtures!$L222),"",IF(G30&gt;I30,"W",IF(G30=I30,"D","L")))</f>
        <v>L</v>
      </c>
      <c r="K30" s="6"/>
      <c r="L30" s="6"/>
      <c r="M30" s="282">
        <v>12</v>
      </c>
      <c r="N30" s="9" t="s">
        <v>105</v>
      </c>
      <c r="O30" s="284">
        <f ca="1">IFERROR(INDIRECT("fixtures!" &amp; Dashboard!J1 &amp;220) - Dashboard!K1/24,"TBC")</f>
        <v>44969.770833333336</v>
      </c>
      <c r="P30" s="9"/>
      <c r="Q30" s="9" t="s">
        <v>10</v>
      </c>
      <c r="R30" s="9" t="s">
        <v>106</v>
      </c>
      <c r="S30" s="282">
        <f>IF(ISBLANK(fixtures!$L220),"",fixtures!$L220)</f>
        <v>1</v>
      </c>
      <c r="T30" s="9" t="str">
        <f>IF(ISBLANK(fixtures!$L220),"",":")</f>
        <v>:</v>
      </c>
      <c r="U30" s="283">
        <f>IF(ISBLANK(fixtures!$K220),"",fixtures!$K220)</f>
        <v>3</v>
      </c>
      <c r="V30" s="9" t="str">
        <f>IF(ISBLANK(fixtures!$L220),"",IF(S30&gt;U30,"W",IF(S30=U30,"D","L")))</f>
        <v>L</v>
      </c>
      <c r="W30" s="9"/>
      <c r="X30" s="9"/>
      <c r="Y30" s="290">
        <v>11</v>
      </c>
      <c r="Z30" s="262" t="s">
        <v>107</v>
      </c>
      <c r="AA30" s="291">
        <f ca="1">IFERROR(INDIRECT("fixtures!" &amp; Dashboard!J1 &amp;218) - Dashboard!K1/24,"TBC")</f>
        <v>44968.8125</v>
      </c>
      <c r="AB30" s="262"/>
      <c r="AC30" s="262" t="s">
        <v>12</v>
      </c>
      <c r="AD30" s="262" t="s">
        <v>108</v>
      </c>
      <c r="AE30" s="290">
        <f>IF(ISBLANK(fixtures!$K218),"",fixtures!$K218)</f>
        <v>1</v>
      </c>
      <c r="AF30" s="262" t="str">
        <f>IF(ISBLANK(fixtures!$L218),"",":")</f>
        <v>:</v>
      </c>
      <c r="AG30" s="292">
        <f>IF(ISBLANK(fixtures!$L218),"",fixtures!$L218)</f>
        <v>1</v>
      </c>
      <c r="AH30" s="262" t="str">
        <f>IF(ISBLANK(fixtures!$L218),"",IF(AE30&gt;AG30,"W",IF(AE30=AG30,"D","L")))</f>
        <v>D</v>
      </c>
      <c r="AI30" s="262"/>
      <c r="AJ30" s="262"/>
      <c r="AK30" s="411">
        <v>11</v>
      </c>
      <c r="AL30" s="410" t="s">
        <v>107</v>
      </c>
      <c r="AM30" s="413">
        <f ca="1">IFERROR(INDIRECT("fixtures!" &amp; Dashboard!J1 &amp;213) - Dashboard!K1/24,"TBC")</f>
        <v>44968.708333333336</v>
      </c>
      <c r="AN30" s="410"/>
      <c r="AO30" s="410" t="s">
        <v>1</v>
      </c>
      <c r="AP30" s="410" t="s">
        <v>106</v>
      </c>
      <c r="AQ30" s="411">
        <f>IF(ISBLANK(fixtures!$L213),"",fixtures!$L213)</f>
        <v>1</v>
      </c>
      <c r="AR30" s="410" t="str">
        <f>IF(ISBLANK(fixtures!$L213),"",":")</f>
        <v>:</v>
      </c>
      <c r="AS30" s="412">
        <f>IF(ISBLANK(fixtures!$K213),"",fixtures!$K213)</f>
        <v>1</v>
      </c>
      <c r="AT30" s="410" t="str">
        <f>IF(ISBLANK(fixtures!$L213),"",IF(AQ30&gt;AS30,"W",IF(AQ30=AS30,"D","L")))</f>
        <v>D</v>
      </c>
      <c r="AU30" s="410"/>
      <c r="AV30" s="410"/>
      <c r="AW30" s="96">
        <v>18</v>
      </c>
      <c r="AX30" s="11" t="s">
        <v>107</v>
      </c>
      <c r="AY30" s="298">
        <f ca="1">IFERROR(INDIRECT("fixtures!" &amp; Dashboard!J1 &amp;225) - Dashboard!K1/24,"TBC")</f>
        <v>44975.708333333336</v>
      </c>
      <c r="AZ30" s="11"/>
      <c r="BA30" s="11" t="s">
        <v>126</v>
      </c>
      <c r="BB30" s="11" t="s">
        <v>108</v>
      </c>
      <c r="BC30" s="96">
        <f>IF(ISBLANK(fixtures!$K225),"",fixtures!$K225)</f>
        <v>0</v>
      </c>
      <c r="BD30" s="11" t="str">
        <f>IF(ISBLANK(fixtures!$L225),"",":")</f>
        <v>:</v>
      </c>
      <c r="BE30" s="98">
        <f>IF(ISBLANK(fixtures!$L225),"",fixtures!$L225)</f>
        <v>1</v>
      </c>
      <c r="BF30" s="11" t="str">
        <f>IF(ISBLANK(fixtures!$L225),"",IF(BC30&gt;BE30,"W",IF(BC30=BE30,"D","L")))</f>
        <v>L</v>
      </c>
      <c r="BG30" s="11"/>
      <c r="BH30" s="11"/>
      <c r="BI30" s="181">
        <v>11</v>
      </c>
      <c r="BJ30" s="15" t="s">
        <v>107</v>
      </c>
      <c r="BK30" s="304">
        <f ca="1">IFERROR(INDIRECT("fixtures!" &amp; Dashboard!J1 &amp;212) - Dashboard!K1/24,"TBC")</f>
        <v>44968.604166666664</v>
      </c>
      <c r="BL30" s="15"/>
      <c r="BM30" s="15" t="s">
        <v>15</v>
      </c>
      <c r="BN30" s="15" t="s">
        <v>106</v>
      </c>
      <c r="BO30" s="181">
        <f>IF(ISBLANK(fixtures!$L212),"",fixtures!$L212)</f>
        <v>1</v>
      </c>
      <c r="BP30" s="15" t="str">
        <f>IF(ISBLANK(fixtures!$L212),"",":")</f>
        <v>:</v>
      </c>
      <c r="BQ30" s="183">
        <f>IF(ISBLANK(fixtures!$K212),"",fixtures!$K212)</f>
        <v>1</v>
      </c>
      <c r="BR30" s="15" t="str">
        <f>IF(ISBLANK(fixtures!$L212),"",IF(BO30&gt;BQ30,"W",IF(BO30=BQ30,"D","L")))</f>
        <v>D</v>
      </c>
      <c r="BS30" s="15"/>
      <c r="BT30" s="15"/>
      <c r="BU30" s="310">
        <v>11</v>
      </c>
      <c r="BV30" s="16" t="s">
        <v>107</v>
      </c>
      <c r="BW30" s="312">
        <f ca="1">IFERROR(INDIRECT("fixtures!" &amp; Dashboard!J1 &amp;214) - Dashboard!K1/24,"TBC")</f>
        <v>44968.708333333336</v>
      </c>
      <c r="BX30" s="16"/>
      <c r="BY30" s="16" t="s">
        <v>4</v>
      </c>
      <c r="BZ30" s="16" t="s">
        <v>108</v>
      </c>
      <c r="CA30" s="310">
        <f>IF(ISBLANK(fixtures!$K214),"",fixtures!$K214)</f>
        <v>1</v>
      </c>
      <c r="CB30" s="16" t="str">
        <f>IF(ISBLANK(fixtures!$L214),"",":")</f>
        <v>:</v>
      </c>
      <c r="CC30" s="311">
        <f>IF(ISBLANK(fixtures!$L214),"",fixtures!$L214)</f>
        <v>1</v>
      </c>
      <c r="CD30" s="16" t="str">
        <f>IF(ISBLANK(fixtures!$L214),"",IF(CA30&gt;CC30,"W",IF(CA30=CC30,"D","L")))</f>
        <v>D</v>
      </c>
      <c r="CE30" s="16"/>
      <c r="CF30" s="16"/>
      <c r="CG30" s="318">
        <v>13</v>
      </c>
      <c r="CH30" s="19" t="s">
        <v>109</v>
      </c>
      <c r="CI30" s="320">
        <f ca="1">IFERROR(INDIRECT("fixtures!" &amp; Dashboard!J1 &amp;221) - Dashboard!K1/24,"TBC")</f>
        <v>44970.916666666664</v>
      </c>
      <c r="CJ30" s="19"/>
      <c r="CK30" s="19" t="s">
        <v>9</v>
      </c>
      <c r="CL30" s="19" t="s">
        <v>106</v>
      </c>
      <c r="CM30" s="318">
        <f>IF(ISBLANK(fixtures!$L221),"",fixtures!$L221)</f>
        <v>0</v>
      </c>
      <c r="CN30" s="19" t="str">
        <f>IF(ISBLANK(fixtures!$L221),"",":")</f>
        <v>:</v>
      </c>
      <c r="CO30" s="319">
        <f>IF(ISBLANK(fixtures!$K221),"",fixtures!$K221)</f>
        <v>2</v>
      </c>
      <c r="CP30" s="19" t="str">
        <f>IF(ISBLANK(fixtures!$L221),"",IF(CM30&gt;CO30,"W",IF(CM30=CO30,"D","L")))</f>
        <v>L</v>
      </c>
      <c r="CQ30" s="19"/>
      <c r="CR30" s="19"/>
      <c r="CS30" s="326">
        <v>3</v>
      </c>
      <c r="CT30" s="178" t="s">
        <v>146</v>
      </c>
      <c r="CU30" s="328">
        <f ca="1">IFERROR(INDIRECT("fixtures!" &amp; Dashboard!J1 &amp;201) - Dashboard!K1/24,"TBC")</f>
        <v>44960.916666666664</v>
      </c>
      <c r="CV30" s="178"/>
      <c r="CW30" s="178" t="s">
        <v>5</v>
      </c>
      <c r="CX30" s="178" t="s">
        <v>106</v>
      </c>
      <c r="CY30" s="326">
        <f>IF(ISBLANK(fixtures!$L201),"",fixtures!$L201)</f>
        <v>0</v>
      </c>
      <c r="CZ30" s="178" t="str">
        <f>IF(ISBLANK(fixtures!$L201),"",":")</f>
        <v>:</v>
      </c>
      <c r="DA30" s="327">
        <f>IF(ISBLANK(fixtures!$K201),"",fixtures!$K201)</f>
        <v>0</v>
      </c>
      <c r="DB30" s="178" t="str">
        <f>IF(ISBLANK(fixtures!$L201),"",IF(CY30&gt;DA30,"W",IF(CY30=DA30,"D","L")))</f>
        <v>D</v>
      </c>
      <c r="DC30" s="178"/>
      <c r="DD30" s="178"/>
      <c r="DE30" s="334">
        <v>12</v>
      </c>
      <c r="DF30" s="335" t="s">
        <v>105</v>
      </c>
      <c r="DG30" s="336">
        <f ca="1">IFERROR(INDIRECT("fixtures!" &amp; Dashboard!J1 &amp;219) - Dashboard!K1/24,"TBC")</f>
        <v>44969.666666666664</v>
      </c>
      <c r="DH30" s="177"/>
      <c r="DI30" s="177" t="s">
        <v>11</v>
      </c>
      <c r="DJ30" s="177" t="s">
        <v>108</v>
      </c>
      <c r="DK30" s="334">
        <f>IF(ISBLANK(fixtures!$K219),"",fixtures!$K219)</f>
        <v>0</v>
      </c>
      <c r="DL30" s="177" t="str">
        <f>IF(ISBLANK(fixtures!$L219),"",":")</f>
        <v>:</v>
      </c>
      <c r="DM30" s="335">
        <f>IF(ISBLANK(fixtures!$L219),"",fixtures!$L219)</f>
        <v>2</v>
      </c>
      <c r="DN30" s="177" t="str">
        <f>IF(ISBLANK(fixtures!$L219),"",IF(DK30&gt;DM30,"W",IF(DK30=DM30,"D","L")))</f>
        <v>L</v>
      </c>
      <c r="DO30" s="177"/>
      <c r="DP30" s="177"/>
      <c r="DQ30" s="341">
        <v>11</v>
      </c>
      <c r="DR30" s="21" t="s">
        <v>107</v>
      </c>
      <c r="DS30" s="343">
        <f ca="1">IFERROR(INDIRECT("fixtures!" &amp; Dashboard!J1 &amp;216) - Dashboard!K1/24,"TBC")</f>
        <v>44968.708333333336</v>
      </c>
      <c r="DT30" s="21"/>
      <c r="DU30" s="21" t="s">
        <v>14</v>
      </c>
      <c r="DV30" s="21" t="s">
        <v>108</v>
      </c>
      <c r="DW30" s="341">
        <f>IF(ISBLANK(fixtures!$K216),"",fixtures!$K216)</f>
        <v>4</v>
      </c>
      <c r="DX30" s="21" t="str">
        <f>IF(ISBLANK(fixtures!$L216),"",":")</f>
        <v>:</v>
      </c>
      <c r="DY30" s="342">
        <f>IF(ISBLANK(fixtures!$L216),"",fixtures!$L216)</f>
        <v>1</v>
      </c>
      <c r="DZ30" s="21" t="str">
        <f>IF(ISBLANK(fixtures!$L216),"",IF(DW30&gt;DY30,"W",IF(DW30=DY30,"D","L")))</f>
        <v>W</v>
      </c>
      <c r="EA30" s="21"/>
      <c r="EB30" s="21"/>
      <c r="EC30" s="270">
        <v>18</v>
      </c>
      <c r="ED30" s="23" t="s">
        <v>107</v>
      </c>
      <c r="EE30" s="349">
        <f ca="1">IFERROR(INDIRECT("fixtures!" &amp; Dashboard!J1 &amp;230) - Dashboard!K1/24,"TBC")</f>
        <v>44975.8125</v>
      </c>
      <c r="EF30" s="23"/>
      <c r="EG30" s="23" t="s">
        <v>12</v>
      </c>
      <c r="EH30" s="23" t="s">
        <v>106</v>
      </c>
      <c r="EI30" s="270">
        <f>IF(ISBLANK(fixtures!$L230),"",fixtures!$L230)</f>
        <v>2</v>
      </c>
      <c r="EJ30" s="23" t="str">
        <f>IF(ISBLANK(fixtures!$L230),"",":")</f>
        <v>:</v>
      </c>
      <c r="EK30" s="272">
        <f>IF(ISBLANK(fixtures!$K230),"",fixtures!$K230)</f>
        <v>0</v>
      </c>
      <c r="EL30" s="23" t="str">
        <f>IF(ISBLANK(fixtures!$L230),"",IF(EI30&gt;EK30,"W",IF(EI30=EK30,"D","L")))</f>
        <v>W</v>
      </c>
      <c r="EM30" s="23"/>
      <c r="EN30" s="23"/>
      <c r="EO30" s="105">
        <v>12</v>
      </c>
      <c r="EP30" s="25" t="s">
        <v>105</v>
      </c>
      <c r="EQ30" s="355">
        <f ca="1">IFERROR(INDIRECT("fixtures!" &amp; Dashboard!J1 &amp;220) - Dashboard!K1/24,"TBC")</f>
        <v>44969.770833333336</v>
      </c>
      <c r="ER30" s="25"/>
      <c r="ES30" s="25" t="s">
        <v>2</v>
      </c>
      <c r="ET30" s="25" t="s">
        <v>108</v>
      </c>
      <c r="EU30" s="105">
        <f>IF(ISBLANK(fixtures!$K220),"",fixtures!$K220)</f>
        <v>3</v>
      </c>
      <c r="EV30" s="25" t="str">
        <f>IF(ISBLANK(fixtures!$L220),"",":")</f>
        <v>:</v>
      </c>
      <c r="EW30" s="107">
        <f>IF(ISBLANK(fixtures!$L220),"",fixtures!$L220)</f>
        <v>1</v>
      </c>
      <c r="EX30" s="25" t="str">
        <f>IF(ISBLANK(fixtures!$L220),"",IF(EU30&gt;EW30,"W",IF(EU30=EW30,"D","L")))</f>
        <v>W</v>
      </c>
      <c r="EY30" s="25"/>
      <c r="EZ30" s="25"/>
      <c r="FA30" s="361">
        <v>8</v>
      </c>
      <c r="FB30" s="27" t="s">
        <v>110</v>
      </c>
      <c r="FC30" s="363">
        <f ca="1">IFERROR(INDIRECT("fixtures!" &amp; Dashboard!J1 &amp;211) - Dashboard!K1/24,"TBC")</f>
        <v>44965.916666666664</v>
      </c>
      <c r="FD30" s="27"/>
      <c r="FE30" s="27" t="s">
        <v>139</v>
      </c>
      <c r="FF30" s="27" t="s">
        <v>108</v>
      </c>
      <c r="FG30" s="361">
        <f>IF(ISBLANK(fixtures!$K211),"",fixtures!$K211)</f>
        <v>2</v>
      </c>
      <c r="FH30" s="27" t="str">
        <f>IF(ISBLANK(fixtures!$L211),"",":")</f>
        <v>:</v>
      </c>
      <c r="FI30" s="362">
        <f>IF(ISBLANK(fixtures!$L211),"",fixtures!$L211)</f>
        <v>2</v>
      </c>
      <c r="FJ30" s="27" t="str">
        <f>IF(ISBLANK(fixtures!$L211),"",IF(FG30&gt;FI30,"W",IF(FG30=FI30,"D","L")))</f>
        <v>D</v>
      </c>
      <c r="FK30" s="27"/>
      <c r="FL30" s="27"/>
      <c r="FM30" s="110">
        <v>11</v>
      </c>
      <c r="FN30" s="112" t="s">
        <v>107</v>
      </c>
      <c r="FO30" s="369">
        <f ca="1">IFERROR(INDIRECT("fixtures!" &amp; Dashboard!J1 &amp;218) - Dashboard!K1/24,"TBC")</f>
        <v>44968.8125</v>
      </c>
      <c r="FP30" s="29"/>
      <c r="FQ30" s="29" t="s">
        <v>3</v>
      </c>
      <c r="FR30" s="29" t="s">
        <v>106</v>
      </c>
      <c r="FS30" s="110">
        <f>IF(ISBLANK(fixtures!$L218),"",fixtures!$L218)</f>
        <v>1</v>
      </c>
      <c r="FT30" s="29" t="str">
        <f>IF(ISBLANK(fixtures!$L218),"",":")</f>
        <v>:</v>
      </c>
      <c r="FU30" s="112">
        <f>IF(ISBLANK(fixtures!$K218),"",fixtures!$K218)</f>
        <v>1</v>
      </c>
      <c r="FV30" s="29" t="str">
        <f>IF(ISBLANK(fixtures!$L218),"",IF(FS30&gt;FU30,"W",IF(FS30=FU30,"D","L")))</f>
        <v>D</v>
      </c>
      <c r="FW30" s="29"/>
      <c r="FX30" s="29"/>
      <c r="FY30" s="375">
        <v>11</v>
      </c>
      <c r="FZ30" s="376" t="s">
        <v>107</v>
      </c>
      <c r="GA30" s="377">
        <f ca="1">IFERROR(INDIRECT("fixtures!" &amp; Dashboard!J1 &amp;215) - Dashboard!K1/24,"TBC")</f>
        <v>44968.708333333336</v>
      </c>
      <c r="GB30" s="264"/>
      <c r="GC30" s="264" t="s">
        <v>126</v>
      </c>
      <c r="GD30" s="264" t="s">
        <v>106</v>
      </c>
      <c r="GE30" s="375">
        <f>IF(ISBLANK(fixtures!$L215),"",fixtures!$L215)</f>
        <v>0</v>
      </c>
      <c r="GF30" s="264" t="str">
        <f>IF(ISBLANK(fixtures!$L215),"",":")</f>
        <v>:</v>
      </c>
      <c r="GG30" s="376">
        <f>IF(ISBLANK(fixtures!$K215),"",fixtures!$K215)</f>
        <v>2</v>
      </c>
      <c r="GH30" s="264" t="str">
        <f>IF(ISBLANK(fixtures!$L215),"",IF(GE30&gt;GG30,"W",IF(GE30=GG30,"D","L")))</f>
        <v>L</v>
      </c>
      <c r="GI30" s="264"/>
      <c r="GJ30" s="264"/>
      <c r="GK30" s="382">
        <v>11</v>
      </c>
      <c r="GL30" s="30" t="s">
        <v>107</v>
      </c>
      <c r="GM30" s="384">
        <f ca="1">IFERROR(INDIRECT("fixtures!" &amp; Dashboard!J1 &amp;217) - Dashboard!K1/24,"TBC")</f>
        <v>44968.708333333336</v>
      </c>
      <c r="GN30" s="30"/>
      <c r="GO30" s="30" t="s">
        <v>16</v>
      </c>
      <c r="GP30" s="30" t="s">
        <v>108</v>
      </c>
      <c r="GQ30" s="382">
        <f>IF(ISBLANK(fixtures!$K217),"",fixtures!$K217)</f>
        <v>1</v>
      </c>
      <c r="GR30" s="30" t="str">
        <f>IF(ISBLANK(fixtures!$L217),"",":")</f>
        <v>:</v>
      </c>
      <c r="GS30" s="383">
        <f>IF(ISBLANK(fixtures!$L217),"",fixtures!$L217)</f>
        <v>2</v>
      </c>
      <c r="GT30" s="30" t="str">
        <f>IF(ISBLANK(fixtures!$L217),"",IF(GQ30&gt;GS30,"W",IF(GQ30=GS30,"D","L")))</f>
        <v>L</v>
      </c>
      <c r="GU30" s="30"/>
      <c r="GV30" s="30"/>
      <c r="GW30" s="115">
        <v>5</v>
      </c>
      <c r="GX30" s="32" t="s">
        <v>105</v>
      </c>
      <c r="GY30" s="390">
        <f ca="1">IFERROR(INDIRECT("fixtures!" &amp; Dashboard!J1 &amp;210) - Dashboard!K1/24,"TBC")</f>
        <v>44962.770833333336</v>
      </c>
      <c r="GZ30" s="32"/>
      <c r="HA30" s="32" t="s">
        <v>10</v>
      </c>
      <c r="HB30" s="32" t="s">
        <v>108</v>
      </c>
      <c r="HC30" s="115">
        <f>IF(ISBLANK(fixtures!$K210),"",fixtures!$K210)</f>
        <v>1</v>
      </c>
      <c r="HD30" s="32" t="str">
        <f>IF(ISBLANK(fixtures!$L210),"",":")</f>
        <v>:</v>
      </c>
      <c r="HE30" s="117">
        <f>IF(ISBLANK(fixtures!$L210),"",fixtures!$L210)</f>
        <v>0</v>
      </c>
      <c r="HF30" s="32" t="str">
        <f>IF(ISBLANK(fixtures!$L210),"",IF(HC30&gt;HE30,"W",IF(HC30=HE30,"D","L")))</f>
        <v>W</v>
      </c>
      <c r="HG30" s="32"/>
      <c r="HH30" s="32"/>
      <c r="HI30" s="120">
        <v>11</v>
      </c>
      <c r="HJ30" s="34" t="s">
        <v>107</v>
      </c>
      <c r="HK30" s="396">
        <f ca="1">IFERROR(INDIRECT("fixtures!" &amp; Dashboard!J1 &amp;212) - Dashboard!K1/24,"TBC")</f>
        <v>44968.604166666664</v>
      </c>
      <c r="HL30" s="34"/>
      <c r="HM30" s="34" t="s">
        <v>5</v>
      </c>
      <c r="HN30" s="34" t="s">
        <v>108</v>
      </c>
      <c r="HO30" s="120">
        <f>IF(ISBLANK(fixtures!$K212),"",fixtures!$K212)</f>
        <v>1</v>
      </c>
      <c r="HP30" s="34" t="str">
        <f>IF(ISBLANK(fixtures!$L212),"",":")</f>
        <v>:</v>
      </c>
      <c r="HQ30" s="122">
        <f>IF(ISBLANK(fixtures!$L212),"",fixtures!$L212)</f>
        <v>1</v>
      </c>
      <c r="HR30" s="34" t="str">
        <f>IF(ISBLANK(fixtures!$L212),"",IF(HO30&gt;HQ30,"W",IF(HO30=HQ30,"D","L")))</f>
        <v>D</v>
      </c>
      <c r="HS30" s="34"/>
      <c r="HT30" s="34"/>
      <c r="HU30" s="125">
        <v>11</v>
      </c>
      <c r="HV30" s="36" t="s">
        <v>107</v>
      </c>
      <c r="HW30" s="402">
        <f ca="1">IFERROR(INDIRECT("fixtures!" &amp; Dashboard!J1 &amp;217) - Dashboard!K1/24,"TBC")</f>
        <v>44968.708333333336</v>
      </c>
      <c r="HX30" s="36"/>
      <c r="HY30" s="36" t="s">
        <v>13</v>
      </c>
      <c r="HZ30" s="36" t="s">
        <v>106</v>
      </c>
      <c r="IA30" s="125">
        <f>IF(ISBLANK(fixtures!$L217),"",fixtures!$L217)</f>
        <v>2</v>
      </c>
      <c r="IB30" s="36" t="str">
        <f>IF(ISBLANK(fixtures!$L217),"",":")</f>
        <v>:</v>
      </c>
      <c r="IC30" s="127">
        <f>IF(ISBLANK(fixtures!$K217),"",fixtures!$K217)</f>
        <v>1</v>
      </c>
      <c r="ID30" s="36" t="str">
        <f>IF(ISBLANK(fixtures!$L217),"",IF(IA30&gt;IC30,"W",IF(IA30=IC30,"D","L")))</f>
        <v>W</v>
      </c>
      <c r="IE30" s="36"/>
      <c r="IF30" s="36"/>
    </row>
    <row r="31" spans="1:243" x14ac:dyDescent="0.4">
      <c r="A31" s="91">
        <v>18</v>
      </c>
      <c r="B31" s="6" t="s">
        <v>107</v>
      </c>
      <c r="C31" s="277">
        <f ca="1">IFERROR(INDIRECT("fixtures!" &amp; Dashboard!J1 &amp;223) - Dashboard!K1/24,"TBC")</f>
        <v>44975.604166666664</v>
      </c>
      <c r="D31" s="6"/>
      <c r="E31" s="6" t="s">
        <v>2</v>
      </c>
      <c r="F31" s="6" t="s">
        <v>106</v>
      </c>
      <c r="G31" s="91">
        <f>IF(ISBLANK(fixtures!$L223),"",fixtures!$L223)</f>
        <v>4</v>
      </c>
      <c r="H31" s="6" t="str">
        <f>IF(ISBLANK(fixtures!$L223),"",":")</f>
        <v>:</v>
      </c>
      <c r="I31" s="93">
        <f>IF(ISBLANK(fixtures!$K223),"",fixtures!$K223)</f>
        <v>2</v>
      </c>
      <c r="J31" s="6" t="str">
        <f>IF(ISBLANK(fixtures!$L223),"",IF(G31&gt;I31,"W",IF(G31=I31,"D","L")))</f>
        <v>W</v>
      </c>
      <c r="K31" s="6"/>
      <c r="L31" s="6"/>
      <c r="M31" s="282">
        <v>18</v>
      </c>
      <c r="N31" s="9" t="s">
        <v>107</v>
      </c>
      <c r="O31" s="284">
        <f ca="1">IFERROR(INDIRECT("fixtures!" &amp; Dashboard!J1 &amp;223) - Dashboard!K1/24,"TBC")</f>
        <v>44975.604166666664</v>
      </c>
      <c r="P31" s="9"/>
      <c r="Q31" s="9" t="s">
        <v>1</v>
      </c>
      <c r="R31" s="9" t="s">
        <v>108</v>
      </c>
      <c r="S31" s="282">
        <f>IF(ISBLANK(fixtures!$K223),"",fixtures!$K223)</f>
        <v>2</v>
      </c>
      <c r="T31" s="9" t="str">
        <f>IF(ISBLANK(fixtures!$L223),"",":")</f>
        <v>:</v>
      </c>
      <c r="U31" s="283">
        <f>IF(ISBLANK(fixtures!$L223),"",fixtures!$L223)</f>
        <v>4</v>
      </c>
      <c r="V31" s="9" t="str">
        <f>IF(ISBLANK(fixtures!$L223),"",IF(S31&gt;U31,"W",IF(S31=U31,"D","L")))</f>
        <v>L</v>
      </c>
      <c r="W31" s="9"/>
      <c r="X31" s="9"/>
      <c r="Y31" s="290">
        <v>18</v>
      </c>
      <c r="Z31" s="262" t="s">
        <v>107</v>
      </c>
      <c r="AA31" s="291">
        <f ca="1">IFERROR(INDIRECT("fixtures!" &amp; Dashboard!J1 &amp;229) - Dashboard!K1/24,"TBC")</f>
        <v>44975.708333333336</v>
      </c>
      <c r="AB31" s="262"/>
      <c r="AC31" s="262" t="s">
        <v>16</v>
      </c>
      <c r="AD31" s="262" t="s">
        <v>106</v>
      </c>
      <c r="AE31" s="290">
        <f>IF(ISBLANK(fixtures!$L229),"",fixtures!$L229)</f>
        <v>1</v>
      </c>
      <c r="AF31" s="262" t="str">
        <f>IF(ISBLANK(fixtures!$L229),"",":")</f>
        <v>:</v>
      </c>
      <c r="AG31" s="292">
        <f>IF(ISBLANK(fixtures!$K229),"",fixtures!$K229)</f>
        <v>0</v>
      </c>
      <c r="AH31" s="262" t="str">
        <f>IF(ISBLANK(fixtures!$L229),"",IF(AE31&gt;AG31,"W",IF(AE31=AG31,"D","L")))</f>
        <v>W</v>
      </c>
      <c r="AI31" s="262"/>
      <c r="AJ31" s="262"/>
      <c r="AK31" s="411">
        <v>18</v>
      </c>
      <c r="AL31" s="410" t="s">
        <v>107</v>
      </c>
      <c r="AM31" s="413">
        <f ca="1">IFERROR(INDIRECT("fixtures!" &amp; Dashboard!J1 &amp;224) - Dashboard!K1/24,"TBC")</f>
        <v>44975.708333333336</v>
      </c>
      <c r="AN31" s="410"/>
      <c r="AO31" s="410" t="s">
        <v>6</v>
      </c>
      <c r="AP31" s="410" t="s">
        <v>108</v>
      </c>
      <c r="AQ31" s="411">
        <f>IF(ISBLANK(fixtures!$K224),"",fixtures!$K224)</f>
        <v>1</v>
      </c>
      <c r="AR31" s="410" t="str">
        <f>IF(ISBLANK(fixtures!$L224),"",":")</f>
        <v>:</v>
      </c>
      <c r="AS31" s="412">
        <f>IF(ISBLANK(fixtures!$L224),"",fixtures!$L224)</f>
        <v>1</v>
      </c>
      <c r="AT31" s="410" t="str">
        <f>IF(ISBLANK(fixtures!$L224),"",IF(AQ31&gt;AS31,"W",IF(AQ31=AS31,"D","L")))</f>
        <v>D</v>
      </c>
      <c r="AU31" s="410"/>
      <c r="AV31" s="410"/>
      <c r="AW31" s="299" t="s">
        <v>24</v>
      </c>
      <c r="AX31" s="11"/>
      <c r="AY31" s="298"/>
      <c r="AZ31" s="11"/>
      <c r="BA31" s="11"/>
      <c r="BB31" s="11"/>
      <c r="BC31" s="96"/>
      <c r="BD31" s="11"/>
      <c r="BE31" s="98"/>
      <c r="BF31" s="11"/>
      <c r="BG31" s="11"/>
      <c r="BH31" s="11"/>
      <c r="BI31" s="181">
        <v>18</v>
      </c>
      <c r="BJ31" s="15" t="s">
        <v>107</v>
      </c>
      <c r="BK31" s="304">
        <f ca="1">IFERROR(INDIRECT("fixtures!" &amp; Dashboard!J1 &amp;226) - Dashboard!K1/24,"TBC")</f>
        <v>44975.708333333336</v>
      </c>
      <c r="BL31" s="15"/>
      <c r="BM31" s="15" t="s">
        <v>13</v>
      </c>
      <c r="BN31" s="15" t="s">
        <v>108</v>
      </c>
      <c r="BO31" s="181">
        <f>IF(ISBLANK(fixtures!$K226),"",fixtures!$K226)</f>
        <v>0</v>
      </c>
      <c r="BP31" s="15" t="str">
        <f>IF(ISBLANK(fixtures!$L226),"",":")</f>
        <v>:</v>
      </c>
      <c r="BQ31" s="183">
        <f>IF(ISBLANK(fixtures!$L226),"",fixtures!$L226)</f>
        <v>1</v>
      </c>
      <c r="BR31" s="15" t="str">
        <f>IF(ISBLANK(fixtures!$L226),"",IF(BO31&gt;BQ31,"W",IF(BO31=BQ31,"D","L")))</f>
        <v>L</v>
      </c>
      <c r="BS31" s="15"/>
      <c r="BT31" s="15"/>
      <c r="BU31" s="310">
        <v>18</v>
      </c>
      <c r="BV31" s="16" t="s">
        <v>107</v>
      </c>
      <c r="BW31" s="312">
        <f ca="1">IFERROR(INDIRECT("fixtures!" &amp; Dashboard!J1 &amp;224) - Dashboard!K1/24,"TBC")</f>
        <v>44975.708333333336</v>
      </c>
      <c r="BX31" s="16"/>
      <c r="BY31" s="16" t="s">
        <v>125</v>
      </c>
      <c r="BZ31" s="16" t="s">
        <v>106</v>
      </c>
      <c r="CA31" s="310">
        <f>IF(ISBLANK(fixtures!$L224),"",fixtures!$L224)</f>
        <v>1</v>
      </c>
      <c r="CB31" s="16" t="str">
        <f>IF(ISBLANK(fixtures!$L224),"",":")</f>
        <v>:</v>
      </c>
      <c r="CC31" s="311">
        <f>IF(ISBLANK(fixtures!$K224),"",fixtures!$K224)</f>
        <v>1</v>
      </c>
      <c r="CD31" s="16" t="str">
        <f>IF(ISBLANK(fixtures!$L224),"",IF(CA31&gt;CC31,"W",IF(CA31=CC31,"D","L")))</f>
        <v>D</v>
      </c>
      <c r="CE31" s="16"/>
      <c r="CF31" s="16"/>
      <c r="CG31" s="318">
        <v>18</v>
      </c>
      <c r="CH31" s="19" t="s">
        <v>107</v>
      </c>
      <c r="CI31" s="320">
        <f ca="1">IFERROR(INDIRECT("fixtures!" &amp; Dashboard!J1 &amp;227) - Dashboard!K1/24,"TBC")</f>
        <v>44975.708333333336</v>
      </c>
      <c r="CJ31" s="19"/>
      <c r="CK31" s="19" t="s">
        <v>139</v>
      </c>
      <c r="CL31" s="19" t="s">
        <v>108</v>
      </c>
      <c r="CM31" s="318">
        <f>IF(ISBLANK(fixtures!$K227),"",fixtures!$K227)</f>
        <v>1</v>
      </c>
      <c r="CN31" s="19" t="str">
        <f>IF(ISBLANK(fixtures!$L227),"",":")</f>
        <v>:</v>
      </c>
      <c r="CO31" s="319">
        <f>IF(ISBLANK(fixtures!$L227),"",fixtures!$L227)</f>
        <v>0</v>
      </c>
      <c r="CP31" s="19" t="str">
        <f>IF(ISBLANK(fixtures!$L227),"",IF(CM31&gt;CO31,"W",IF(CM31=CO31,"D","L")))</f>
        <v>W</v>
      </c>
      <c r="CQ31" s="19"/>
      <c r="CR31" s="19"/>
      <c r="CS31" s="326">
        <v>11</v>
      </c>
      <c r="CT31" s="178" t="s">
        <v>107</v>
      </c>
      <c r="CU31" s="328">
        <f ca="1">IFERROR(INDIRECT("fixtures!" &amp; Dashboard!J1 &amp;215) - Dashboard!K1/24,"TBC")</f>
        <v>44968.708333333336</v>
      </c>
      <c r="CV31" s="178"/>
      <c r="CW31" s="178" t="s">
        <v>204</v>
      </c>
      <c r="CX31" s="178" t="s">
        <v>108</v>
      </c>
      <c r="CY31" s="326">
        <f>IF(ISBLANK(fixtures!$K215),"",fixtures!$K215)</f>
        <v>2</v>
      </c>
      <c r="CZ31" s="178" t="str">
        <f>IF(ISBLANK(fixtures!$L215),"",":")</f>
        <v>:</v>
      </c>
      <c r="DA31" s="327">
        <f>IF(ISBLANK(fixtures!$L215),"",fixtures!$L215)</f>
        <v>0</v>
      </c>
      <c r="DB31" s="178" t="str">
        <f>IF(ISBLANK(fixtures!$L215),"",IF(CY31&gt;DA31,"W",IF(CY31=DA31,"D","L")))</f>
        <v>W</v>
      </c>
      <c r="DC31" s="178"/>
      <c r="DD31" s="178"/>
      <c r="DE31" s="334">
        <v>18</v>
      </c>
      <c r="DF31" s="335" t="s">
        <v>107</v>
      </c>
      <c r="DG31" s="336">
        <f ca="1">IFERROR(INDIRECT("fixtures!" &amp; Dashboard!J1 &amp;227) - Dashboard!K1/24,"TBC")</f>
        <v>44975.708333333336</v>
      </c>
      <c r="DH31" s="177"/>
      <c r="DI31" s="177" t="s">
        <v>7</v>
      </c>
      <c r="DJ31" s="177" t="s">
        <v>106</v>
      </c>
      <c r="DK31" s="334">
        <f>IF(ISBLANK(fixtures!$L227),"",fixtures!$L227)</f>
        <v>0</v>
      </c>
      <c r="DL31" s="177" t="str">
        <f>IF(ISBLANK(fixtures!$L227),"",":")</f>
        <v>:</v>
      </c>
      <c r="DM31" s="335">
        <f>IF(ISBLANK(fixtures!$K227),"",fixtures!$K227)</f>
        <v>1</v>
      </c>
      <c r="DN31" s="177" t="str">
        <f>IF(ISBLANK(fixtures!$L227),"",IF(DK31&gt;DM31,"W",IF(DK31=DM31,"D","L")))</f>
        <v>L</v>
      </c>
      <c r="DO31" s="177"/>
      <c r="DP31" s="177"/>
      <c r="DQ31" s="341">
        <v>19</v>
      </c>
      <c r="DR31" s="21" t="s">
        <v>105</v>
      </c>
      <c r="DS31" s="343">
        <f ca="1">IFERROR(INDIRECT("fixtures!" &amp; Dashboard!J1 &amp;231) - Dashboard!K1/24,"TBC")</f>
        <v>44976.666666666664</v>
      </c>
      <c r="DT31" s="21"/>
      <c r="DU31" s="21" t="s">
        <v>11</v>
      </c>
      <c r="DV31" s="21" t="s">
        <v>106</v>
      </c>
      <c r="DW31" s="341">
        <f>IF(ISBLANK(fixtures!$L231),"",fixtures!$L231)</f>
        <v>0</v>
      </c>
      <c r="DX31" s="21" t="str">
        <f>IF(ISBLANK(fixtures!$L231),"",":")</f>
        <v>:</v>
      </c>
      <c r="DY31" s="342">
        <f>IF(ISBLANK(fixtures!$K231),"",fixtures!$K231)</f>
        <v>3</v>
      </c>
      <c r="DZ31" s="21" t="str">
        <f>IF(ISBLANK(fixtures!$L231),"",IF(DW31&gt;DY31,"W",IF(DW31=DY31,"D","L")))</f>
        <v>L</v>
      </c>
      <c r="EA31" s="21"/>
      <c r="EB31" s="21"/>
      <c r="EC31" s="270">
        <v>25</v>
      </c>
      <c r="ED31" s="23" t="s">
        <v>107</v>
      </c>
      <c r="EE31" s="349">
        <f ca="1">IFERROR(INDIRECT("fixtures!" &amp; Dashboard!J1 &amp;239) - Dashboard!K1/24,"TBC")</f>
        <v>44982.90625</v>
      </c>
      <c r="EF31" s="23"/>
      <c r="EG31" s="23" t="s">
        <v>6</v>
      </c>
      <c r="EH31" s="23" t="s">
        <v>106</v>
      </c>
      <c r="EI31" s="270">
        <f>IF(ISBLANK(fixtures!$L239),"",fixtures!$L239)</f>
        <v>0</v>
      </c>
      <c r="EJ31" s="23" t="str">
        <f>IF(ISBLANK(fixtures!$L239),"",":")</f>
        <v>:</v>
      </c>
      <c r="EK31" s="272">
        <f>IF(ISBLANK(fixtures!$K239),"",fixtures!$K239)</f>
        <v>0</v>
      </c>
      <c r="EL31" s="23" t="str">
        <f>IF(ISBLANK(fixtures!$L239),"",IF(EI31&gt;EK31,"W",IF(EI31=EK31,"D","L")))</f>
        <v>D</v>
      </c>
      <c r="EM31" s="23"/>
      <c r="EN31" s="23"/>
      <c r="EO31" s="105">
        <v>15</v>
      </c>
      <c r="EP31" s="25" t="s">
        <v>110</v>
      </c>
      <c r="EQ31" s="355">
        <f ca="1">IFERROR(INDIRECT("fixtures!" &amp; Dashboard!J1 &amp;222) - Dashboard!K1/24,"TBC")</f>
        <v>44972.895833333336</v>
      </c>
      <c r="ER31" s="25"/>
      <c r="ES31" s="25" t="s">
        <v>1</v>
      </c>
      <c r="ET31" s="25" t="s">
        <v>106</v>
      </c>
      <c r="EU31" s="105">
        <f>IF(ISBLANK(fixtures!$L222),"",fixtures!$L222)</f>
        <v>3</v>
      </c>
      <c r="EV31" s="25" t="str">
        <f>IF(ISBLANK(fixtures!$L222),"",":")</f>
        <v>:</v>
      </c>
      <c r="EW31" s="107">
        <f>IF(ISBLANK(fixtures!$K222),"",fixtures!$K222)</f>
        <v>1</v>
      </c>
      <c r="EX31" s="25" t="str">
        <f>IF(ISBLANK(fixtures!$L222),"",IF(EU31&gt;EW31,"W",IF(EU31=EW31,"D","L")))</f>
        <v>W</v>
      </c>
      <c r="EY31" s="25"/>
      <c r="EZ31" s="25"/>
      <c r="FA31" s="361">
        <v>12</v>
      </c>
      <c r="FB31" s="27" t="s">
        <v>105</v>
      </c>
      <c r="FC31" s="363">
        <f ca="1">IFERROR(INDIRECT("fixtures!" &amp; Dashboard!J1 &amp;219) - Dashboard!K1/24,"TBC")</f>
        <v>44969.666666666664</v>
      </c>
      <c r="FD31" s="27"/>
      <c r="FE31" s="27" t="s">
        <v>139</v>
      </c>
      <c r="FF31" s="27" t="s">
        <v>106</v>
      </c>
      <c r="FG31" s="361">
        <f>IF(ISBLANK(fixtures!$L219),"",fixtures!$L219)</f>
        <v>2</v>
      </c>
      <c r="FH31" s="27" t="str">
        <f>IF(ISBLANK(fixtures!$L219),"",":")</f>
        <v>:</v>
      </c>
      <c r="FI31" s="362">
        <f>IF(ISBLANK(fixtures!$K219),"",fixtures!$K219)</f>
        <v>0</v>
      </c>
      <c r="FJ31" s="27" t="str">
        <f>IF(ISBLANK(fixtures!$L219),"",IF(FG31&gt;FI31,"W",IF(FG31=FI31,"D","L")))</f>
        <v>W</v>
      </c>
      <c r="FK31" s="27"/>
      <c r="FL31" s="27"/>
      <c r="FM31" s="110">
        <v>18</v>
      </c>
      <c r="FN31" s="29" t="s">
        <v>107</v>
      </c>
      <c r="FO31" s="369">
        <f ca="1">IFERROR(INDIRECT("fixtures!" &amp; Dashboard!J1 &amp;230) - Dashboard!K1/24,"TBC")</f>
        <v>44975.8125</v>
      </c>
      <c r="FP31" s="29"/>
      <c r="FQ31" s="29" t="s">
        <v>9</v>
      </c>
      <c r="FR31" s="29" t="s">
        <v>108</v>
      </c>
      <c r="FS31" s="110">
        <f>IF(ISBLANK(fixtures!$K230),"",fixtures!$K230)</f>
        <v>0</v>
      </c>
      <c r="FT31" s="29" t="str">
        <f>IF(ISBLANK(fixtures!$L230),"",":")</f>
        <v>:</v>
      </c>
      <c r="FU31" s="112">
        <f>IF(ISBLANK(fixtures!$L230),"",fixtures!$L230)</f>
        <v>2</v>
      </c>
      <c r="FV31" s="29" t="str">
        <f>IF(ISBLANK(fixtures!$L230),"",IF(FS31&gt;FU31,"W",IF(FS31=FU31,"D","L")))</f>
        <v>L</v>
      </c>
      <c r="FW31" s="29"/>
      <c r="FX31" s="29"/>
      <c r="FY31" s="375">
        <v>18</v>
      </c>
      <c r="FZ31" s="264" t="s">
        <v>107</v>
      </c>
      <c r="GA31" s="377">
        <f ca="1">IFERROR(INDIRECT("fixtures!" &amp; Dashboard!J1 &amp;228) - Dashboard!K1/24,"TBC")</f>
        <v>44975.708333333336</v>
      </c>
      <c r="GB31" s="264"/>
      <c r="GC31" s="264" t="s">
        <v>10</v>
      </c>
      <c r="GD31" s="264" t="s">
        <v>108</v>
      </c>
      <c r="GE31" s="375">
        <f>IF(ISBLANK(fixtures!$K228),"",fixtures!$K228)</f>
        <v>1</v>
      </c>
      <c r="GF31" s="264" t="str">
        <f>IF(ISBLANK(fixtures!$L228),"",":")</f>
        <v>:</v>
      </c>
      <c r="GG31" s="376">
        <f>IF(ISBLANK(fixtures!$L228),"",fixtures!$L228)</f>
        <v>1</v>
      </c>
      <c r="GH31" s="264" t="str">
        <f>IF(ISBLANK(fixtures!$L228),"",IF(GE31&gt;GG31,"W",IF(GE31=GG31,"D","L")))</f>
        <v>D</v>
      </c>
      <c r="GI31" s="264"/>
      <c r="GJ31" s="264"/>
      <c r="GK31" s="382">
        <v>18</v>
      </c>
      <c r="GL31" s="30" t="s">
        <v>107</v>
      </c>
      <c r="GM31" s="384">
        <f ca="1">IFERROR(INDIRECT("fixtures!" &amp; Dashboard!J1 &amp;226) - Dashboard!K1/24,"TBC")</f>
        <v>44975.708333333336</v>
      </c>
      <c r="GN31" s="30"/>
      <c r="GO31" s="30" t="s">
        <v>5</v>
      </c>
      <c r="GP31" s="30" t="s">
        <v>106</v>
      </c>
      <c r="GQ31" s="382">
        <f>IF(ISBLANK(fixtures!$L226),"",fixtures!$L226)</f>
        <v>1</v>
      </c>
      <c r="GR31" s="30" t="str">
        <f>IF(ISBLANK(fixtures!$L226),"",":")</f>
        <v>:</v>
      </c>
      <c r="GS31" s="383">
        <f>IF(ISBLANK(fixtures!$K226),"",fixtures!$K226)</f>
        <v>0</v>
      </c>
      <c r="GT31" s="30" t="str">
        <f>IF(ISBLANK(fixtures!$L226),"",IF(GQ31&gt;GS31,"W",IF(GQ31=GS31,"D","L")))</f>
        <v>W</v>
      </c>
      <c r="GU31" s="30"/>
      <c r="GV31" s="30"/>
      <c r="GW31" s="115">
        <v>11</v>
      </c>
      <c r="GX31" s="32" t="s">
        <v>107</v>
      </c>
      <c r="GY31" s="390">
        <f ca="1">IFERROR(INDIRECT("fixtures!" &amp; Dashboard!J1 &amp;216) - Dashboard!K1/24,"TBC")</f>
        <v>44968.708333333336</v>
      </c>
      <c r="GZ31" s="32"/>
      <c r="HA31" s="32" t="s">
        <v>8</v>
      </c>
      <c r="HB31" s="32" t="s">
        <v>106</v>
      </c>
      <c r="HC31" s="115">
        <f>IF(ISBLANK(fixtures!$L216),"",fixtures!$L216)</f>
        <v>1</v>
      </c>
      <c r="HD31" s="32" t="str">
        <f>IF(ISBLANK(fixtures!$L216),"",":")</f>
        <v>:</v>
      </c>
      <c r="HE31" s="117">
        <f>IF(ISBLANK(fixtures!$K216),"",fixtures!$K216)</f>
        <v>4</v>
      </c>
      <c r="HF31" s="32" t="str">
        <f>IF(ISBLANK(fixtures!$L216),"",IF(HC31&gt;HE31,"W",IF(HC31=HE31,"D","L")))</f>
        <v>L</v>
      </c>
      <c r="HG31" s="32"/>
      <c r="HH31" s="32"/>
      <c r="HI31" s="120">
        <v>19</v>
      </c>
      <c r="HJ31" s="34" t="s">
        <v>105</v>
      </c>
      <c r="HK31" s="396">
        <f ca="1">IFERROR(INDIRECT("fixtures!" &amp; Dashboard!J1 &amp;232) - Dashboard!K1/24,"TBC")</f>
        <v>44976.770833333336</v>
      </c>
      <c r="HL31" s="34"/>
      <c r="HM31" s="34" t="s">
        <v>14</v>
      </c>
      <c r="HN31" s="34" t="s">
        <v>106</v>
      </c>
      <c r="HO31" s="120">
        <f>IF(ISBLANK(fixtures!$L232),"",fixtures!$L232)</f>
        <v>0</v>
      </c>
      <c r="HP31" s="34" t="str">
        <f>IF(ISBLANK(fixtures!$L232),"",":")</f>
        <v>:</v>
      </c>
      <c r="HQ31" s="122">
        <f>IF(ISBLANK(fixtures!$K232),"",fixtures!$K232)</f>
        <v>2</v>
      </c>
      <c r="HR31" s="34" t="str">
        <f>IF(ISBLANK(fixtures!$L232),"",IF(HO31&gt;HQ31,"W",IF(HO31=HQ31,"D","L")))</f>
        <v>L</v>
      </c>
      <c r="HS31" s="34"/>
      <c r="HT31" s="34"/>
      <c r="HU31" s="125">
        <v>18</v>
      </c>
      <c r="HV31" s="36" t="s">
        <v>107</v>
      </c>
      <c r="HW31" s="402">
        <f ca="1">IFERROR(INDIRECT("fixtures!" &amp; Dashboard!J1 &amp;229) - Dashboard!K1/24,"TBC")</f>
        <v>44975.708333333336</v>
      </c>
      <c r="HX31" s="36"/>
      <c r="HY31" s="36" t="s">
        <v>3</v>
      </c>
      <c r="HZ31" s="36" t="s">
        <v>108</v>
      </c>
      <c r="IA31" s="125">
        <f>IF(ISBLANK(fixtures!$K229),"",fixtures!$K229)</f>
        <v>0</v>
      </c>
      <c r="IB31" s="36" t="str">
        <f>IF(ISBLANK(fixtures!$L229),"",":")</f>
        <v>:</v>
      </c>
      <c r="IC31" s="127">
        <f>IF(ISBLANK(fixtures!$L229),"",fixtures!$L229)</f>
        <v>1</v>
      </c>
      <c r="ID31" s="36" t="str">
        <f>IF(ISBLANK(fixtures!$L229),"",IF(IA31&gt;IC31,"W",IF(IA31=IC31,"D","L")))</f>
        <v>L</v>
      </c>
      <c r="IE31" s="36"/>
      <c r="IF31" s="36"/>
      <c r="II31" s="142"/>
    </row>
    <row r="32" spans="1:243" x14ac:dyDescent="0.4">
      <c r="A32" s="91">
        <v>25</v>
      </c>
      <c r="B32" s="6" t="s">
        <v>107</v>
      </c>
      <c r="C32" s="277">
        <f ca="1">IFERROR(INDIRECT("fixtures!" &amp; Dashboard!J1 &amp;236) - Dashboard!K1/24,"TBC")</f>
        <v>44982.708333333336</v>
      </c>
      <c r="D32" s="6"/>
      <c r="E32" s="6" t="s">
        <v>8</v>
      </c>
      <c r="F32" s="6" t="s">
        <v>106</v>
      </c>
      <c r="G32" s="91">
        <f>IF(ISBLANK(fixtures!$L236),"",fixtures!$L236)</f>
        <v>1</v>
      </c>
      <c r="H32" s="6" t="str">
        <f>IF(ISBLANK(fixtures!$L236),"",":")</f>
        <v>:</v>
      </c>
      <c r="I32" s="93">
        <f>IF(ISBLANK(fixtures!$K236),"",fixtures!$K236)</f>
        <v>0</v>
      </c>
      <c r="J32" s="6" t="str">
        <f>IF(ISBLANK(fixtures!$L236),"",IF(G32&gt;I32,"W",IF(G32=I32,"D","L")))</f>
        <v>W</v>
      </c>
      <c r="K32" s="6"/>
      <c r="L32" s="6"/>
      <c r="M32" s="282">
        <v>25</v>
      </c>
      <c r="N32" s="9" t="s">
        <v>107</v>
      </c>
      <c r="O32" s="284">
        <f ca="1">IFERROR(INDIRECT("fixtures!" &amp; Dashboard!J1 &amp;234) - Dashboard!K1/24,"TBC")</f>
        <v>44982.708333333336</v>
      </c>
      <c r="P32" s="9"/>
      <c r="Q32" s="9" t="s">
        <v>7</v>
      </c>
      <c r="R32" s="9" t="s">
        <v>106</v>
      </c>
      <c r="S32" s="282">
        <f>IF(ISBLANK(fixtures!$L234),"",fixtures!$L234)</f>
        <v>2</v>
      </c>
      <c r="T32" s="9" t="str">
        <f>IF(ISBLANK(fixtures!$L234),"",":")</f>
        <v>:</v>
      </c>
      <c r="U32" s="283">
        <f>IF(ISBLANK(fixtures!$K234),"",fixtures!$K234)</f>
        <v>0</v>
      </c>
      <c r="V32" s="9" t="str">
        <f>IF(ISBLANK(fixtures!$L234),"",IF(S32&gt;U32,"W",IF(S32=U32,"D","L")))</f>
        <v>W</v>
      </c>
      <c r="W32" s="9"/>
      <c r="X32" s="9"/>
      <c r="Y32" s="290">
        <v>25</v>
      </c>
      <c r="Z32" s="262" t="s">
        <v>107</v>
      </c>
      <c r="AA32" s="291">
        <f ca="1">IFERROR(INDIRECT("fixtures!" &amp; Dashboard!J1 &amp;238) - Dashboard!K1/24,"TBC")</f>
        <v>44982.8125</v>
      </c>
      <c r="AB32" s="262"/>
      <c r="AC32" s="262" t="s">
        <v>10</v>
      </c>
      <c r="AD32" s="262" t="s">
        <v>108</v>
      </c>
      <c r="AE32" s="290">
        <f>IF(ISBLANK(fixtures!$K238),"",fixtures!$K238)</f>
        <v>1</v>
      </c>
      <c r="AF32" s="262" t="str">
        <f>IF(ISBLANK(fixtures!$L238),"",":")</f>
        <v>:</v>
      </c>
      <c r="AG32" s="292">
        <f>IF(ISBLANK(fixtures!$L238),"",fixtures!$L238)</f>
        <v>4</v>
      </c>
      <c r="AH32" s="262" t="str">
        <f>IF(ISBLANK(fixtures!$L238),"",IF(AE32&gt;AG32,"W",IF(AE32=AG32,"D","L")))</f>
        <v>L</v>
      </c>
      <c r="AI32" s="262"/>
      <c r="AJ32" s="262"/>
      <c r="AK32" s="414" t="s">
        <v>24</v>
      </c>
      <c r="AL32" s="412"/>
      <c r="AM32" s="413"/>
      <c r="AN32" s="410"/>
      <c r="AO32" s="410"/>
      <c r="AP32" s="410"/>
      <c r="AQ32" s="411"/>
      <c r="AR32" s="410"/>
      <c r="AS32" s="412"/>
      <c r="AT32" s="410"/>
      <c r="AU32" s="410"/>
      <c r="AV32" s="410"/>
      <c r="AW32" s="96">
        <v>4</v>
      </c>
      <c r="AX32" s="11" t="s">
        <v>107</v>
      </c>
      <c r="AY32" s="298">
        <f ca="1">IFERROR(INDIRECT("fixtures!" &amp; Dashboard!J1 &amp;246) - Dashboard!K1/24,"TBC")</f>
        <v>44989.708333333336</v>
      </c>
      <c r="AZ32" s="11"/>
      <c r="BA32" s="11" t="s">
        <v>15</v>
      </c>
      <c r="BB32" s="11" t="s">
        <v>108</v>
      </c>
      <c r="BC32" s="96">
        <f>IF(ISBLANK(fixtures!$K246),"",fixtures!$K246)</f>
        <v>4</v>
      </c>
      <c r="BD32" s="11" t="str">
        <f>IF(ISBLANK(fixtures!$L246),"",":")</f>
        <v>:</v>
      </c>
      <c r="BE32" s="98">
        <f>IF(ISBLANK(fixtures!$L246),"",fixtures!$L246)</f>
        <v>0</v>
      </c>
      <c r="BF32" s="11" t="str">
        <f>IF(ISBLANK(fixtures!$L246),"",IF(BC32&gt;BE32,"W",IF(BC32=BE32,"D","L")))</f>
        <v>W</v>
      </c>
      <c r="BG32" s="11"/>
      <c r="BH32" s="11"/>
      <c r="BI32" s="181">
        <v>26</v>
      </c>
      <c r="BJ32" s="183" t="s">
        <v>105</v>
      </c>
      <c r="BK32" s="304">
        <f ca="1">IFERROR(INDIRECT("fixtures!" &amp; Dashboard!J1 &amp;240) - Dashboard!K1/24,"TBC")</f>
        <v>44983.645833333336</v>
      </c>
      <c r="BL32" s="15"/>
      <c r="BM32" s="15" t="s">
        <v>14</v>
      </c>
      <c r="BN32" s="15" t="s">
        <v>106</v>
      </c>
      <c r="BO32" s="181">
        <f>IF(ISBLANK(fixtures!$L240),"",fixtures!$L240)</f>
        <v>0</v>
      </c>
      <c r="BP32" s="15" t="str">
        <f>IF(ISBLANK(fixtures!$L240),"",":")</f>
        <v>:</v>
      </c>
      <c r="BQ32" s="183">
        <f>IF(ISBLANK(fixtures!$K240),"",fixtures!$K240)</f>
        <v>2</v>
      </c>
      <c r="BR32" s="15" t="str">
        <f>IF(ISBLANK(fixtures!$L240),"",IF(BO32&gt;BQ32,"W",IF(BO32=BQ32,"D","L")))</f>
        <v>L</v>
      </c>
      <c r="BS32" s="15"/>
      <c r="BT32" s="15"/>
      <c r="BU32" s="310">
        <v>25</v>
      </c>
      <c r="BV32" s="16" t="s">
        <v>107</v>
      </c>
      <c r="BW32" s="312">
        <f ca="1">IFERROR(INDIRECT("fixtures!" &amp; Dashboard!J1 &amp;239) - Dashboard!K1/24,"TBC")</f>
        <v>44982.90625</v>
      </c>
      <c r="BX32" s="16"/>
      <c r="BY32" s="16" t="s">
        <v>9</v>
      </c>
      <c r="BZ32" s="16" t="s">
        <v>108</v>
      </c>
      <c r="CA32" s="310">
        <f>IF(ISBLANK(fixtures!$K239),"",fixtures!$K239)</f>
        <v>0</v>
      </c>
      <c r="CB32" s="16" t="str">
        <f>IF(ISBLANK(fixtures!$L239),"",":")</f>
        <v>:</v>
      </c>
      <c r="CC32" s="311">
        <f>IF(ISBLANK(fixtures!$L239),"",fixtures!$L239)</f>
        <v>0</v>
      </c>
      <c r="CD32" s="16" t="str">
        <f>IF(ISBLANK(fixtures!$L239),"",IF(CA32&gt;CC32,"W",IF(CA32=CC32,"D","L")))</f>
        <v>D</v>
      </c>
      <c r="CE32" s="16"/>
      <c r="CF32" s="16"/>
      <c r="CG32" s="318">
        <v>25</v>
      </c>
      <c r="CH32" s="19" t="s">
        <v>107</v>
      </c>
      <c r="CI32" s="320">
        <f ca="1">IFERROR(INDIRECT("fixtures!" &amp; Dashboard!J1 &amp;234) - Dashboard!K1/24,"TBC")</f>
        <v>44982.708333333336</v>
      </c>
      <c r="CJ32" s="19"/>
      <c r="CK32" s="19" t="s">
        <v>2</v>
      </c>
      <c r="CL32" s="19" t="s">
        <v>108</v>
      </c>
      <c r="CM32" s="318">
        <f>IF(ISBLANK(fixtures!$K234),"",fixtures!$K234)</f>
        <v>0</v>
      </c>
      <c r="CN32" s="19" t="str">
        <f>IF(ISBLANK(fixtures!$L234),"",":")</f>
        <v>:</v>
      </c>
      <c r="CO32" s="319">
        <f>IF(ISBLANK(fixtures!$L234),"",fixtures!$L234)</f>
        <v>2</v>
      </c>
      <c r="CP32" s="19" t="str">
        <f>IF(ISBLANK(fixtures!$L234),"",IF(CM32&gt;CO32,"W",IF(CM32=CO32,"D","L")))</f>
        <v>L</v>
      </c>
      <c r="CQ32" s="19"/>
      <c r="CR32" s="19"/>
      <c r="CS32" s="326">
        <v>18</v>
      </c>
      <c r="CT32" s="178" t="s">
        <v>107</v>
      </c>
      <c r="CU32" s="328">
        <f ca="1">IFERROR(INDIRECT("fixtures!" &amp; Dashboard!J1 &amp;225) - Dashboard!K1/24,"TBC")</f>
        <v>44975.708333333336</v>
      </c>
      <c r="CV32" s="178"/>
      <c r="CW32" s="178" t="s">
        <v>4</v>
      </c>
      <c r="CX32" s="178" t="s">
        <v>106</v>
      </c>
      <c r="CY32" s="326">
        <f>IF(ISBLANK(fixtures!$L225),"",fixtures!$L225)</f>
        <v>1</v>
      </c>
      <c r="CZ32" s="178" t="str">
        <f>IF(ISBLANK(fixtures!$L225),"",":")</f>
        <v>:</v>
      </c>
      <c r="DA32" s="327">
        <f>IF(ISBLANK(fixtures!$K225),"",fixtures!$K225)</f>
        <v>0</v>
      </c>
      <c r="DB32" s="178" t="str">
        <f>IF(ISBLANK(fixtures!$L225),"",IF(CY32&gt;DA32,"W",IF(CY32=DA32,"D","L")))</f>
        <v>W</v>
      </c>
      <c r="DC32" s="178"/>
      <c r="DD32" s="178"/>
      <c r="DE32" s="334">
        <v>25</v>
      </c>
      <c r="DF32" s="335" t="s">
        <v>107</v>
      </c>
      <c r="DG32" s="336">
        <f ca="1">IFERROR(INDIRECT("fixtures!" &amp; Dashboard!J1 &amp;235) - Dashboard!K1/24,"TBC")</f>
        <v>44982.708333333336</v>
      </c>
      <c r="DH32" s="177"/>
      <c r="DI32" s="177" t="s">
        <v>13</v>
      </c>
      <c r="DJ32" s="177" t="s">
        <v>108</v>
      </c>
      <c r="DK32" s="334">
        <f>IF(ISBLANK(fixtures!$K235),"",fixtures!$K235)</f>
        <v>1</v>
      </c>
      <c r="DL32" s="177" t="str">
        <f>IF(ISBLANK(fixtures!$L235),"",":")</f>
        <v>:</v>
      </c>
      <c r="DM32" s="335">
        <f>IF(ISBLANK(fixtures!$L235),"",fixtures!$L235)</f>
        <v>0</v>
      </c>
      <c r="DN32" s="177" t="str">
        <f>IF(ISBLANK(fixtures!$L235),"",IF(DK32&gt;DM32,"W",IF(DK32=DM32,"D","L")))</f>
        <v>W</v>
      </c>
      <c r="DO32" s="177"/>
      <c r="DP32" s="177"/>
      <c r="DQ32" s="341">
        <v>25</v>
      </c>
      <c r="DR32" s="21" t="s">
        <v>107</v>
      </c>
      <c r="DS32" s="343">
        <f ca="1">IFERROR(INDIRECT("fixtures!" &amp; Dashboard!J1 &amp;236) - Dashboard!K1/24,"TBC")</f>
        <v>44982.708333333336</v>
      </c>
      <c r="DT32" s="21"/>
      <c r="DU32" s="21" t="s">
        <v>1</v>
      </c>
      <c r="DV32" s="21" t="s">
        <v>108</v>
      </c>
      <c r="DW32" s="341">
        <f>IF(ISBLANK(fixtures!$K236),"",fixtures!$K236)</f>
        <v>0</v>
      </c>
      <c r="DX32" s="21" t="str">
        <f>IF(ISBLANK(fixtures!$L236),"",":")</f>
        <v>:</v>
      </c>
      <c r="DY32" s="342">
        <f>IF(ISBLANK(fixtures!$L236),"",fixtures!$L236)</f>
        <v>1</v>
      </c>
      <c r="DZ32" s="21" t="str">
        <f>IF(ISBLANK(fixtures!$L236),"",IF(DW32&gt;DY32,"W",IF(DW32=DY32,"D","L")))</f>
        <v>L</v>
      </c>
      <c r="EA32" s="21"/>
      <c r="EB32" s="21"/>
      <c r="EC32" s="350" t="s">
        <v>24</v>
      </c>
      <c r="ED32" s="23"/>
      <c r="EE32" s="349"/>
      <c r="EF32" s="23"/>
      <c r="EG32" s="23"/>
      <c r="EH32" s="23"/>
      <c r="EI32" s="270"/>
      <c r="EJ32" s="23"/>
      <c r="EK32" s="272"/>
      <c r="EL32" s="23"/>
      <c r="EM32" s="23"/>
      <c r="EN32" s="23"/>
      <c r="EO32" s="105">
        <v>18</v>
      </c>
      <c r="EP32" s="25" t="s">
        <v>107</v>
      </c>
      <c r="EQ32" s="355">
        <f ca="1">IFERROR(INDIRECT("fixtures!" &amp; Dashboard!J1 &amp;228) - Dashboard!K1/24,"TBC")</f>
        <v>44975.708333333336</v>
      </c>
      <c r="ER32" s="25"/>
      <c r="ES32" s="25" t="s">
        <v>204</v>
      </c>
      <c r="ET32" s="25" t="s">
        <v>106</v>
      </c>
      <c r="EU32" s="105">
        <f>IF(ISBLANK(fixtures!$L228),"",fixtures!$L228)</f>
        <v>1</v>
      </c>
      <c r="EV32" s="25" t="str">
        <f>IF(ISBLANK(fixtures!$L228),"",":")</f>
        <v>:</v>
      </c>
      <c r="EW32" s="107">
        <f>IF(ISBLANK(fixtures!$K228),"",fixtures!$K228)</f>
        <v>1</v>
      </c>
      <c r="EX32" s="25" t="str">
        <f>IF(ISBLANK(fixtures!$L228),"",IF(EU32&gt;EW32,"W",IF(EU32=EW32,"D","L")))</f>
        <v>D</v>
      </c>
      <c r="EY32" s="25"/>
      <c r="EZ32" s="25"/>
      <c r="FA32" s="361">
        <v>19</v>
      </c>
      <c r="FB32" s="27" t="s">
        <v>105</v>
      </c>
      <c r="FC32" s="363">
        <f ca="1">IFERROR(INDIRECT("fixtures!" &amp; Dashboard!J1 &amp;231) - Dashboard!K1/24,"TBC")</f>
        <v>44976.666666666664</v>
      </c>
      <c r="FD32" s="27"/>
      <c r="FE32" s="27" t="s">
        <v>8</v>
      </c>
      <c r="FF32" s="27" t="s">
        <v>108</v>
      </c>
      <c r="FG32" s="361">
        <f>IF(ISBLANK(fixtures!$K231),"",fixtures!$K231)</f>
        <v>3</v>
      </c>
      <c r="FH32" s="27" t="str">
        <f>IF(ISBLANK(fixtures!$L231),"",":")</f>
        <v>:</v>
      </c>
      <c r="FI32" s="362">
        <f>IF(ISBLANK(fixtures!$L231),"",fixtures!$L231)</f>
        <v>0</v>
      </c>
      <c r="FJ32" s="27" t="str">
        <f>IF(ISBLANK(fixtures!$L231),"",IF(FG32&gt;FI32,"W",IF(FG32=FI32,"D","L")))</f>
        <v>W</v>
      </c>
      <c r="FK32" s="27"/>
      <c r="FL32" s="27"/>
      <c r="FM32" s="370" t="s">
        <v>24</v>
      </c>
      <c r="FN32" s="29"/>
      <c r="FO32" s="369"/>
      <c r="FP32" s="29"/>
      <c r="FQ32" s="29"/>
      <c r="FR32" s="29"/>
      <c r="FS32" s="110"/>
      <c r="FT32" s="29"/>
      <c r="FU32" s="112"/>
      <c r="FV32" s="29"/>
      <c r="FW32" s="29"/>
      <c r="FX32" s="29"/>
      <c r="FY32" s="375">
        <v>25</v>
      </c>
      <c r="FZ32" s="264" t="s">
        <v>107</v>
      </c>
      <c r="GA32" s="377">
        <f ca="1">IFERROR(INDIRECT("fixtures!" &amp; Dashboard!J1 &amp;237) - Dashboard!K1/24,"TBC")</f>
        <v>44982.708333333336</v>
      </c>
      <c r="GB32" s="264"/>
      <c r="GC32" s="264" t="s">
        <v>15</v>
      </c>
      <c r="GD32" s="264" t="s">
        <v>106</v>
      </c>
      <c r="GE32" s="375">
        <f>IF(ISBLANK(fixtures!$L237),"",fixtures!$L237)</f>
        <v>0</v>
      </c>
      <c r="GF32" s="264" t="str">
        <f>IF(ISBLANK(fixtures!$L237),"",":")</f>
        <v>:</v>
      </c>
      <c r="GG32" s="376">
        <f>IF(ISBLANK(fixtures!$K237),"",fixtures!$K237)</f>
        <v>4</v>
      </c>
      <c r="GH32" s="264" t="str">
        <f>IF(ISBLANK(fixtures!$L237),"",IF(GE32&gt;GG32,"W",IF(GE32=GG32,"D","L")))</f>
        <v>L</v>
      </c>
      <c r="GI32" s="264"/>
      <c r="GJ32" s="264"/>
      <c r="GK32" s="382">
        <v>25</v>
      </c>
      <c r="GL32" s="30" t="s">
        <v>107</v>
      </c>
      <c r="GM32" s="384">
        <f ca="1">IFERROR(INDIRECT("fixtures!" &amp; Dashboard!J1 &amp;235) - Dashboard!K1/24,"TBC")</f>
        <v>44982.708333333336</v>
      </c>
      <c r="GN32" s="30"/>
      <c r="GO32" s="30" t="s">
        <v>139</v>
      </c>
      <c r="GP32" s="30" t="s">
        <v>106</v>
      </c>
      <c r="GQ32" s="382">
        <f>IF(ISBLANK(fixtures!$L235),"",fixtures!$L235)</f>
        <v>0</v>
      </c>
      <c r="GR32" s="30" t="str">
        <f>IF(ISBLANK(fixtures!$L235),"",":")</f>
        <v>:</v>
      </c>
      <c r="GS32" s="383">
        <f>IF(ISBLANK(fixtures!$K235),"",fixtures!$K235)</f>
        <v>1</v>
      </c>
      <c r="GT32" s="30" t="str">
        <f>IF(ISBLANK(fixtures!$L235),"",IF(GQ32&gt;GS32,"W",IF(GQ32=GS32,"D","L")))</f>
        <v>L</v>
      </c>
      <c r="GU32" s="30"/>
      <c r="GV32" s="30"/>
      <c r="GW32" s="115">
        <v>19</v>
      </c>
      <c r="GX32" s="32" t="s">
        <v>105</v>
      </c>
      <c r="GY32" s="390">
        <f ca="1">IFERROR(INDIRECT("fixtures!" &amp; Dashboard!J1 &amp;232) - Dashboard!K1/24,"TBC")</f>
        <v>44976.770833333336</v>
      </c>
      <c r="GZ32" s="32"/>
      <c r="HA32" s="32" t="s">
        <v>15</v>
      </c>
      <c r="HB32" s="32" t="s">
        <v>108</v>
      </c>
      <c r="HC32" s="115">
        <f>IF(ISBLANK(fixtures!$K232),"",fixtures!$K232)</f>
        <v>2</v>
      </c>
      <c r="HD32" s="32" t="str">
        <f>IF(ISBLANK(fixtures!$L232),"",":")</f>
        <v>:</v>
      </c>
      <c r="HE32" s="117">
        <f>IF(ISBLANK(fixtures!$L232),"",fixtures!$L232)</f>
        <v>0</v>
      </c>
      <c r="HF32" s="32" t="str">
        <f>IF(ISBLANK(fixtures!$L232),"",IF(HC32&gt;HE32,"W",IF(HC32=HE32,"D","L")))</f>
        <v>W</v>
      </c>
      <c r="HG32" s="32"/>
      <c r="HH32" s="32"/>
      <c r="HI32" s="120">
        <v>25</v>
      </c>
      <c r="HJ32" s="34" t="s">
        <v>107</v>
      </c>
      <c r="HK32" s="396">
        <f ca="1">IFERROR(INDIRECT("fixtures!" &amp; Dashboard!J1 &amp;237) - Dashboard!K1/24,"TBC")</f>
        <v>44982.708333333336</v>
      </c>
      <c r="HL32" s="34"/>
      <c r="HM32" s="34" t="s">
        <v>204</v>
      </c>
      <c r="HN32" s="34" t="s">
        <v>108</v>
      </c>
      <c r="HO32" s="120">
        <f>IF(ISBLANK(fixtures!$K237),"",fixtures!$K237)</f>
        <v>4</v>
      </c>
      <c r="HP32" s="34" t="str">
        <f>IF(ISBLANK(fixtures!$L237),"",":")</f>
        <v>:</v>
      </c>
      <c r="HQ32" s="122">
        <f>IF(ISBLANK(fixtures!$L237),"",fixtures!$L237)</f>
        <v>0</v>
      </c>
      <c r="HR32" s="34" t="str">
        <f>IF(ISBLANK(fixtures!$L237),"",IF(HO32&gt;HQ32,"W",IF(HO32=HQ32,"D","L")))</f>
        <v>W</v>
      </c>
      <c r="HS32" s="34"/>
      <c r="HT32" s="34"/>
      <c r="HU32" s="125">
        <v>24</v>
      </c>
      <c r="HV32" s="36" t="s">
        <v>146</v>
      </c>
      <c r="HW32" s="402">
        <f ca="1">IFERROR(INDIRECT("fixtures!" &amp; Dashboard!J1 &amp;233) - Dashboard!K1/24,"TBC")</f>
        <v>44981.916666666664</v>
      </c>
      <c r="HX32" s="36"/>
      <c r="HY32" s="36" t="s">
        <v>126</v>
      </c>
      <c r="HZ32" s="36" t="s">
        <v>106</v>
      </c>
      <c r="IA32" s="125">
        <f>IF(ISBLANK(fixtures!$L233),"",fixtures!$L233)</f>
        <v>1</v>
      </c>
      <c r="IB32" s="36" t="str">
        <f>IF(ISBLANK(fixtures!$L233),"",":")</f>
        <v>:</v>
      </c>
      <c r="IC32" s="127">
        <f>IF(ISBLANK(fixtures!$K233),"",fixtures!$K233)</f>
        <v>1</v>
      </c>
      <c r="ID32" s="36" t="str">
        <f>IF(ISBLANK(fixtures!$L233),"",IF(IA32&gt;IC32,"W",IF(IA32=IC32,"D","L")))</f>
        <v>D</v>
      </c>
      <c r="IE32" s="36"/>
      <c r="IF32" s="36"/>
      <c r="II32" s="142"/>
    </row>
    <row r="33" spans="1:252" x14ac:dyDescent="0.4">
      <c r="A33" s="278" t="s">
        <v>24</v>
      </c>
      <c r="B33" s="6"/>
      <c r="C33" s="277"/>
      <c r="D33" s="6"/>
      <c r="E33" s="6"/>
      <c r="F33" s="6"/>
      <c r="G33" s="91"/>
      <c r="H33" s="6"/>
      <c r="I33" s="93"/>
      <c r="J33" s="6"/>
      <c r="K33" s="6"/>
      <c r="L33" s="6"/>
      <c r="M33" s="285" t="s">
        <v>24</v>
      </c>
      <c r="N33" s="9"/>
      <c r="O33" s="284"/>
      <c r="P33" s="9"/>
      <c r="Q33" s="9"/>
      <c r="R33" s="9"/>
      <c r="S33" s="282"/>
      <c r="T33" s="9"/>
      <c r="U33" s="283"/>
      <c r="V33" s="9"/>
      <c r="W33" s="9"/>
      <c r="X33" s="9"/>
      <c r="Y33" s="293" t="s">
        <v>24</v>
      </c>
      <c r="Z33" s="262"/>
      <c r="AA33" s="291"/>
      <c r="AB33" s="262"/>
      <c r="AC33" s="262"/>
      <c r="AD33" s="262"/>
      <c r="AE33" s="290"/>
      <c r="AF33" s="262"/>
      <c r="AG33" s="292"/>
      <c r="AH33" s="262"/>
      <c r="AI33" s="262"/>
      <c r="AJ33" s="262"/>
      <c r="AK33" s="411">
        <v>6</v>
      </c>
      <c r="AL33" s="410" t="s">
        <v>109</v>
      </c>
      <c r="AM33" s="413">
        <f ca="1">IFERROR(INDIRECT("fixtures!" &amp; Dashboard!J1 &amp;252) - Dashboard!K1/24,"TBC")</f>
        <v>44991.916666666664</v>
      </c>
      <c r="AN33" s="410"/>
      <c r="AO33" s="410" t="s">
        <v>126</v>
      </c>
      <c r="AP33" s="410" t="s">
        <v>108</v>
      </c>
      <c r="AQ33" s="411">
        <f>IF(ISBLANK(fixtures!$K252),"",fixtures!$K252)</f>
        <v>3</v>
      </c>
      <c r="AR33" s="410" t="str">
        <f>IF(ISBLANK(fixtures!$L252),"",":")</f>
        <v>:</v>
      </c>
      <c r="AS33" s="412">
        <f>IF(ISBLANK(fixtures!$L252),"",fixtures!$L252)</f>
        <v>2</v>
      </c>
      <c r="AT33" s="410" t="str">
        <f>IF(ISBLANK(fixtures!$L252),"",IF(AQ33&gt;AS33,"W",IF(AQ33=AS33,"D","L")))</f>
        <v>W</v>
      </c>
      <c r="AU33" s="410"/>
      <c r="AV33" s="410"/>
      <c r="AW33" s="96">
        <v>11</v>
      </c>
      <c r="AX33" s="11" t="s">
        <v>107</v>
      </c>
      <c r="AY33" s="298">
        <f ca="1">IFERROR(INDIRECT("fixtures!" &amp; Dashboard!J1 &amp;255) - Dashboard!K1/24,"TBC")</f>
        <v>44996.708333333336</v>
      </c>
      <c r="AZ33" s="11"/>
      <c r="BA33" s="11" t="s">
        <v>139</v>
      </c>
      <c r="BB33" s="11" t="s">
        <v>106</v>
      </c>
      <c r="BC33" s="96">
        <f>IF(ISBLANK(fixtures!$L255),"",fixtures!$L255)</f>
        <v>2</v>
      </c>
      <c r="BD33" s="11" t="str">
        <f>IF(ISBLANK(fixtures!$L255),"",":")</f>
        <v>:</v>
      </c>
      <c r="BE33" s="98">
        <f>IF(ISBLANK(fixtures!$K255),"",fixtures!$K255)</f>
        <v>2</v>
      </c>
      <c r="BF33" s="11" t="str">
        <f>IF(ISBLANK(fixtures!$L255),"",IF(BC33&gt;BE33,"W",IF(BC33=BE33,"D","L")))</f>
        <v>D</v>
      </c>
      <c r="BG33" s="11"/>
      <c r="BH33" s="11"/>
      <c r="BI33" s="305" t="s">
        <v>24</v>
      </c>
      <c r="BJ33" s="183"/>
      <c r="BK33" s="304"/>
      <c r="BL33" s="15"/>
      <c r="BM33" s="15"/>
      <c r="BN33" s="15"/>
      <c r="BO33" s="181"/>
      <c r="BP33" s="15"/>
      <c r="BQ33" s="183"/>
      <c r="BR33" s="15"/>
      <c r="BS33" s="15"/>
      <c r="BT33" s="15"/>
      <c r="BU33" s="313" t="s">
        <v>24</v>
      </c>
      <c r="BV33" s="16"/>
      <c r="BW33" s="312"/>
      <c r="BX33" s="16"/>
      <c r="BY33" s="16"/>
      <c r="BZ33" s="16"/>
      <c r="CA33" s="310"/>
      <c r="CB33" s="16"/>
      <c r="CC33" s="311"/>
      <c r="CD33" s="16"/>
      <c r="CE33" s="16"/>
      <c r="CF33" s="16"/>
      <c r="CG33" s="321" t="s">
        <v>24</v>
      </c>
      <c r="CH33" s="19"/>
      <c r="CI33" s="320"/>
      <c r="CJ33" s="19"/>
      <c r="CK33" s="19"/>
      <c r="CL33" s="19"/>
      <c r="CM33" s="318"/>
      <c r="CN33" s="19"/>
      <c r="CO33" s="319"/>
      <c r="CP33" s="19"/>
      <c r="CQ33" s="19"/>
      <c r="CR33" s="19"/>
      <c r="CS33" s="326">
        <v>24</v>
      </c>
      <c r="CT33" s="178" t="s">
        <v>146</v>
      </c>
      <c r="CU33" s="328">
        <f ca="1">IFERROR(INDIRECT("fixtures!" &amp; Dashboard!J1 &amp;233) - Dashboard!K1/24,"TBC")</f>
        <v>44981.916666666664</v>
      </c>
      <c r="CV33" s="178"/>
      <c r="CW33" s="178" t="s">
        <v>16</v>
      </c>
      <c r="CX33" s="178" t="s">
        <v>108</v>
      </c>
      <c r="CY33" s="326">
        <f>IF(ISBLANK(fixtures!$K233),"",fixtures!$K233)</f>
        <v>1</v>
      </c>
      <c r="CZ33" s="178" t="str">
        <f>IF(ISBLANK(fixtures!$L233),"",":")</f>
        <v>:</v>
      </c>
      <c r="DA33" s="327">
        <f>IF(ISBLANK(fixtures!$L233),"",fixtures!$L233)</f>
        <v>1</v>
      </c>
      <c r="DB33" s="178" t="str">
        <f>IF(ISBLANK(fixtures!$L233),"",IF(CY33&gt;DA33,"W",IF(CY33=DA33,"D","L")))</f>
        <v>D</v>
      </c>
      <c r="DC33" s="178"/>
      <c r="DD33" s="178"/>
      <c r="DE33" s="337" t="s">
        <v>24</v>
      </c>
      <c r="DF33" s="177"/>
      <c r="DG33" s="336"/>
      <c r="DH33" s="177"/>
      <c r="DI33" s="177"/>
      <c r="DJ33" s="177"/>
      <c r="DK33" s="334"/>
      <c r="DL33" s="177"/>
      <c r="DM33" s="335"/>
      <c r="DN33" s="177"/>
      <c r="DO33" s="177"/>
      <c r="DP33" s="177"/>
      <c r="DQ33" s="344" t="s">
        <v>24</v>
      </c>
      <c r="DR33" s="21"/>
      <c r="DS33" s="343"/>
      <c r="DT33" s="21"/>
      <c r="DU33" s="21"/>
      <c r="DV33" s="21"/>
      <c r="DW33" s="341"/>
      <c r="DX33" s="21"/>
      <c r="DY33" s="342"/>
      <c r="DZ33" s="21"/>
      <c r="EA33" s="21"/>
      <c r="EB33" s="21"/>
      <c r="EC33" s="270">
        <v>1</v>
      </c>
      <c r="ED33" s="23" t="s">
        <v>110</v>
      </c>
      <c r="EE33" s="349">
        <f ca="1">IFERROR(INDIRECT("fixtures!" &amp; Dashboard!J1 &amp;242) - Dashboard!K1/24,"TBC")</f>
        <v>44986.916666666664</v>
      </c>
      <c r="EF33" s="23"/>
      <c r="EG33" s="23" t="s">
        <v>16</v>
      </c>
      <c r="EH33" s="23" t="s">
        <v>108</v>
      </c>
      <c r="EI33" s="270">
        <f>IF(ISBLANK(fixtures!$K242),"",fixtures!$K242)</f>
        <v>2</v>
      </c>
      <c r="EJ33" s="23" t="str">
        <f>IF(ISBLANK(fixtures!$L242),"",":")</f>
        <v>:</v>
      </c>
      <c r="EK33" s="272">
        <f>IF(ISBLANK(fixtures!$L242),"",fixtures!$L242)</f>
        <v>0</v>
      </c>
      <c r="EL33" s="23" t="str">
        <f>IF(ISBLANK(fixtures!$L242),"",IF(EI33&gt;EK33,"W",IF(EI33=EK33,"D","L")))</f>
        <v>W</v>
      </c>
      <c r="EM33" s="23"/>
      <c r="EN33" s="23"/>
      <c r="EO33" s="105">
        <v>25</v>
      </c>
      <c r="EP33" s="25" t="s">
        <v>107</v>
      </c>
      <c r="EQ33" s="355">
        <f ca="1">IFERROR(INDIRECT("fixtures!" &amp; Dashboard!J1 &amp;238) - Dashboard!K1/24,"TBC")</f>
        <v>44982.8125</v>
      </c>
      <c r="ER33" s="25"/>
      <c r="ES33" s="25" t="s">
        <v>3</v>
      </c>
      <c r="ET33" s="25" t="s">
        <v>106</v>
      </c>
      <c r="EU33" s="105">
        <f>IF(ISBLANK(fixtures!$L238),"",fixtures!$L238)</f>
        <v>4</v>
      </c>
      <c r="EV33" s="25" t="str">
        <f>IF(ISBLANK(fixtures!$L238),"",":")</f>
        <v>:</v>
      </c>
      <c r="EW33" s="107">
        <f>IF(ISBLANK(fixtures!$K238),"",fixtures!$K238)</f>
        <v>1</v>
      </c>
      <c r="EX33" s="25" t="str">
        <f>IF(ISBLANK(fixtures!$L238),"",IF(EU33&gt;EW33,"W",IF(EU33=EW33,"D","L")))</f>
        <v>W</v>
      </c>
      <c r="EY33" s="25"/>
      <c r="EZ33" s="25"/>
      <c r="FA33" s="364" t="s">
        <v>24</v>
      </c>
      <c r="FB33" s="27"/>
      <c r="FC33" s="363"/>
      <c r="FD33" s="27"/>
      <c r="FE33" s="27"/>
      <c r="FF33" s="27"/>
      <c r="FG33" s="361"/>
      <c r="FH33" s="27"/>
      <c r="FI33" s="362"/>
      <c r="FJ33" s="27"/>
      <c r="FK33" s="27"/>
      <c r="FL33" s="27"/>
      <c r="FM33" s="110">
        <v>4</v>
      </c>
      <c r="FN33" s="29" t="s">
        <v>107</v>
      </c>
      <c r="FO33" s="369">
        <f ca="1">IFERROR(INDIRECT("fixtures!" &amp; Dashboard!J1 &amp;243) - Dashboard!K1/24,"TBC")</f>
        <v>44989.604166666664</v>
      </c>
      <c r="FP33" s="29"/>
      <c r="FQ33" s="29" t="s">
        <v>10</v>
      </c>
      <c r="FR33" s="29" t="s">
        <v>106</v>
      </c>
      <c r="FS33" s="110">
        <f>IF(ISBLANK(fixtures!$L243),"",fixtures!$L243)</f>
        <v>0</v>
      </c>
      <c r="FT33" s="29" t="str">
        <f>IF(ISBLANK(fixtures!$L243),"",":")</f>
        <v>:</v>
      </c>
      <c r="FU33" s="112">
        <f>IF(ISBLANK(fixtures!$K243),"",fixtures!$K243)</f>
        <v>2</v>
      </c>
      <c r="FV33" s="29" t="str">
        <f>IF(ISBLANK(fixtures!$L243),"",IF(FS33&gt;FU33,"W",IF(FS33=FU33,"D","L")))</f>
        <v>L</v>
      </c>
      <c r="FW33" s="29"/>
      <c r="FX33" s="29"/>
      <c r="FY33" s="378" t="s">
        <v>24</v>
      </c>
      <c r="FZ33" s="264"/>
      <c r="GA33" s="377"/>
      <c r="GB33" s="264"/>
      <c r="GC33" s="264"/>
      <c r="GD33" s="264"/>
      <c r="GE33" s="375"/>
      <c r="GF33" s="264"/>
      <c r="GG33" s="376"/>
      <c r="GH33" s="264"/>
      <c r="GI33" s="264"/>
      <c r="GJ33" s="264"/>
      <c r="GK33" s="385" t="s">
        <v>24</v>
      </c>
      <c r="GL33" s="30"/>
      <c r="GM33" s="384"/>
      <c r="GN33" s="30"/>
      <c r="GO33" s="30"/>
      <c r="GP33" s="30"/>
      <c r="GQ33" s="382"/>
      <c r="GR33" s="30"/>
      <c r="GS33" s="383"/>
      <c r="GT33" s="30"/>
      <c r="GU33" s="30"/>
      <c r="GV33" s="30"/>
      <c r="GW33" s="115">
        <v>26</v>
      </c>
      <c r="GX33" s="32" t="s">
        <v>105</v>
      </c>
      <c r="GY33" s="390">
        <f ca="1">IFERROR(INDIRECT("fixtures!" &amp; Dashboard!J1 &amp;240) - Dashboard!K1/24,"TBC")</f>
        <v>44983.645833333336</v>
      </c>
      <c r="GZ33" s="32"/>
      <c r="HA33" s="32" t="s">
        <v>5</v>
      </c>
      <c r="HB33" s="32" t="s">
        <v>108</v>
      </c>
      <c r="HC33" s="115">
        <f>IF(ISBLANK(fixtures!$K240),"",fixtures!$K240)</f>
        <v>2</v>
      </c>
      <c r="HD33" s="32" t="str">
        <f>IF(ISBLANK(fixtures!$L240),"",":")</f>
        <v>:</v>
      </c>
      <c r="HE33" s="117">
        <f>IF(ISBLANK(fixtures!$L240),"",fixtures!$L240)</f>
        <v>0</v>
      </c>
      <c r="HF33" s="32" t="str">
        <f>IF(ISBLANK(fixtures!$L240),"",IF(HC33&gt;HE33,"W",IF(HC33=HE33,"D","L")))</f>
        <v>W</v>
      </c>
      <c r="HG33" s="32"/>
      <c r="HH33" s="32"/>
      <c r="HI33" s="397" t="s">
        <v>24</v>
      </c>
      <c r="HJ33" s="34"/>
      <c r="HK33" s="396"/>
      <c r="HL33" s="34"/>
      <c r="HM33" s="34"/>
      <c r="HN33" s="34"/>
      <c r="HO33" s="120"/>
      <c r="HP33" s="34"/>
      <c r="HQ33" s="122"/>
      <c r="HR33" s="34"/>
      <c r="HS33" s="34"/>
      <c r="HT33" s="34"/>
      <c r="HU33" s="403" t="s">
        <v>24</v>
      </c>
      <c r="HV33" s="36"/>
      <c r="HW33" s="402"/>
      <c r="HX33" s="36"/>
      <c r="HY33" s="36"/>
      <c r="HZ33" s="36"/>
      <c r="IA33" s="125"/>
      <c r="IB33" s="36"/>
      <c r="IC33" s="127"/>
      <c r="ID33" s="36"/>
      <c r="IE33" s="36"/>
      <c r="IF33" s="36"/>
    </row>
    <row r="34" spans="1:252" x14ac:dyDescent="0.4">
      <c r="A34" s="91">
        <v>1</v>
      </c>
      <c r="B34" s="93" t="s">
        <v>110</v>
      </c>
      <c r="C34" s="277">
        <f ca="1">IFERROR(INDIRECT("fixtures!" &amp; Dashboard!J1 &amp;241) - Dashboard!K1/24,"TBC")</f>
        <v>44986.90625</v>
      </c>
      <c r="D34" s="6"/>
      <c r="E34" s="6" t="s">
        <v>7</v>
      </c>
      <c r="F34" s="6" t="s">
        <v>108</v>
      </c>
      <c r="G34" s="91">
        <f>IF(ISBLANK(fixtures!$K241),"",fixtures!$K241)</f>
        <v>4</v>
      </c>
      <c r="H34" s="6" t="str">
        <f>IF(ISBLANK(fixtures!$L241),"",":")</f>
        <v>:</v>
      </c>
      <c r="I34" s="93">
        <f>IF(ISBLANK(fixtures!$L241),"",fixtures!$L241)</f>
        <v>0</v>
      </c>
      <c r="J34" s="6" t="str">
        <f>IF(ISBLANK(fixtures!$L241),"",IF(G34&gt;I34,"W",IF(G34=I34,"D","L")))</f>
        <v>W</v>
      </c>
      <c r="K34" s="6"/>
      <c r="L34" s="6"/>
      <c r="M34" s="282">
        <v>4</v>
      </c>
      <c r="N34" s="9" t="s">
        <v>107</v>
      </c>
      <c r="O34" s="284">
        <f ca="1">IFERROR(INDIRECT("fixtures!" &amp; Dashboard!J1 &amp;245) - Dashboard!K1/24,"TBC")</f>
        <v>44989.708333333336</v>
      </c>
      <c r="P34" s="9"/>
      <c r="Q34" s="9" t="s">
        <v>6</v>
      </c>
      <c r="R34" s="9" t="s">
        <v>108</v>
      </c>
      <c r="S34" s="282">
        <f>IF(ISBLANK(fixtures!$K245),"",fixtures!$K245)</f>
        <v>1</v>
      </c>
      <c r="T34" s="9" t="str">
        <f>IF(ISBLANK(fixtures!$L245),"",":")</f>
        <v>:</v>
      </c>
      <c r="U34" s="283">
        <f>IF(ISBLANK(fixtures!$L245),"",fixtures!$L245)</f>
        <v>0</v>
      </c>
      <c r="V34" s="9" t="str">
        <f>IF(ISBLANK(fixtures!$L245),"",IF(S34&gt;U34,"W",IF(S34=U34,"D","L")))</f>
        <v>W</v>
      </c>
      <c r="W34" s="9"/>
      <c r="X34" s="9"/>
      <c r="Y34" s="290">
        <v>4</v>
      </c>
      <c r="Z34" s="262" t="s">
        <v>107</v>
      </c>
      <c r="AA34" s="291">
        <f ca="1">IFERROR(INDIRECT("fixtures!" &amp; Dashboard!J1 &amp;244) - Dashboard!K1/24,"TBC")</f>
        <v>44989.708333333336</v>
      </c>
      <c r="AB34" s="262"/>
      <c r="AC34" s="262" t="s">
        <v>1</v>
      </c>
      <c r="AD34" s="262" t="s">
        <v>106</v>
      </c>
      <c r="AE34" s="290">
        <f>IF(ISBLANK(fixtures!$L244),"",fixtures!$L244)</f>
        <v>2</v>
      </c>
      <c r="AF34" s="262" t="str">
        <f>IF(ISBLANK(fixtures!$L244),"",":")</f>
        <v>:</v>
      </c>
      <c r="AG34" s="292">
        <f>IF(ISBLANK(fixtures!$K244),"",fixtures!$K244)</f>
        <v>3</v>
      </c>
      <c r="AH34" s="262" t="str">
        <f>IF(ISBLANK(fixtures!$L244),"",IF(AE34&gt;AG34,"W",IF(AE34=AG34,"D","L")))</f>
        <v>L</v>
      </c>
      <c r="AI34" s="262"/>
      <c r="AJ34" s="262"/>
      <c r="AK34" s="411">
        <v>11</v>
      </c>
      <c r="AL34" s="412" t="s">
        <v>107</v>
      </c>
      <c r="AM34" s="413">
        <f ca="1">IFERROR(INDIRECT("fixtures!" &amp; Dashboard!J1 &amp;254) - Dashboard!K1/24,"TBC")</f>
        <v>44996.708333333336</v>
      </c>
      <c r="AN34" s="410"/>
      <c r="AO34" s="410" t="s">
        <v>7</v>
      </c>
      <c r="AP34" s="410" t="s">
        <v>106</v>
      </c>
      <c r="AQ34" s="411">
        <f>IF(ISBLANK(fixtures!$L254),"",fixtures!$L254)</f>
        <v>0</v>
      </c>
      <c r="AR34" s="410" t="str">
        <f>IF(ISBLANK(fixtures!$L254),"",":")</f>
        <v>:</v>
      </c>
      <c r="AS34" s="412">
        <f>IF(ISBLANK(fixtures!$K254),"",fixtures!$K254)</f>
        <v>1</v>
      </c>
      <c r="AT34" s="410" t="str">
        <f>IF(ISBLANK(fixtures!$L254),"",IF(AQ34&gt;AS34,"W",IF(AQ34=AS34,"D","L")))</f>
        <v>L</v>
      </c>
      <c r="AU34" s="410"/>
      <c r="AV34" s="410"/>
      <c r="AW34" s="96">
        <v>15</v>
      </c>
      <c r="AX34" s="98" t="s">
        <v>110</v>
      </c>
      <c r="AY34" s="298">
        <f ca="1">IFERROR(INDIRECT("fixtures!" &amp; Dashboard!J1 &amp;263) - Dashboard!K1/24,"TBC")</f>
        <v>45000.895833333336</v>
      </c>
      <c r="AZ34" s="11"/>
      <c r="BA34" s="11" t="s">
        <v>6</v>
      </c>
      <c r="BB34" s="11" t="s">
        <v>108</v>
      </c>
      <c r="BC34" s="96">
        <f>IF(ISBLANK(fixtures!$K263),"",fixtures!$K263)</f>
        <v>1</v>
      </c>
      <c r="BD34" s="11" t="str">
        <f>IF(ISBLANK(fixtures!$L263),"",":")</f>
        <v>:</v>
      </c>
      <c r="BE34" s="98">
        <f>IF(ISBLANK(fixtures!$L263),"",fixtures!$L263)</f>
        <v>0</v>
      </c>
      <c r="BF34" s="11" t="str">
        <f>IF(ISBLANK(fixtures!$L263),"",IF(BC34&gt;BE34,"W",IF(BC34=BE34,"D","L")))</f>
        <v>W</v>
      </c>
      <c r="BG34" s="11"/>
      <c r="BH34" s="11"/>
      <c r="BI34" s="181">
        <v>4</v>
      </c>
      <c r="BJ34" s="15" t="s">
        <v>107</v>
      </c>
      <c r="BK34" s="304">
        <f ca="1">IFERROR(INDIRECT("fixtures!" &amp; Dashboard!J1 &amp;247) - Dashboard!K1/24,"TBC")</f>
        <v>44989.708333333336</v>
      </c>
      <c r="BL34" s="15"/>
      <c r="BM34" s="15" t="s">
        <v>139</v>
      </c>
      <c r="BN34" s="15" t="s">
        <v>108</v>
      </c>
      <c r="BO34" s="181">
        <f>IF(ISBLANK(fixtures!$K247),"",fixtures!$K247)</f>
        <v>1</v>
      </c>
      <c r="BP34" s="15" t="str">
        <f>IF(ISBLANK(fixtures!$L247),"",":")</f>
        <v>:</v>
      </c>
      <c r="BQ34" s="183">
        <f>IF(ISBLANK(fixtures!$L247),"",fixtures!$L247)</f>
        <v>0</v>
      </c>
      <c r="BR34" s="15" t="str">
        <f>IF(ISBLANK(fixtures!$L247),"",IF(BO34&gt;BQ34,"W",IF(BO34=BQ34,"D","L")))</f>
        <v>W</v>
      </c>
      <c r="BS34" s="15"/>
      <c r="BT34" s="15"/>
      <c r="BU34" s="310">
        <v>4</v>
      </c>
      <c r="BV34" s="16" t="s">
        <v>107</v>
      </c>
      <c r="BW34" s="312">
        <f ca="1">IFERROR(INDIRECT("fixtures!" &amp; Dashboard!J1 &amp;245) - Dashboard!K1/24,"TBC")</f>
        <v>44989.708333333336</v>
      </c>
      <c r="BX34" s="16"/>
      <c r="BY34" s="16" t="s">
        <v>2</v>
      </c>
      <c r="BZ34" s="16" t="s">
        <v>106</v>
      </c>
      <c r="CA34" s="310">
        <f>IF(ISBLANK(fixtures!$L245),"",fixtures!$L245)</f>
        <v>0</v>
      </c>
      <c r="CB34" s="16" t="str">
        <f>IF(ISBLANK(fixtures!$L245),"",":")</f>
        <v>:</v>
      </c>
      <c r="CC34" s="311">
        <f>IF(ISBLANK(fixtures!$K245),"",fixtures!$K245)</f>
        <v>1</v>
      </c>
      <c r="CD34" s="16" t="str">
        <f>IF(ISBLANK(fixtures!$L245),"",IF(CA34&gt;CC34,"W",IF(CA34=CC34,"D","L")))</f>
        <v>L</v>
      </c>
      <c r="CE34" s="16"/>
      <c r="CF34" s="16"/>
      <c r="CG34" s="318">
        <v>1</v>
      </c>
      <c r="CH34" s="19" t="s">
        <v>110</v>
      </c>
      <c r="CI34" s="320">
        <f ca="1">IFERROR(INDIRECT("fixtures!" &amp; Dashboard!J1 &amp;241) - Dashboard!K1/24,"TBC")</f>
        <v>44986.90625</v>
      </c>
      <c r="CJ34" s="19"/>
      <c r="CK34" s="19" t="s">
        <v>1</v>
      </c>
      <c r="CL34" s="19" t="s">
        <v>106</v>
      </c>
      <c r="CM34" s="318">
        <f>IF(ISBLANK(fixtures!$L241),"",fixtures!$L241)</f>
        <v>0</v>
      </c>
      <c r="CN34" s="19" t="str">
        <f>IF(ISBLANK(fixtures!$L241),"",":")</f>
        <v>:</v>
      </c>
      <c r="CO34" s="319">
        <f>IF(ISBLANK(fixtures!$K241),"",fixtures!$K241)</f>
        <v>4</v>
      </c>
      <c r="CP34" s="19" t="str">
        <f>IF(ISBLANK(fixtures!$L241),"",IF(CM34&gt;CO34,"W",IF(CM34=CO34,"D","L")))</f>
        <v>L</v>
      </c>
      <c r="CQ34" s="19"/>
      <c r="CR34" s="19"/>
      <c r="CS34" s="329" t="s">
        <v>24</v>
      </c>
      <c r="CT34" s="178"/>
      <c r="CU34" s="328"/>
      <c r="CV34" s="178"/>
      <c r="CW34" s="178"/>
      <c r="CX34" s="178"/>
      <c r="CY34" s="326"/>
      <c r="CZ34" s="178"/>
      <c r="DA34" s="327"/>
      <c r="DB34" s="178"/>
      <c r="DC34" s="178"/>
      <c r="DD34" s="178"/>
      <c r="DE34" s="334">
        <v>4</v>
      </c>
      <c r="DF34" s="177" t="s">
        <v>107</v>
      </c>
      <c r="DG34" s="336">
        <f ca="1">IFERROR(INDIRECT("fixtures!" &amp; Dashboard!J1 &amp;247) - Dashboard!K1/24,"TBC")</f>
        <v>44989.708333333336</v>
      </c>
      <c r="DH34" s="177"/>
      <c r="DI34" s="177" t="s">
        <v>5</v>
      </c>
      <c r="DJ34" s="177" t="s">
        <v>106</v>
      </c>
      <c r="DK34" s="334">
        <f>IF(ISBLANK(fixtures!$L247),"",fixtures!$L247)</f>
        <v>0</v>
      </c>
      <c r="DL34" s="177" t="str">
        <f>IF(ISBLANK(fixtures!$L247),"",":")</f>
        <v>:</v>
      </c>
      <c r="DM34" s="335">
        <f>IF(ISBLANK(fixtures!$K247),"",fixtures!$K247)</f>
        <v>1</v>
      </c>
      <c r="DN34" s="177" t="str">
        <f>IF(ISBLANK(fixtures!$L247),"",IF(DK34&gt;DM34,"W",IF(DK34=DM34,"D","L")))</f>
        <v>L</v>
      </c>
      <c r="DO34" s="177"/>
      <c r="DP34" s="177"/>
      <c r="DQ34" s="341">
        <v>4</v>
      </c>
      <c r="DR34" s="21" t="s">
        <v>107</v>
      </c>
      <c r="DS34" s="343">
        <f ca="1">IFERROR(INDIRECT("fixtures!" &amp; Dashboard!J1 &amp;249) - Dashboard!K1/24,"TBC")</f>
        <v>44989.8125</v>
      </c>
      <c r="DT34" s="21"/>
      <c r="DU34" s="21" t="s">
        <v>13</v>
      </c>
      <c r="DV34" s="21" t="s">
        <v>106</v>
      </c>
      <c r="DW34" s="341">
        <f>IF(ISBLANK(fixtures!$L249),"",fixtures!$L249)</f>
        <v>0</v>
      </c>
      <c r="DX34" s="21" t="str">
        <f>IF(ISBLANK(fixtures!$L249),"",":")</f>
        <v>:</v>
      </c>
      <c r="DY34" s="342">
        <f>IF(ISBLANK(fixtures!$K249),"",fixtures!$K249)</f>
        <v>1</v>
      </c>
      <c r="DZ34" s="21" t="str">
        <f>IF(ISBLANK(fixtures!$L249),"",IF(DW34&gt;DY34,"W",IF(DW34=DY34,"D","L")))</f>
        <v>L</v>
      </c>
      <c r="EA34" s="21"/>
      <c r="EB34" s="21"/>
      <c r="EC34" s="270">
        <v>5</v>
      </c>
      <c r="ED34" s="23" t="s">
        <v>105</v>
      </c>
      <c r="EE34" s="349">
        <f ca="1">IFERROR(INDIRECT("fixtures!" &amp; Dashboard!J1 &amp;251) - Dashboard!K1/24,"TBC")</f>
        <v>44990.770833333336</v>
      </c>
      <c r="EF34" s="23"/>
      <c r="EG34" s="23" t="s">
        <v>11</v>
      </c>
      <c r="EH34" s="23" t="s">
        <v>108</v>
      </c>
      <c r="EI34" s="270">
        <f>IF(ISBLANK(fixtures!$K251),"",fixtures!$K251)</f>
        <v>7</v>
      </c>
      <c r="EJ34" s="23" t="str">
        <f>IF(ISBLANK(fixtures!$L251),"",":")</f>
        <v>:</v>
      </c>
      <c r="EK34" s="272">
        <f>IF(ISBLANK(fixtures!$L251),"",fixtures!$L251)</f>
        <v>0</v>
      </c>
      <c r="EL34" s="23" t="str">
        <f>IF(ISBLANK(fixtures!$L251),"",IF(EI34&gt;EK34,"W",IF(EI34=EK34,"D","L")))</f>
        <v>W</v>
      </c>
      <c r="EM34" s="23"/>
      <c r="EN34" s="23"/>
      <c r="EO34" s="356" t="s">
        <v>24</v>
      </c>
      <c r="EP34" s="25"/>
      <c r="EQ34" s="355"/>
      <c r="ER34" s="25"/>
      <c r="ES34" s="25"/>
      <c r="ET34" s="25"/>
      <c r="EU34" s="105"/>
      <c r="EV34" s="25"/>
      <c r="EW34" s="107"/>
      <c r="EX34" s="25"/>
      <c r="EY34" s="25"/>
      <c r="EZ34" s="25"/>
      <c r="FA34" s="361">
        <v>5</v>
      </c>
      <c r="FB34" s="27" t="s">
        <v>105</v>
      </c>
      <c r="FC34" s="363">
        <f ca="1">IFERROR(INDIRECT("fixtures!" &amp; Dashboard!J1 &amp;251) - Dashboard!K1/24,"TBC")</f>
        <v>44990.770833333336</v>
      </c>
      <c r="FD34" s="27"/>
      <c r="FE34" s="27" t="s">
        <v>9</v>
      </c>
      <c r="FF34" s="27" t="s">
        <v>106</v>
      </c>
      <c r="FG34" s="361">
        <f>IF(ISBLANK(fixtures!$L251),"",fixtures!$L251)</f>
        <v>0</v>
      </c>
      <c r="FH34" s="27" t="str">
        <f>IF(ISBLANK(fixtures!$L251),"",":")</f>
        <v>:</v>
      </c>
      <c r="FI34" s="362">
        <f>IF(ISBLANK(fixtures!$K251),"",fixtures!$K251)</f>
        <v>7</v>
      </c>
      <c r="FJ34" s="27" t="str">
        <f>IF(ISBLANK(fixtures!$L251),"",IF(FG34&gt;FI34,"W",IF(FG34=FI34,"D","L")))</f>
        <v>L</v>
      </c>
      <c r="FK34" s="27"/>
      <c r="FL34" s="27"/>
      <c r="FM34" s="110">
        <v>12</v>
      </c>
      <c r="FN34" s="29" t="s">
        <v>105</v>
      </c>
      <c r="FO34" s="369">
        <f ca="1">IFERROR(INDIRECT("fixtures!" &amp; Dashboard!J1 &amp;262) - Dashboard!K1/24,"TBC")</f>
        <v>44997.770833333336</v>
      </c>
      <c r="FP34" s="29"/>
      <c r="FQ34" s="29" t="s">
        <v>16</v>
      </c>
      <c r="FR34" s="29" t="s">
        <v>108</v>
      </c>
      <c r="FS34" s="110">
        <f>IF(ISBLANK(fixtures!$K262),"",fixtures!$K262)</f>
        <v>2</v>
      </c>
      <c r="FT34" s="29" t="str">
        <f>IF(ISBLANK(fixtures!$L262),"",":")</f>
        <v>:</v>
      </c>
      <c r="FU34" s="112">
        <f>IF(ISBLANK(fixtures!$L262),"",fixtures!$L262)</f>
        <v>1</v>
      </c>
      <c r="FV34" s="29" t="str">
        <f>IF(ISBLANK(fixtures!$L262),"",IF(FS34&gt;FU34,"W",IF(FS34=FU34,"D","L")))</f>
        <v>W</v>
      </c>
      <c r="FW34" s="29"/>
      <c r="FX34" s="29"/>
      <c r="FY34" s="375">
        <v>5</v>
      </c>
      <c r="FZ34" s="264" t="s">
        <v>105</v>
      </c>
      <c r="GA34" s="377">
        <f ca="1">IFERROR(INDIRECT("fixtures!" &amp; Dashboard!J1 &amp;250) - Dashboard!K1/24,"TBC")</f>
        <v>44990.666666666664</v>
      </c>
      <c r="GB34" s="264"/>
      <c r="GC34" s="264" t="s">
        <v>7</v>
      </c>
      <c r="GD34" s="264" t="s">
        <v>108</v>
      </c>
      <c r="GE34" s="375">
        <f>IF(ISBLANK(fixtures!$K250),"",fixtures!$K250)</f>
        <v>2</v>
      </c>
      <c r="GF34" s="264" t="str">
        <f>IF(ISBLANK(fixtures!$L250),"",":")</f>
        <v>:</v>
      </c>
      <c r="GG34" s="376">
        <f>IF(ISBLANK(fixtures!$L250),"",fixtures!$L250)</f>
        <v>2</v>
      </c>
      <c r="GH34" s="264" t="str">
        <f>IF(ISBLANK(fixtures!$L250),"",IF(GE34&gt;GG34,"W",IF(GE34=GG34,"D","L")))</f>
        <v>D</v>
      </c>
      <c r="GI34" s="264"/>
      <c r="GJ34" s="264"/>
      <c r="GK34" s="382">
        <v>4</v>
      </c>
      <c r="GL34" s="30" t="s">
        <v>107</v>
      </c>
      <c r="GM34" s="384">
        <f ca="1">IFERROR(INDIRECT("fixtures!" &amp; Dashboard!J1 &amp;249) - Dashboard!K1/24,"TBC")</f>
        <v>44989.8125</v>
      </c>
      <c r="GN34" s="30"/>
      <c r="GO34" s="30" t="s">
        <v>8</v>
      </c>
      <c r="GP34" s="30" t="s">
        <v>108</v>
      </c>
      <c r="GQ34" s="382">
        <f>IF(ISBLANK(fixtures!$K249),"",fixtures!$K249)</f>
        <v>1</v>
      </c>
      <c r="GR34" s="30" t="str">
        <f>IF(ISBLANK(fixtures!$L249),"",":")</f>
        <v>:</v>
      </c>
      <c r="GS34" s="383">
        <f>IF(ISBLANK(fixtures!$L249),"",fixtures!$L249)</f>
        <v>0</v>
      </c>
      <c r="GT34" s="30" t="str">
        <f>IF(ISBLANK(fixtures!$L249),"",IF(GQ34&gt;GS34,"W",IF(GQ34=GS34,"D","L")))</f>
        <v>W</v>
      </c>
      <c r="GU34" s="30"/>
      <c r="GV34" s="30"/>
      <c r="GW34" s="391" t="s">
        <v>24</v>
      </c>
      <c r="GX34" s="32"/>
      <c r="GY34" s="390"/>
      <c r="GZ34" s="32"/>
      <c r="HA34" s="32"/>
      <c r="HB34" s="32"/>
      <c r="HC34" s="115"/>
      <c r="HD34" s="32"/>
      <c r="HE34" s="117"/>
      <c r="HF34" s="32"/>
      <c r="HG34" s="32"/>
      <c r="HH34" s="32"/>
      <c r="HI34" s="120">
        <v>4</v>
      </c>
      <c r="HJ34" s="34" t="s">
        <v>107</v>
      </c>
      <c r="HK34" s="396">
        <f ca="1">IFERROR(INDIRECT("fixtures!" &amp; Dashboard!J1 &amp;246) - Dashboard!K1/24,"TBC")</f>
        <v>44989.708333333336</v>
      </c>
      <c r="HL34" s="34"/>
      <c r="HM34" s="34" t="s">
        <v>4</v>
      </c>
      <c r="HN34" s="34" t="s">
        <v>106</v>
      </c>
      <c r="HO34" s="120">
        <f>IF(ISBLANK(fixtures!$L246),"",fixtures!$L246)</f>
        <v>0</v>
      </c>
      <c r="HP34" s="34" t="str">
        <f>IF(ISBLANK(fixtures!$L246),"",":")</f>
        <v>:</v>
      </c>
      <c r="HQ34" s="122">
        <f>IF(ISBLANK(fixtures!$K246),"",fixtures!$K246)</f>
        <v>4</v>
      </c>
      <c r="HR34" s="34" t="str">
        <f>IF(ISBLANK(fixtures!$L246),"",IF(HO34&gt;HQ34,"W",IF(HO34=HQ34,"D","L")))</f>
        <v>L</v>
      </c>
      <c r="HS34" s="34"/>
      <c r="HT34" s="34"/>
      <c r="HU34" s="125">
        <v>1</v>
      </c>
      <c r="HV34" s="36" t="s">
        <v>110</v>
      </c>
      <c r="HW34" s="402">
        <f ca="1">IFERROR(INDIRECT("fixtures!" &amp; Dashboard!J1 &amp;242) - Dashboard!K1/24,"TBC")</f>
        <v>44986.916666666664</v>
      </c>
      <c r="HX34" s="36"/>
      <c r="HY34" s="36" t="s">
        <v>9</v>
      </c>
      <c r="HZ34" s="36" t="s">
        <v>106</v>
      </c>
      <c r="IA34" s="125">
        <f>IF(ISBLANK(fixtures!$L242),"",fixtures!$L242)</f>
        <v>0</v>
      </c>
      <c r="IB34" s="36" t="str">
        <f>IF(ISBLANK(fixtures!$L242),"",":")</f>
        <v>:</v>
      </c>
      <c r="IC34" s="127">
        <f>IF(ISBLANK(fixtures!$K242),"",fixtures!$K242)</f>
        <v>2</v>
      </c>
      <c r="ID34" s="36" t="str">
        <f>IF(ISBLANK(fixtures!$L242),"",IF(IA34&gt;IC34,"W",IF(IA34=IC34,"D","L")))</f>
        <v>L</v>
      </c>
      <c r="IE34" s="36"/>
      <c r="IF34" s="36"/>
      <c r="II34" s="142"/>
    </row>
    <row r="35" spans="1:252" x14ac:dyDescent="0.4">
      <c r="A35" s="91">
        <v>4</v>
      </c>
      <c r="B35" s="93" t="s">
        <v>107</v>
      </c>
      <c r="C35" s="277">
        <f ca="1">IFERROR(INDIRECT("fixtures!" &amp; Dashboard!J1 &amp;244) - Dashboard!K1/24,"TBC")</f>
        <v>44989.708333333336</v>
      </c>
      <c r="D35" s="6"/>
      <c r="E35" s="6" t="s">
        <v>3</v>
      </c>
      <c r="F35" s="6" t="s">
        <v>108</v>
      </c>
      <c r="G35" s="91">
        <f>IF(ISBLANK(fixtures!$K244),"",fixtures!$K244)</f>
        <v>3</v>
      </c>
      <c r="H35" s="6" t="str">
        <f>IF(ISBLANK(fixtures!$L244),"",":")</f>
        <v>:</v>
      </c>
      <c r="I35" s="93">
        <f>IF(ISBLANK(fixtures!$L244),"",fixtures!$L244)</f>
        <v>2</v>
      </c>
      <c r="J35" s="6" t="str">
        <f>IF(ISBLANK(fixtures!$L244),"",IF(G35&gt;I35,"W",IF(G35=I35,"D","L")))</f>
        <v>W</v>
      </c>
      <c r="K35" s="6"/>
      <c r="L35" s="6"/>
      <c r="M35" s="282">
        <v>12</v>
      </c>
      <c r="N35" s="9" t="s">
        <v>105</v>
      </c>
      <c r="O35" s="284">
        <f ca="1">IFERROR(INDIRECT("fixtures!" &amp; Dashboard!J1 &amp;261) - Dashboard!K1/24,"TBC")</f>
        <v>44997.666666666664</v>
      </c>
      <c r="P35" s="9"/>
      <c r="Q35" s="9" t="s">
        <v>15</v>
      </c>
      <c r="R35" s="9" t="s">
        <v>106</v>
      </c>
      <c r="S35" s="282">
        <f>IF(ISBLANK(fixtures!$L261),"",fixtures!$L261)</f>
        <v>1</v>
      </c>
      <c r="T35" s="9" t="str">
        <f>IF(ISBLANK(fixtures!$L261),"",":")</f>
        <v>:</v>
      </c>
      <c r="U35" s="283">
        <f>IF(ISBLANK(fixtures!$K261),"",fixtures!$K261)</f>
        <v>1</v>
      </c>
      <c r="V35" s="9" t="str">
        <f>IF(ISBLANK(fixtures!$L261),"",IF(S35&gt;U35,"W",IF(S35=U35,"D","L")))</f>
        <v>D</v>
      </c>
      <c r="W35" s="9"/>
      <c r="X35" s="9"/>
      <c r="Y35" s="290">
        <v>11</v>
      </c>
      <c r="Z35" s="262" t="s">
        <v>107</v>
      </c>
      <c r="AA35" s="291">
        <f ca="1">IFERROR(INDIRECT("fixtures!" &amp; Dashboard!J1 &amp;253) - Dashboard!K1/24,"TBC")</f>
        <v>44996.604166666664</v>
      </c>
      <c r="AB35" s="262"/>
      <c r="AC35" s="262" t="s">
        <v>9</v>
      </c>
      <c r="AD35" s="262" t="s">
        <v>108</v>
      </c>
      <c r="AE35" s="290">
        <f>IF(ISBLANK(fixtures!$K253),"",fixtures!$K253)</f>
        <v>1</v>
      </c>
      <c r="AF35" s="262" t="str">
        <f>IF(ISBLANK(fixtures!$L253),"",":")</f>
        <v>:</v>
      </c>
      <c r="AG35" s="292">
        <f>IF(ISBLANK(fixtures!$L253),"",fixtures!$L253)</f>
        <v>0</v>
      </c>
      <c r="AH35" s="262" t="str">
        <f>IF(ISBLANK(fixtures!$L253),"",IF(AE35&gt;AG35,"W",IF(AE35=AG35,"D","L")))</f>
        <v>W</v>
      </c>
      <c r="AI35" s="262"/>
      <c r="AJ35" s="262"/>
      <c r="AK35" s="411">
        <v>15</v>
      </c>
      <c r="AL35" s="410" t="s">
        <v>110</v>
      </c>
      <c r="AM35" s="413">
        <f ca="1">IFERROR(INDIRECT("fixtures!" &amp; Dashboard!J1 &amp;264) - Dashboard!K1/24,"TBC")</f>
        <v>45000.895833333336</v>
      </c>
      <c r="AN35" s="410"/>
      <c r="AO35" s="410" t="s">
        <v>13</v>
      </c>
      <c r="AP35" s="410" t="s">
        <v>106</v>
      </c>
      <c r="AQ35" s="411">
        <f>IF(ISBLANK(fixtures!$L264),"",fixtures!$L264)</f>
        <v>2</v>
      </c>
      <c r="AR35" s="410" t="str">
        <f>IF(ISBLANK(fixtures!$L264),"",":")</f>
        <v>:</v>
      </c>
      <c r="AS35" s="412">
        <f>IF(ISBLANK(fixtures!$K264),"",fixtures!$K264)</f>
        <v>0</v>
      </c>
      <c r="AT35" s="410" t="str">
        <f>IF(ISBLANK(fixtures!$L264),"",IF(AQ35&gt;AS35,"W",IF(AQ35=AS35,"D","L")))</f>
        <v>W</v>
      </c>
      <c r="AU35" s="410"/>
      <c r="AV35" s="410"/>
      <c r="AW35" s="299" t="s">
        <v>25</v>
      </c>
      <c r="AX35" s="11"/>
      <c r="AY35" s="298"/>
      <c r="AZ35" s="11"/>
      <c r="BA35" s="11"/>
      <c r="BB35" s="11"/>
      <c r="BC35" s="96"/>
      <c r="BD35" s="11"/>
      <c r="BE35" s="98"/>
      <c r="BF35" s="11"/>
      <c r="BG35" s="11"/>
      <c r="BH35" s="11"/>
      <c r="BI35" s="181">
        <v>11</v>
      </c>
      <c r="BJ35" s="15" t="s">
        <v>107</v>
      </c>
      <c r="BK35" s="304">
        <f ca="1">IFERROR(INDIRECT("fixtures!" &amp; Dashboard!J1 &amp;256) - Dashboard!K1/24,"TBC")</f>
        <v>44996.708333333336</v>
      </c>
      <c r="BL35" s="15"/>
      <c r="BM35" s="15" t="s">
        <v>8</v>
      </c>
      <c r="BN35" s="15" t="s">
        <v>106</v>
      </c>
      <c r="BO35" s="181">
        <f>IF(ISBLANK(fixtures!$L256),"",fixtures!$L256)</f>
        <v>3</v>
      </c>
      <c r="BP35" s="15" t="str">
        <f>IF(ISBLANK(fixtures!$L256),"",":")</f>
        <v>:</v>
      </c>
      <c r="BQ35" s="183">
        <f>IF(ISBLANK(fixtures!$K256),"",fixtures!$K256)</f>
        <v>1</v>
      </c>
      <c r="BR35" s="15" t="str">
        <f>IF(ISBLANK(fixtures!$L256),"",IF(BO35&gt;BQ35,"W",IF(BO35=BQ35,"D","L")))</f>
        <v>W</v>
      </c>
      <c r="BS35" s="15"/>
      <c r="BT35" s="15"/>
      <c r="BU35" s="310">
        <v>11</v>
      </c>
      <c r="BV35" s="16" t="s">
        <v>107</v>
      </c>
      <c r="BW35" s="312">
        <f ca="1">IFERROR(INDIRECT("fixtures!" &amp; Dashboard!J1 &amp;258) - Dashboard!K1/24,"TBC")</f>
        <v>44996.8125</v>
      </c>
      <c r="BX35" s="16"/>
      <c r="BY35" s="16" t="s">
        <v>10</v>
      </c>
      <c r="BZ35" s="16" t="s">
        <v>108</v>
      </c>
      <c r="CA35" s="310">
        <f>IF(ISBLANK(fixtures!$K258),"",fixtures!$K258)</f>
        <v>0</v>
      </c>
      <c r="CB35" s="16" t="str">
        <f>IF(ISBLANK(fixtures!$L258),"",":")</f>
        <v>:</v>
      </c>
      <c r="CC35" s="311">
        <f>IF(ISBLANK(fixtures!$L258),"",fixtures!$L258)</f>
        <v>1</v>
      </c>
      <c r="CD35" s="16" t="str">
        <f>IF(ISBLANK(fixtures!$L258),"",IF(CA35&gt;CC35,"W",IF(CA35=CC35,"D","L")))</f>
        <v>L</v>
      </c>
      <c r="CE35" s="16"/>
      <c r="CF35" s="16"/>
      <c r="CG35" s="318">
        <v>5</v>
      </c>
      <c r="CH35" s="19" t="s">
        <v>105</v>
      </c>
      <c r="CI35" s="320">
        <f ca="1">IFERROR(INDIRECT("fixtures!" &amp; Dashboard!J1 &amp;250) - Dashboard!K1/24,"TBC")</f>
        <v>44990.666666666664</v>
      </c>
      <c r="CJ35" s="19"/>
      <c r="CK35" s="19" t="s">
        <v>204</v>
      </c>
      <c r="CL35" s="19" t="s">
        <v>106</v>
      </c>
      <c r="CM35" s="318">
        <f>IF(ISBLANK(fixtures!$L250),"",fixtures!$L250)</f>
        <v>2</v>
      </c>
      <c r="CN35" s="19" t="str">
        <f>IF(ISBLANK(fixtures!$L250),"",":")</f>
        <v>:</v>
      </c>
      <c r="CO35" s="319">
        <f>IF(ISBLANK(fixtures!$K250),"",fixtures!$K250)</f>
        <v>2</v>
      </c>
      <c r="CP35" s="19" t="str">
        <f>IF(ISBLANK(fixtures!$L250),"",IF(CM35&gt;CO35,"W",IF(CM35=CO35,"D","L")))</f>
        <v>D</v>
      </c>
      <c r="CQ35" s="19"/>
      <c r="CR35" s="19"/>
      <c r="CS35" s="326">
        <v>6</v>
      </c>
      <c r="CT35" s="178" t="s">
        <v>109</v>
      </c>
      <c r="CU35" s="328">
        <f ca="1">IFERROR(INDIRECT("fixtures!" &amp; Dashboard!J1 &amp;252) - Dashboard!K1/24,"TBC")</f>
        <v>44991.916666666664</v>
      </c>
      <c r="CV35" s="178"/>
      <c r="CW35" s="178" t="s">
        <v>125</v>
      </c>
      <c r="CX35" s="178" t="s">
        <v>106</v>
      </c>
      <c r="CY35" s="326">
        <f>IF(ISBLANK(fixtures!$L252),"",fixtures!$L252)</f>
        <v>2</v>
      </c>
      <c r="CZ35" s="178" t="str">
        <f>IF(ISBLANK(fixtures!$L252),"",":")</f>
        <v>:</v>
      </c>
      <c r="DA35" s="327">
        <f>IF(ISBLANK(fixtures!$K252),"",fixtures!$K252)</f>
        <v>3</v>
      </c>
      <c r="DB35" s="178" t="str">
        <f>IF(ISBLANK(fixtures!$L252),"",IF(CY35&gt;DA35,"W",IF(CY35=DA35,"D","L")))</f>
        <v>L</v>
      </c>
      <c r="DC35" s="178"/>
      <c r="DD35" s="178"/>
      <c r="DE35" s="334">
        <v>11</v>
      </c>
      <c r="DF35" s="177" t="s">
        <v>107</v>
      </c>
      <c r="DG35" s="336">
        <f ca="1">IFERROR(INDIRECT("fixtures!" &amp; Dashboard!J1 &amp;255) - Dashboard!K1/24,"TBC")</f>
        <v>44996.708333333336</v>
      </c>
      <c r="DH35" s="177"/>
      <c r="DI35" s="177" t="s">
        <v>4</v>
      </c>
      <c r="DJ35" s="177" t="s">
        <v>108</v>
      </c>
      <c r="DK35" s="334">
        <f>IF(ISBLANK(fixtures!$K255),"",fixtures!$K255)</f>
        <v>2</v>
      </c>
      <c r="DL35" s="177" t="str">
        <f>IF(ISBLANK(fixtures!$L255),"",":")</f>
        <v>:</v>
      </c>
      <c r="DM35" s="335">
        <f>IF(ISBLANK(fixtures!$L255),"",fixtures!$L255)</f>
        <v>2</v>
      </c>
      <c r="DN35" s="177" t="str">
        <f>IF(ISBLANK(fixtures!$L255),"",IF(DK35&gt;DM35,"W",IF(DK35=DM35,"D","L")))</f>
        <v>D</v>
      </c>
      <c r="DO35" s="177"/>
      <c r="DP35" s="177"/>
      <c r="DQ35" s="341">
        <v>11</v>
      </c>
      <c r="DR35" s="21" t="s">
        <v>107</v>
      </c>
      <c r="DS35" s="343">
        <f ca="1">IFERROR(INDIRECT("fixtures!" &amp; Dashboard!J1 &amp;256) - Dashboard!K1/24,"TBC")</f>
        <v>44996.708333333336</v>
      </c>
      <c r="DT35" s="21"/>
      <c r="DU35" s="21" t="s">
        <v>5</v>
      </c>
      <c r="DV35" s="21" t="s">
        <v>108</v>
      </c>
      <c r="DW35" s="341">
        <f>IF(ISBLANK(fixtures!$K256),"",fixtures!$K256)</f>
        <v>1</v>
      </c>
      <c r="DX35" s="21" t="str">
        <f>IF(ISBLANK(fixtures!$L256),"",":")</f>
        <v>:</v>
      </c>
      <c r="DY35" s="342">
        <f>IF(ISBLANK(fixtures!$L256),"",fixtures!$L256)</f>
        <v>3</v>
      </c>
      <c r="DZ35" s="21" t="str">
        <f>IF(ISBLANK(fixtures!$L256),"",IF(DW35&gt;DY35,"W",IF(DW35=DY35,"D","L")))</f>
        <v>L</v>
      </c>
      <c r="EA35" s="21"/>
      <c r="EB35" s="21"/>
      <c r="EC35" s="270">
        <v>11</v>
      </c>
      <c r="ED35" s="23" t="s">
        <v>107</v>
      </c>
      <c r="EE35" s="349">
        <f ca="1">IFERROR(INDIRECT("fixtures!" &amp; Dashboard!J1 &amp;253) - Dashboard!K1/24,"TBC")</f>
        <v>44996.604166666664</v>
      </c>
      <c r="EF35" s="23"/>
      <c r="EG35" s="23" t="s">
        <v>3</v>
      </c>
      <c r="EH35" s="23" t="s">
        <v>106</v>
      </c>
      <c r="EI35" s="270">
        <f>IF(ISBLANK(fixtures!$L253),"",fixtures!$L253)</f>
        <v>0</v>
      </c>
      <c r="EJ35" s="23" t="str">
        <f>IF(ISBLANK(fixtures!$L253),"",":")</f>
        <v>:</v>
      </c>
      <c r="EK35" s="272">
        <f>IF(ISBLANK(fixtures!$K253),"",fixtures!$K253)</f>
        <v>1</v>
      </c>
      <c r="EL35" s="23" t="str">
        <f>IF(ISBLANK(fixtures!$L253),"",IF(EI35&gt;EK35,"W",IF(EI35=EK35,"D","L")))</f>
        <v>L</v>
      </c>
      <c r="EM35" s="23"/>
      <c r="EN35" s="23"/>
      <c r="EO35" s="105">
        <v>4</v>
      </c>
      <c r="EP35" s="25" t="s">
        <v>107</v>
      </c>
      <c r="EQ35" s="355">
        <f ca="1">IFERROR(INDIRECT("fixtures!" &amp; Dashboard!J1 &amp;243) - Dashboard!K1/24,"TBC")</f>
        <v>44989.604166666664</v>
      </c>
      <c r="ER35" s="25"/>
      <c r="ES35" s="25" t="s">
        <v>12</v>
      </c>
      <c r="ET35" s="25" t="s">
        <v>108</v>
      </c>
      <c r="EU35" s="105">
        <f>IF(ISBLANK(fixtures!$K243),"",fixtures!$K243)</f>
        <v>2</v>
      </c>
      <c r="EV35" s="25" t="str">
        <f>IF(ISBLANK(fixtures!$L243),"",":")</f>
        <v>:</v>
      </c>
      <c r="EW35" s="107">
        <f>IF(ISBLANK(fixtures!$L243),"",fixtures!$L243)</f>
        <v>0</v>
      </c>
      <c r="EX35" s="25" t="str">
        <f>IF(ISBLANK(fixtures!$L243),"",IF(EU35&gt;EW35,"W",IF(EU35=EW35,"D","L")))</f>
        <v>W</v>
      </c>
      <c r="EY35" s="25"/>
      <c r="EZ35" s="25"/>
      <c r="FA35" s="361">
        <v>12</v>
      </c>
      <c r="FB35" s="27" t="s">
        <v>105</v>
      </c>
      <c r="FC35" s="363">
        <f ca="1">IFERROR(INDIRECT("fixtures!" &amp; Dashboard!J1 &amp;260) - Dashboard!K1/24,"TBC")</f>
        <v>44997.666666666664</v>
      </c>
      <c r="FD35" s="27"/>
      <c r="FE35" s="27" t="s">
        <v>13</v>
      </c>
      <c r="FF35" s="27" t="s">
        <v>108</v>
      </c>
      <c r="FG35" s="361">
        <f>IF(ISBLANK(fixtures!$K260),"",fixtures!$K260)</f>
        <v>0</v>
      </c>
      <c r="FH35" s="27" t="str">
        <f>IF(ISBLANK(fixtures!$L260),"",":")</f>
        <v>:</v>
      </c>
      <c r="FI35" s="362">
        <f>IF(ISBLANK(fixtures!$L260),"",fixtures!$L260)</f>
        <v>0</v>
      </c>
      <c r="FJ35" s="27" t="str">
        <f>IF(ISBLANK(fixtures!$L260),"",IF(FG35&gt;FI35,"W",IF(FG35=FI35,"D","L")))</f>
        <v>D</v>
      </c>
      <c r="FK35" s="27"/>
      <c r="FL35" s="27"/>
      <c r="FM35" s="110">
        <v>17</v>
      </c>
      <c r="FN35" s="29" t="s">
        <v>146</v>
      </c>
      <c r="FO35" s="369">
        <f ca="1">IFERROR(INDIRECT("fixtures!" &amp; Dashboard!J1 &amp;265) - Dashboard!K1/24,"TBC")</f>
        <v>45002.916666666664</v>
      </c>
      <c r="FP35" s="29"/>
      <c r="FQ35" s="29" t="s">
        <v>204</v>
      </c>
      <c r="FR35" s="29" t="s">
        <v>106</v>
      </c>
      <c r="FS35" s="110">
        <f>IF(ISBLANK(fixtures!$L265),"",fixtures!$L265)</f>
        <v>2</v>
      </c>
      <c r="FT35" s="29" t="str">
        <f>IF(ISBLANK(fixtures!$L265),"",":")</f>
        <v>:</v>
      </c>
      <c r="FU35" s="112">
        <f>IF(ISBLANK(fixtures!$K265),"",fixtures!$K265)</f>
        <v>1</v>
      </c>
      <c r="FV35" s="29" t="str">
        <f>IF(ISBLANK(fixtures!$L265),"",IF(FS35&gt;FU35,"W",IF(FS35=FU35,"D","L")))</f>
        <v>W</v>
      </c>
      <c r="FW35" s="29"/>
      <c r="FX35" s="29"/>
      <c r="FY35" s="375">
        <v>11</v>
      </c>
      <c r="FZ35" s="264" t="s">
        <v>107</v>
      </c>
      <c r="GA35" s="377">
        <f ca="1">IFERROR(INDIRECT("fixtures!" &amp; Dashboard!J1 &amp;257) - Dashboard!K1/24,"TBC")</f>
        <v>44996.708333333336</v>
      </c>
      <c r="GB35" s="264"/>
      <c r="GC35" s="264" t="s">
        <v>14</v>
      </c>
      <c r="GD35" s="264" t="s">
        <v>106</v>
      </c>
      <c r="GE35" s="375">
        <f>IF(ISBLANK(fixtures!$L257),"",fixtures!$L257)</f>
        <v>1</v>
      </c>
      <c r="GF35" s="264" t="str">
        <f>IF(ISBLANK(fixtures!$L257),"",":")</f>
        <v>:</v>
      </c>
      <c r="GG35" s="376">
        <f>IF(ISBLANK(fixtures!$K257),"",fixtures!$K257)</f>
        <v>3</v>
      </c>
      <c r="GH35" s="264" t="str">
        <f>IF(ISBLANK(fixtures!$L257),"",IF(GE35&gt;GG35,"W",IF(GE35=GG35,"D","L")))</f>
        <v>L</v>
      </c>
      <c r="GI35" s="264"/>
      <c r="GJ35" s="264"/>
      <c r="GK35" s="382">
        <v>12</v>
      </c>
      <c r="GL35" s="30" t="s">
        <v>105</v>
      </c>
      <c r="GM35" s="384">
        <f ca="1">IFERROR(INDIRECT("fixtures!" &amp; Dashboard!J1 &amp;260) - Dashboard!K1/24,"TBC")</f>
        <v>44997.666666666664</v>
      </c>
      <c r="GN35" s="30"/>
      <c r="GO35" s="30" t="s">
        <v>11</v>
      </c>
      <c r="GP35" s="30" t="s">
        <v>106</v>
      </c>
      <c r="GQ35" s="382">
        <f>IF(ISBLANK(fixtures!$L260),"",fixtures!$L260)</f>
        <v>0</v>
      </c>
      <c r="GR35" s="30" t="str">
        <f>IF(ISBLANK(fixtures!$L260),"",":")</f>
        <v>:</v>
      </c>
      <c r="GS35" s="383">
        <f>IF(ISBLANK(fixtures!$K260),"",fixtures!$K260)</f>
        <v>0</v>
      </c>
      <c r="GT35" s="30" t="str">
        <f>IF(ISBLANK(fixtures!$L260),"",IF(GQ35&gt;GS35,"W",IF(GQ35=GS35,"D","L")))</f>
        <v>D</v>
      </c>
      <c r="GU35" s="30"/>
      <c r="GV35" s="30"/>
      <c r="GW35" s="115">
        <v>4</v>
      </c>
      <c r="GX35" s="32" t="s">
        <v>107</v>
      </c>
      <c r="GY35" s="390">
        <f ca="1">IFERROR(INDIRECT("fixtures!" &amp; Dashboard!J1 &amp;248) - Dashboard!K1/24,"TBC")</f>
        <v>44989.708333333336</v>
      </c>
      <c r="GZ35" s="32"/>
      <c r="HA35" s="32" t="s">
        <v>16</v>
      </c>
      <c r="HB35" s="32" t="s">
        <v>106</v>
      </c>
      <c r="HC35" s="115">
        <f>IF(ISBLANK(fixtures!$L248),"",fixtures!$L248)</f>
        <v>0</v>
      </c>
      <c r="HD35" s="32" t="str">
        <f>IF(ISBLANK(fixtures!$L248),"",":")</f>
        <v>:</v>
      </c>
      <c r="HE35" s="117">
        <f>IF(ISBLANK(fixtures!$K248),"",fixtures!$K248)</f>
        <v>1</v>
      </c>
      <c r="HF35" s="32" t="str">
        <f>IF(ISBLANK(fixtures!$L248),"",IF(HC35&gt;HE35,"W",IF(HC35=HE35,"D","L")))</f>
        <v>L</v>
      </c>
      <c r="HG35" s="32"/>
      <c r="HH35" s="32"/>
      <c r="HI35" s="120">
        <v>12</v>
      </c>
      <c r="HJ35" s="34" t="s">
        <v>105</v>
      </c>
      <c r="HK35" s="396">
        <f ca="1">IFERROR(INDIRECT("fixtures!" &amp; Dashboard!J1 &amp;261) - Dashboard!K1/24,"TBC")</f>
        <v>44997.666666666664</v>
      </c>
      <c r="HL35" s="34"/>
      <c r="HM35" s="34" t="s">
        <v>2</v>
      </c>
      <c r="HN35" s="34" t="s">
        <v>108</v>
      </c>
      <c r="HO35" s="120">
        <f>IF(ISBLANK(fixtures!$K261),"",fixtures!$K261)</f>
        <v>1</v>
      </c>
      <c r="HP35" s="34" t="str">
        <f>IF(ISBLANK(fixtures!$L261),"",":")</f>
        <v>:</v>
      </c>
      <c r="HQ35" s="122">
        <f>IF(ISBLANK(fixtures!$L261),"",fixtures!$L261)</f>
        <v>1</v>
      </c>
      <c r="HR35" s="34" t="str">
        <f>IF(ISBLANK(fixtures!$L261),"",IF(HO35&gt;HQ35,"W",IF(HO35=HQ35,"D","L")))</f>
        <v>D</v>
      </c>
      <c r="HS35" s="34"/>
      <c r="HT35" s="34"/>
      <c r="HU35" s="125">
        <v>4</v>
      </c>
      <c r="HV35" s="36" t="s">
        <v>107</v>
      </c>
      <c r="HW35" s="402">
        <f ca="1">IFERROR(INDIRECT("fixtures!" &amp; Dashboard!J1 &amp;248) - Dashboard!K1/24,"TBC")</f>
        <v>44989.708333333336</v>
      </c>
      <c r="HX35" s="36"/>
      <c r="HY35" s="36" t="s">
        <v>14</v>
      </c>
      <c r="HZ35" s="36" t="s">
        <v>108</v>
      </c>
      <c r="IA35" s="125">
        <f>IF(ISBLANK(fixtures!$K248),"",fixtures!$K248)</f>
        <v>1</v>
      </c>
      <c r="IB35" s="36" t="str">
        <f>IF(ISBLANK(fixtures!$L248),"",":")</f>
        <v>:</v>
      </c>
      <c r="IC35" s="127">
        <f>IF(ISBLANK(fixtures!$L248),"",fixtures!$L248)</f>
        <v>0</v>
      </c>
      <c r="ID35" s="36" t="str">
        <f>IF(ISBLANK(fixtures!$L248),"",IF(IA35&gt;IC35,"W",IF(IA35=IC35,"D","L")))</f>
        <v>W</v>
      </c>
      <c r="IE35" s="36"/>
      <c r="IF35" s="36"/>
      <c r="II35" s="142"/>
    </row>
    <row r="36" spans="1:252" x14ac:dyDescent="0.4">
      <c r="A36" s="91">
        <v>12</v>
      </c>
      <c r="B36" s="6" t="s">
        <v>105</v>
      </c>
      <c r="C36" s="277">
        <f ca="1">IFERROR(INDIRECT("fixtures!" &amp; Dashboard!J1 &amp;259) - Dashboard!K1/24,"TBC")</f>
        <v>44997.666666666664</v>
      </c>
      <c r="D36" s="6"/>
      <c r="E36" s="6" t="s">
        <v>126</v>
      </c>
      <c r="F36" s="6" t="s">
        <v>106</v>
      </c>
      <c r="G36" s="91">
        <f>IF(ISBLANK(fixtures!$L259),"",fixtures!$L259)</f>
        <v>3</v>
      </c>
      <c r="H36" s="6" t="str">
        <f>IF(ISBLANK(fixtures!$L259),"",":")</f>
        <v>:</v>
      </c>
      <c r="I36" s="93">
        <f>IF(ISBLANK(fixtures!$K259),"",fixtures!$K259)</f>
        <v>0</v>
      </c>
      <c r="J36" s="6" t="str">
        <f>IF(ISBLANK(fixtures!$L259),"",IF(G36&gt;I36,"W",IF(G36=I36,"D","L")))</f>
        <v>W</v>
      </c>
      <c r="K36" s="6"/>
      <c r="L36" s="6"/>
      <c r="M36" s="282">
        <v>18</v>
      </c>
      <c r="N36" s="9" t="s">
        <v>107</v>
      </c>
      <c r="O36" s="284">
        <f ca="1">IFERROR(INDIRECT("fixtures!" &amp; Dashboard!J1 &amp;266) - Dashboard!K1/24,"TBC")</f>
        <v>45003.708333333336</v>
      </c>
      <c r="P36" s="9"/>
      <c r="Q36" s="9" t="s">
        <v>3</v>
      </c>
      <c r="R36" s="9" t="s">
        <v>108</v>
      </c>
      <c r="S36" s="282">
        <f>IF(ISBLANK(fixtures!$K266),"",fixtures!$K266)</f>
        <v>3</v>
      </c>
      <c r="T36" s="9" t="str">
        <f>IF(ISBLANK(fixtures!$L266),"",":")</f>
        <v>:</v>
      </c>
      <c r="U36" s="283">
        <f>IF(ISBLANK(fixtures!$L266),"",fixtures!$L266)</f>
        <v>0</v>
      </c>
      <c r="V36" s="9" t="str">
        <f>IF(ISBLANK(fixtures!$L266),"",IF(S36&gt;U36,"W",IF(S36=U36,"D","L")))</f>
        <v>W</v>
      </c>
      <c r="W36" s="9"/>
      <c r="X36" s="9"/>
      <c r="Y36" s="290">
        <v>18</v>
      </c>
      <c r="Z36" s="262" t="s">
        <v>107</v>
      </c>
      <c r="AA36" s="291">
        <f ca="1">IFERROR(INDIRECT("fixtures!" &amp; Dashboard!J1 &amp;266) - Dashboard!K1/24,"TBC")</f>
        <v>45003.708333333336</v>
      </c>
      <c r="AB36" s="262"/>
      <c r="AC36" s="262" t="s">
        <v>2</v>
      </c>
      <c r="AD36" s="262" t="s">
        <v>106</v>
      </c>
      <c r="AE36" s="290">
        <f>IF(ISBLANK(fixtures!$L266),"",fixtures!$L266)</f>
        <v>0</v>
      </c>
      <c r="AF36" s="262" t="str">
        <f>IF(ISBLANK(fixtures!$L266),"",":")</f>
        <v>:</v>
      </c>
      <c r="AG36" s="292">
        <f>IF(ISBLANK(fixtures!$K266),"",fixtures!$K266)</f>
        <v>3</v>
      </c>
      <c r="AH36" s="262" t="str">
        <f>IF(ISBLANK(fixtures!$L266),"",IF(AE36&gt;AG36,"W",IF(AE36=AG36,"D","L")))</f>
        <v>L</v>
      </c>
      <c r="AI36" s="262"/>
      <c r="AJ36" s="262"/>
      <c r="AK36" s="411">
        <v>18</v>
      </c>
      <c r="AL36" s="412" t="s">
        <v>107</v>
      </c>
      <c r="AM36" s="413">
        <f ca="1">IFERROR(INDIRECT("fixtures!" &amp; Dashboard!J1 &amp;267) - Dashboard!K1/24,"TBC")</f>
        <v>45003.708333333336</v>
      </c>
      <c r="AN36" s="410"/>
      <c r="AO36" s="410" t="s">
        <v>8</v>
      </c>
      <c r="AP36" s="410" t="s">
        <v>108</v>
      </c>
      <c r="AQ36" s="411">
        <f>IF(ISBLANK(fixtures!$K267),"",fixtures!$K267)</f>
        <v>1</v>
      </c>
      <c r="AR36" s="410" t="str">
        <f>IF(ISBLANK(fixtures!$L267),"",":")</f>
        <v>:</v>
      </c>
      <c r="AS36" s="412">
        <f>IF(ISBLANK(fixtures!$L267),"",fixtures!$L267)</f>
        <v>1</v>
      </c>
      <c r="AT36" s="410" t="str">
        <f>IF(ISBLANK(fixtures!$L267),"",IF(AQ36&gt;AS36,"W",IF(AQ36=AS36,"D","L")))</f>
        <v>D</v>
      </c>
      <c r="AU36" s="410"/>
      <c r="AV36" s="410"/>
      <c r="AW36" s="96">
        <v>1</v>
      </c>
      <c r="AX36" s="11" t="s">
        <v>107</v>
      </c>
      <c r="AY36" s="298">
        <f ca="1">IFERROR(INDIRECT("fixtures!" &amp; Dashboard!J1 &amp;275) - Dashboard!K1/24,"TBC")</f>
        <v>45017.708333333336</v>
      </c>
      <c r="AZ36" s="11"/>
      <c r="BA36" s="11" t="s">
        <v>125</v>
      </c>
      <c r="BB36" s="11" t="s">
        <v>108</v>
      </c>
      <c r="BC36" s="96">
        <f>IF(ISBLANK(fixtures!$K275),"",fixtures!$K275)</f>
        <v>3</v>
      </c>
      <c r="BD36" s="11" t="str">
        <f>IF(ISBLANK(fixtures!$L275),"",":")</f>
        <v>:</v>
      </c>
      <c r="BE36" s="98">
        <f>IF(ISBLANK(fixtures!$L275),"",fixtures!$L275)</f>
        <v>3</v>
      </c>
      <c r="BF36" s="11" t="str">
        <f>IF(ISBLANK(fixtures!$L275),"",IF(BC36&gt;BE36,"W",IF(BC36=BE36,"D","L")))</f>
        <v>D</v>
      </c>
      <c r="BG36" s="11"/>
      <c r="BH36" s="11"/>
      <c r="BI36" s="181">
        <v>18</v>
      </c>
      <c r="BJ36" s="15" t="s">
        <v>107</v>
      </c>
      <c r="BK36" s="304">
        <f ca="1">IFERROR(INDIRECT("fixtures!" &amp; Dashboard!J1 &amp;270) - Dashboard!K1/24,"TBC")</f>
        <v>45003.8125</v>
      </c>
      <c r="BL36" s="15"/>
      <c r="BM36" s="15" t="s">
        <v>7</v>
      </c>
      <c r="BN36" s="15" t="s">
        <v>108</v>
      </c>
      <c r="BO36" s="181">
        <f>IF(ISBLANK(fixtures!$K270),"",fixtures!$K270)</f>
        <v>2</v>
      </c>
      <c r="BP36" s="15" t="str">
        <f>IF(ISBLANK(fixtures!$L270),"",":")</f>
        <v>:</v>
      </c>
      <c r="BQ36" s="183">
        <f>IF(ISBLANK(fixtures!$L270),"",fixtures!$L270)</f>
        <v>2</v>
      </c>
      <c r="BR36" s="15" t="str">
        <f>IF(ISBLANK(fixtures!$L270),"",IF(BO36&gt;BQ36,"W",IF(BO36=BQ36,"D","L")))</f>
        <v>D</v>
      </c>
      <c r="BS36" s="15"/>
      <c r="BT36" s="15"/>
      <c r="BU36" s="310">
        <v>15</v>
      </c>
      <c r="BV36" s="16" t="s">
        <v>110</v>
      </c>
      <c r="BW36" s="312">
        <f ca="1">IFERROR(INDIRECT("fixtures!" &amp; Dashboard!J1 &amp;263) - Dashboard!K1/24,"TBC")</f>
        <v>45000.895833333336</v>
      </c>
      <c r="BX36" s="16"/>
      <c r="BY36" s="16" t="s">
        <v>4</v>
      </c>
      <c r="BZ36" s="16" t="s">
        <v>106</v>
      </c>
      <c r="CA36" s="310">
        <f>IF(ISBLANK(fixtures!$L263),"",fixtures!$L263)</f>
        <v>0</v>
      </c>
      <c r="CB36" s="16" t="str">
        <f>IF(ISBLANK(fixtures!$L263),"",":")</f>
        <v>:</v>
      </c>
      <c r="CC36" s="311">
        <f>IF(ISBLANK(fixtures!$K263),"",fixtures!$K263)</f>
        <v>1</v>
      </c>
      <c r="CD36" s="16" t="str">
        <f>IF(ISBLANK(fixtures!$L263),"",IF(CA36&gt;CC36,"W",IF(CA36=CC36,"D","L")))</f>
        <v>L</v>
      </c>
      <c r="CE36" s="16"/>
      <c r="CF36" s="16"/>
      <c r="CG36" s="318">
        <v>11</v>
      </c>
      <c r="CH36" s="19" t="s">
        <v>107</v>
      </c>
      <c r="CI36" s="320">
        <f ca="1">IFERROR(INDIRECT("fixtures!" &amp; Dashboard!J1 &amp;254) - Dashboard!K1/24,"TBC")</f>
        <v>44996.708333333336</v>
      </c>
      <c r="CJ36" s="19"/>
      <c r="CK36" s="19" t="s">
        <v>125</v>
      </c>
      <c r="CL36" s="19" t="s">
        <v>108</v>
      </c>
      <c r="CM36" s="318">
        <f>IF(ISBLANK(fixtures!$K254),"",fixtures!$K254)</f>
        <v>1</v>
      </c>
      <c r="CN36" s="19" t="str">
        <f>IF(ISBLANK(fixtures!$L254),"",":")</f>
        <v>:</v>
      </c>
      <c r="CO36" s="319">
        <f>IF(ISBLANK(fixtures!$L254),"",fixtures!$L254)</f>
        <v>0</v>
      </c>
      <c r="CP36" s="19" t="str">
        <f>IF(ISBLANK(fixtures!$L254),"",IF(CM36&gt;CO36,"W",IF(CM36=CO36,"D","L")))</f>
        <v>W</v>
      </c>
      <c r="CQ36" s="19"/>
      <c r="CR36" s="19"/>
      <c r="CS36" s="326">
        <v>12</v>
      </c>
      <c r="CT36" s="178" t="s">
        <v>105</v>
      </c>
      <c r="CU36" s="328">
        <f ca="1">IFERROR(INDIRECT("fixtures!" &amp; Dashboard!J1 &amp;259) - Dashboard!K1/24,"TBC")</f>
        <v>44997.666666666664</v>
      </c>
      <c r="CV36" s="178"/>
      <c r="CW36" s="178" t="s">
        <v>1</v>
      </c>
      <c r="CX36" s="178" t="s">
        <v>108</v>
      </c>
      <c r="CY36" s="326">
        <f>IF(ISBLANK(fixtures!$K259),"",fixtures!$K259)</f>
        <v>0</v>
      </c>
      <c r="CZ36" s="178" t="str">
        <f>IF(ISBLANK(fixtures!$L259),"",":")</f>
        <v>:</v>
      </c>
      <c r="DA36" s="327">
        <f>IF(ISBLANK(fixtures!$L259),"",fixtures!$L259)</f>
        <v>3</v>
      </c>
      <c r="DB36" s="178" t="str">
        <f>IF(ISBLANK(fixtures!$L259),"",IF(CY36&gt;DA36,"W",IF(CY36=DA36,"D","L")))</f>
        <v>L</v>
      </c>
      <c r="DC36" s="178"/>
      <c r="DD36" s="178"/>
      <c r="DE36" s="334">
        <v>18</v>
      </c>
      <c r="DF36" s="177" t="s">
        <v>107</v>
      </c>
      <c r="DG36" s="336">
        <f ca="1">IFERROR(INDIRECT("fixtures!" &amp; Dashboard!J1 &amp;269) - Dashboard!K1/24,"TBC")</f>
        <v>45003.708333333336</v>
      </c>
      <c r="DH36" s="177"/>
      <c r="DI36" s="177" t="s">
        <v>16</v>
      </c>
      <c r="DJ36" s="177" t="s">
        <v>106</v>
      </c>
      <c r="DK36" s="334">
        <f>IF(ISBLANK(fixtures!$L269),"",fixtures!$L269)</f>
        <v>4</v>
      </c>
      <c r="DL36" s="177" t="str">
        <f>IF(ISBLANK(fixtures!$L269),"",":")</f>
        <v>:</v>
      </c>
      <c r="DM36" s="335">
        <f>IF(ISBLANK(fixtures!$K269),"",fixtures!$K269)</f>
        <v>2</v>
      </c>
      <c r="DN36" s="177" t="str">
        <f>IF(ISBLANK(fixtures!$L269),"",IF(DK36&gt;DM36,"W",IF(DK36=DM36,"D","L")))</f>
        <v>W</v>
      </c>
      <c r="DO36" s="177"/>
      <c r="DP36" s="177"/>
      <c r="DQ36" s="341">
        <v>18</v>
      </c>
      <c r="DR36" s="21" t="s">
        <v>107</v>
      </c>
      <c r="DS36" s="343">
        <f ca="1">IFERROR(INDIRECT("fixtures!" &amp; Dashboard!J1 &amp;267) - Dashboard!K1/24,"TBC")</f>
        <v>45003.708333333336</v>
      </c>
      <c r="DT36" s="21"/>
      <c r="DU36" s="21" t="s">
        <v>125</v>
      </c>
      <c r="DV36" s="21" t="s">
        <v>106</v>
      </c>
      <c r="DW36" s="341">
        <f>IF(ISBLANK(fixtures!$L267),"",fixtures!$L267)</f>
        <v>1</v>
      </c>
      <c r="DX36" s="21" t="str">
        <f>IF(ISBLANK(fixtures!$L267),"",":")</f>
        <v>:</v>
      </c>
      <c r="DY36" s="342">
        <f>IF(ISBLANK(fixtures!$K267),"",fixtures!$K267)</f>
        <v>1</v>
      </c>
      <c r="DZ36" s="21" t="str">
        <f>IF(ISBLANK(fixtures!$L267),"",IF(DW36&gt;DY36,"W",IF(DW36=DY36,"D","L")))</f>
        <v>D</v>
      </c>
      <c r="EA36" s="21"/>
      <c r="EB36" s="21"/>
      <c r="EC36" s="350" t="s">
        <v>25</v>
      </c>
      <c r="ED36" s="23"/>
      <c r="EE36" s="349"/>
      <c r="EF36" s="23"/>
      <c r="EG36" s="23"/>
      <c r="EH36" s="23"/>
      <c r="EI36" s="270"/>
      <c r="EJ36" s="23"/>
      <c r="EK36" s="272"/>
      <c r="EL36" s="23"/>
      <c r="EM36" s="23"/>
      <c r="EN36" s="23"/>
      <c r="EO36" s="105">
        <v>11</v>
      </c>
      <c r="EP36" s="25" t="s">
        <v>107</v>
      </c>
      <c r="EQ36" s="355">
        <f ca="1">IFERROR(INDIRECT("fixtures!" &amp; Dashboard!J1 &amp;258) - Dashboard!K1/24,"TBC")</f>
        <v>44996.8125</v>
      </c>
      <c r="ER36" s="25"/>
      <c r="ES36" s="25" t="s">
        <v>6</v>
      </c>
      <c r="ET36" s="25" t="s">
        <v>106</v>
      </c>
      <c r="EU36" s="105">
        <f>IF(ISBLANK(fixtures!$L258),"",fixtures!$L258)</f>
        <v>1</v>
      </c>
      <c r="EV36" s="25" t="str">
        <f>IF(ISBLANK(fixtures!$L258),"",":")</f>
        <v>:</v>
      </c>
      <c r="EW36" s="107">
        <f>IF(ISBLANK(fixtures!$K258),"",fixtures!$K258)</f>
        <v>0</v>
      </c>
      <c r="EX36" s="25" t="str">
        <f>IF(ISBLANK(fixtures!$L258),"",IF(EU36&gt;EW36,"W",IF(EU36=EW36,"D","L")))</f>
        <v>W</v>
      </c>
      <c r="EY36" s="25"/>
      <c r="EZ36" s="25"/>
      <c r="FA36" s="364" t="s">
        <v>25</v>
      </c>
      <c r="FB36" s="27"/>
      <c r="FC36" s="363"/>
      <c r="FD36" s="27"/>
      <c r="FE36" s="27"/>
      <c r="FF36" s="27"/>
      <c r="FG36" s="361"/>
      <c r="FH36" s="27"/>
      <c r="FI36" s="362"/>
      <c r="FJ36" s="27"/>
      <c r="FK36" s="27"/>
      <c r="FL36" s="27"/>
      <c r="FM36" s="370" t="s">
        <v>25</v>
      </c>
      <c r="FN36" s="29"/>
      <c r="FO36" s="369"/>
      <c r="FP36" s="29"/>
      <c r="FQ36" s="29"/>
      <c r="FR36" s="29"/>
      <c r="FS36" s="110"/>
      <c r="FT36" s="29"/>
      <c r="FU36" s="112"/>
      <c r="FV36" s="29"/>
      <c r="FW36" s="29"/>
      <c r="FX36" s="29"/>
      <c r="FY36" s="375">
        <v>17</v>
      </c>
      <c r="FZ36" s="264" t="s">
        <v>146</v>
      </c>
      <c r="GA36" s="377">
        <f ca="1">IFERROR(INDIRECT("fixtures!" &amp; Dashboard!J1 &amp;265) - Dashboard!K1/24,"TBC")</f>
        <v>45002.916666666664</v>
      </c>
      <c r="GB36" s="264"/>
      <c r="GC36" s="264" t="s">
        <v>12</v>
      </c>
      <c r="GD36" s="264" t="s">
        <v>108</v>
      </c>
      <c r="GE36" s="375">
        <f>IF(ISBLANK(fixtures!$K265),"",fixtures!$K265)</f>
        <v>1</v>
      </c>
      <c r="GF36" s="264" t="str">
        <f>IF(ISBLANK(fixtures!$L265),"",":")</f>
        <v>:</v>
      </c>
      <c r="GG36" s="376">
        <f>IF(ISBLANK(fixtures!$L265),"",fixtures!$L265)</f>
        <v>2</v>
      </c>
      <c r="GH36" s="264" t="str">
        <f>IF(ISBLANK(fixtures!$L265),"",IF(GE36&gt;GG36,"W",IF(GE36=GG36,"D","L")))</f>
        <v>L</v>
      </c>
      <c r="GI36" s="264"/>
      <c r="GJ36" s="264"/>
      <c r="GK36" s="382">
        <v>15</v>
      </c>
      <c r="GL36" s="30" t="s">
        <v>110</v>
      </c>
      <c r="GM36" s="384">
        <f ca="1">IFERROR(INDIRECT("fixtures!" &amp; Dashboard!J1 &amp;264) - Dashboard!K1/24,"TBC")</f>
        <v>45000.895833333336</v>
      </c>
      <c r="GN36" s="30"/>
      <c r="GO36" s="30" t="s">
        <v>125</v>
      </c>
      <c r="GP36" s="30" t="s">
        <v>108</v>
      </c>
      <c r="GQ36" s="382">
        <f>IF(ISBLANK(fixtures!$K264),"",fixtures!$K264)</f>
        <v>0</v>
      </c>
      <c r="GR36" s="30" t="str">
        <f>IF(ISBLANK(fixtures!$L264),"",":")</f>
        <v>:</v>
      </c>
      <c r="GS36" s="383">
        <f>IF(ISBLANK(fixtures!$L264),"",fixtures!$L264)</f>
        <v>2</v>
      </c>
      <c r="GT36" s="30" t="str">
        <f>IF(ISBLANK(fixtures!$L264),"",IF(GQ36&gt;GS36,"W",IF(GQ36=GS36,"D","L")))</f>
        <v>L</v>
      </c>
      <c r="GU36" s="30"/>
      <c r="GV36" s="30"/>
      <c r="GW36" s="115">
        <v>11</v>
      </c>
      <c r="GX36" s="32" t="s">
        <v>107</v>
      </c>
      <c r="GY36" s="390">
        <f ca="1">IFERROR(INDIRECT("fixtures!" &amp; Dashboard!J1 &amp;257) - Dashboard!K1/24,"TBC")</f>
        <v>44996.708333333336</v>
      </c>
      <c r="GZ36" s="32"/>
      <c r="HA36" s="32" t="s">
        <v>204</v>
      </c>
      <c r="HB36" s="32" t="s">
        <v>108</v>
      </c>
      <c r="HC36" s="115">
        <f>IF(ISBLANK(fixtures!$K257),"",fixtures!$K257)</f>
        <v>3</v>
      </c>
      <c r="HD36" s="32" t="str">
        <f>IF(ISBLANK(fixtures!$L257),"",":")</f>
        <v>:</v>
      </c>
      <c r="HE36" s="117">
        <f>IF(ISBLANK(fixtures!$L257),"",fixtures!$L257)</f>
        <v>1</v>
      </c>
      <c r="HF36" s="32" t="str">
        <f>IF(ISBLANK(fixtures!$L257),"",IF(HC36&gt;HE36,"W",IF(HC36=HE36,"D","L")))</f>
        <v>W</v>
      </c>
      <c r="HG36" s="32"/>
      <c r="HH36" s="32"/>
      <c r="HI36" s="397" t="s">
        <v>25</v>
      </c>
      <c r="HJ36" s="34"/>
      <c r="HK36" s="396"/>
      <c r="HL36" s="34"/>
      <c r="HM36" s="34"/>
      <c r="HN36" s="34"/>
      <c r="HO36" s="120"/>
      <c r="HP36" s="34"/>
      <c r="HQ36" s="122"/>
      <c r="HR36" s="34"/>
      <c r="HS36" s="34"/>
      <c r="HT36" s="34"/>
      <c r="HU36" s="125">
        <v>12</v>
      </c>
      <c r="HV36" s="36" t="s">
        <v>105</v>
      </c>
      <c r="HW36" s="402">
        <f ca="1">IFERROR(INDIRECT("fixtures!" &amp; Dashboard!J1 &amp;262) - Dashboard!K1/24,"TBC")</f>
        <v>44997.770833333336</v>
      </c>
      <c r="HX36" s="36"/>
      <c r="HY36" s="36" t="s">
        <v>12</v>
      </c>
      <c r="HZ36" s="36" t="s">
        <v>106</v>
      </c>
      <c r="IA36" s="125">
        <f>IF(ISBLANK(fixtures!$L262),"",fixtures!$L262)</f>
        <v>1</v>
      </c>
      <c r="IB36" s="36" t="str">
        <f>IF(ISBLANK(fixtures!$L262),"",":")</f>
        <v>:</v>
      </c>
      <c r="IC36" s="127">
        <f>IF(ISBLANK(fixtures!$K262),"",fixtures!$K262)</f>
        <v>2</v>
      </c>
      <c r="ID36" s="36" t="str">
        <f>IF(ISBLANK(fixtures!$L262),"",IF(IA36&gt;IC36,"W",IF(IA36=IC36,"D","L")))</f>
        <v>L</v>
      </c>
      <c r="IE36" s="36"/>
      <c r="IF36" s="36"/>
      <c r="II36" s="142"/>
      <c r="IQ36" s="143"/>
      <c r="IR36" s="143"/>
    </row>
    <row r="37" spans="1:252" x14ac:dyDescent="0.4">
      <c r="A37" s="91">
        <v>19</v>
      </c>
      <c r="B37" s="6" t="s">
        <v>105</v>
      </c>
      <c r="C37" s="277">
        <f ca="1">IFERROR(INDIRECT("fixtures!" &amp; Dashboard!J1 &amp;271) - Dashboard!K1/24,"TBC")</f>
        <v>45004.666666666664</v>
      </c>
      <c r="D37" s="6"/>
      <c r="E37" s="6" t="s">
        <v>6</v>
      </c>
      <c r="F37" s="6" t="s">
        <v>108</v>
      </c>
      <c r="G37" s="91">
        <f>IF(ISBLANK(fixtures!$K271),"",fixtures!$K271)</f>
        <v>4</v>
      </c>
      <c r="H37" s="6" t="str">
        <f>IF(ISBLANK(fixtures!$L271),"",":")</f>
        <v>:</v>
      </c>
      <c r="I37" s="93">
        <f>IF(ISBLANK(fixtures!$L271),"",fixtures!$L271)</f>
        <v>1</v>
      </c>
      <c r="J37" s="6" t="str">
        <f>IF(ISBLANK(fixtures!$L271),"",IF(G37&gt;I37,"W",IF(G37=I37,"D","L")))</f>
        <v>W</v>
      </c>
      <c r="K37" s="6"/>
      <c r="L37" s="6"/>
      <c r="M37" s="285" t="s">
        <v>25</v>
      </c>
      <c r="N37" s="9"/>
      <c r="O37" s="284"/>
      <c r="P37" s="9"/>
      <c r="Q37" s="9"/>
      <c r="R37" s="9"/>
      <c r="S37" s="282"/>
      <c r="T37" s="9"/>
      <c r="U37" s="283"/>
      <c r="V37" s="9"/>
      <c r="W37" s="9"/>
      <c r="X37" s="9"/>
      <c r="Y37" s="293" t="s">
        <v>25</v>
      </c>
      <c r="Z37" s="262"/>
      <c r="AA37" s="291"/>
      <c r="AB37" s="262"/>
      <c r="AC37" s="262"/>
      <c r="AD37" s="262"/>
      <c r="AE37" s="290"/>
      <c r="AF37" s="262"/>
      <c r="AG37" s="292"/>
      <c r="AH37" s="262"/>
      <c r="AI37" s="262"/>
      <c r="AJ37" s="262"/>
      <c r="AK37" s="414" t="s">
        <v>25</v>
      </c>
      <c r="AL37" s="410"/>
      <c r="AM37" s="413"/>
      <c r="AN37" s="410"/>
      <c r="AO37" s="410"/>
      <c r="AP37" s="410"/>
      <c r="AQ37" s="411"/>
      <c r="AR37" s="410"/>
      <c r="AS37" s="412"/>
      <c r="AT37" s="410"/>
      <c r="AU37" s="410"/>
      <c r="AV37" s="410"/>
      <c r="AW37" s="96">
        <v>4</v>
      </c>
      <c r="AX37" s="11" t="s">
        <v>111</v>
      </c>
      <c r="AY37" s="298">
        <f ca="1">IFERROR(INDIRECT("fixtures!" &amp; Dashboard!J1 &amp;282) - Dashboard!K1/24,"TBC")</f>
        <v>45020.90625</v>
      </c>
      <c r="AZ37" s="11"/>
      <c r="BA37" s="11" t="s">
        <v>3</v>
      </c>
      <c r="BB37" s="11" t="s">
        <v>106</v>
      </c>
      <c r="BC37" s="96">
        <f>IF(ISBLANK(fixtures!$L282),"",fixtures!$L282)</f>
        <v>2</v>
      </c>
      <c r="BD37" s="11" t="str">
        <f>IF(ISBLANK(fixtures!$L282),"",":")</f>
        <v>:</v>
      </c>
      <c r="BE37" s="98">
        <f>IF(ISBLANK(fixtures!$K282),"",fixtures!$K282)</f>
        <v>0</v>
      </c>
      <c r="BF37" s="11" t="str">
        <f>IF(ISBLANK(fixtures!$L282),"",IF(BC37&gt;BE37,"W",IF(BC37=BE37,"D","L")))</f>
        <v>W</v>
      </c>
      <c r="BG37" s="11"/>
      <c r="BH37" s="11"/>
      <c r="BI37" s="305" t="s">
        <v>25</v>
      </c>
      <c r="BJ37" s="183"/>
      <c r="BK37" s="304"/>
      <c r="BL37" s="15"/>
      <c r="BM37" s="15"/>
      <c r="BN37" s="15"/>
      <c r="BO37" s="181"/>
      <c r="BP37" s="15"/>
      <c r="BQ37" s="183"/>
      <c r="BR37" s="15"/>
      <c r="BS37" s="15"/>
      <c r="BT37" s="15"/>
      <c r="BU37" s="310">
        <v>19</v>
      </c>
      <c r="BV37" s="16" t="s">
        <v>105</v>
      </c>
      <c r="BW37" s="312">
        <f ca="1">IFERROR(INDIRECT("fixtures!" &amp; Dashboard!J1 &amp;271) - Dashboard!K1/24,"TBC")</f>
        <v>45004.666666666664</v>
      </c>
      <c r="BX37" s="16"/>
      <c r="BY37" s="16" t="s">
        <v>1</v>
      </c>
      <c r="BZ37" s="16" t="s">
        <v>106</v>
      </c>
      <c r="CA37" s="310">
        <f>IF(ISBLANK(fixtures!$L271),"",fixtures!$L271)</f>
        <v>1</v>
      </c>
      <c r="CB37" s="16" t="str">
        <f>IF(ISBLANK(fixtures!$L271),"",":")</f>
        <v>:</v>
      </c>
      <c r="CC37" s="311">
        <f>IF(ISBLANK(fixtures!$K271),"",fixtures!$K271)</f>
        <v>4</v>
      </c>
      <c r="CD37" s="16" t="str">
        <f>IF(ISBLANK(fixtures!$L271),"",IF(CA37&gt;CC37,"W",IF(CA37=CC37,"D","L")))</f>
        <v>L</v>
      </c>
      <c r="CE37" s="16"/>
      <c r="CF37" s="16"/>
      <c r="CG37" s="318">
        <v>18</v>
      </c>
      <c r="CH37" s="19" t="s">
        <v>107</v>
      </c>
      <c r="CI37" s="320">
        <f ca="1">IFERROR(INDIRECT("fixtures!" &amp; Dashboard!J1 &amp;270) - Dashboard!K1/24,"TBC")</f>
        <v>45003.8125</v>
      </c>
      <c r="CJ37" s="19"/>
      <c r="CK37" s="19" t="s">
        <v>5</v>
      </c>
      <c r="CL37" s="19" t="s">
        <v>106</v>
      </c>
      <c r="CM37" s="318">
        <f>IF(ISBLANK(fixtures!$L270),"",fixtures!$L270)</f>
        <v>2</v>
      </c>
      <c r="CN37" s="19" t="str">
        <f>IF(ISBLANK(fixtures!$L270),"",":")</f>
        <v>:</v>
      </c>
      <c r="CO37" s="319">
        <f>IF(ISBLANK(fixtures!$K270),"",fixtures!$K270)</f>
        <v>2</v>
      </c>
      <c r="CP37" s="19" t="str">
        <f>IF(ISBLANK(fixtures!$L270),"",IF(CM37&gt;CO37,"W",IF(CM37=CO37,"D","L")))</f>
        <v>D</v>
      </c>
      <c r="CQ37" s="19"/>
      <c r="CR37" s="19"/>
      <c r="CS37" s="329" t="s">
        <v>25</v>
      </c>
      <c r="CT37" s="178"/>
      <c r="CU37" s="328"/>
      <c r="CV37" s="178"/>
      <c r="CW37" s="178"/>
      <c r="CX37" s="178"/>
      <c r="CY37" s="326"/>
      <c r="CZ37" s="178"/>
      <c r="DA37" s="327"/>
      <c r="DB37" s="178"/>
      <c r="DC37" s="178"/>
      <c r="DD37" s="178"/>
      <c r="DE37" s="337" t="s">
        <v>25</v>
      </c>
      <c r="DF37" s="177"/>
      <c r="DG37" s="336"/>
      <c r="DH37" s="177"/>
      <c r="DI37" s="177"/>
      <c r="DJ37" s="177"/>
      <c r="DK37" s="334"/>
      <c r="DL37" s="177"/>
      <c r="DM37" s="335"/>
      <c r="DN37" s="177"/>
      <c r="DO37" s="177"/>
      <c r="DP37" s="177"/>
      <c r="DQ37" s="344" t="s">
        <v>25</v>
      </c>
      <c r="DR37" s="21"/>
      <c r="DS37" s="343"/>
      <c r="DT37" s="21"/>
      <c r="DU37" s="21"/>
      <c r="DV37" s="21"/>
      <c r="DW37" s="341"/>
      <c r="DX37" s="21"/>
      <c r="DY37" s="342"/>
      <c r="DZ37" s="21"/>
      <c r="EA37" s="21"/>
      <c r="EB37" s="21"/>
      <c r="EC37" s="270">
        <v>1</v>
      </c>
      <c r="ED37" s="23" t="s">
        <v>107</v>
      </c>
      <c r="EE37" s="349">
        <f ca="1">IFERROR(INDIRECT("fixtures!" &amp; Dashboard!J1 &amp;272) - Dashboard!K1/24,"TBC")</f>
        <v>45017.604166666664</v>
      </c>
      <c r="EF37" s="23"/>
      <c r="EG37" s="23" t="s">
        <v>10</v>
      </c>
      <c r="EH37" s="23" t="s">
        <v>106</v>
      </c>
      <c r="EI37" s="270">
        <f>IF(ISBLANK(fixtures!$L272),"",fixtures!$L272)</f>
        <v>1</v>
      </c>
      <c r="EJ37" s="23" t="str">
        <f>IF(ISBLANK(fixtures!$L272),"",":")</f>
        <v>:</v>
      </c>
      <c r="EK37" s="272">
        <f>IF(ISBLANK(fixtures!$K272),"",fixtures!$K272)</f>
        <v>4</v>
      </c>
      <c r="EL37" s="23" t="str">
        <f>IF(ISBLANK(fixtures!$L272),"",IF(EI37&gt;EK37,"W",IF(EI37=EK37,"D","L")))</f>
        <v>L</v>
      </c>
      <c r="EM37" s="23"/>
      <c r="EN37" s="23"/>
      <c r="EO37" s="356" t="s">
        <v>25</v>
      </c>
      <c r="EP37" s="25"/>
      <c r="EQ37" s="355"/>
      <c r="ER37" s="25"/>
      <c r="ES37" s="25"/>
      <c r="ET37" s="25"/>
      <c r="EU37" s="105"/>
      <c r="EV37" s="25"/>
      <c r="EW37" s="107"/>
      <c r="EX37" s="25"/>
      <c r="EY37" s="25"/>
      <c r="EZ37" s="25"/>
      <c r="FA37" s="361">
        <v>2</v>
      </c>
      <c r="FB37" s="27" t="s">
        <v>105</v>
      </c>
      <c r="FC37" s="363">
        <f ca="1">IFERROR(INDIRECT("fixtures!" &amp; Dashboard!J1 &amp;280) - Dashboard!K1/24,"TBC")</f>
        <v>45018.770833333336</v>
      </c>
      <c r="FD37" s="27"/>
      <c r="FE37" s="27" t="s">
        <v>12</v>
      </c>
      <c r="FF37" s="27" t="s">
        <v>106</v>
      </c>
      <c r="FG37" s="361">
        <f>IF(ISBLANK(fixtures!$L280),"",fixtures!$L280)</f>
        <v>0</v>
      </c>
      <c r="FH37" s="27" t="str">
        <f>IF(ISBLANK(fixtures!$L280),"",":")</f>
        <v>:</v>
      </c>
      <c r="FI37" s="362">
        <f>IF(ISBLANK(fixtures!$K280),"",fixtures!$K280)</f>
        <v>2</v>
      </c>
      <c r="FJ37" s="27" t="str">
        <f>IF(ISBLANK(fixtures!$L280),"",IF(FG37&gt;FI37,"W",IF(FG37=FI37,"D","L")))</f>
        <v>L</v>
      </c>
      <c r="FK37" s="27"/>
      <c r="FL37" s="27"/>
      <c r="FM37" s="110">
        <v>2</v>
      </c>
      <c r="FN37" s="29" t="s">
        <v>105</v>
      </c>
      <c r="FO37" s="369">
        <f ca="1">IFERROR(INDIRECT("fixtures!" &amp; Dashboard!J1 &amp;280) - Dashboard!K1/24,"TBC")</f>
        <v>45018.770833333336</v>
      </c>
      <c r="FP37" s="29"/>
      <c r="FQ37" s="29" t="s">
        <v>11</v>
      </c>
      <c r="FR37" s="29" t="s">
        <v>108</v>
      </c>
      <c r="FS37" s="110">
        <f>IF(ISBLANK(fixtures!$K280),"",fixtures!$K280)</f>
        <v>2</v>
      </c>
      <c r="FT37" s="29" t="str">
        <f>IF(ISBLANK(fixtures!$L280),"",":")</f>
        <v>:</v>
      </c>
      <c r="FU37" s="112">
        <f>IF(ISBLANK(fixtures!$L280),"",fixtures!$L280)</f>
        <v>0</v>
      </c>
      <c r="FV37" s="29" t="str">
        <f>IF(ISBLANK(fixtures!$L280),"",IF(FS37&gt;FU37,"W",IF(FS37=FU37,"D","L")))</f>
        <v>W</v>
      </c>
      <c r="FW37" s="29"/>
      <c r="FX37" s="29"/>
      <c r="FY37" s="378" t="s">
        <v>25</v>
      </c>
      <c r="FZ37" s="264"/>
      <c r="GA37" s="377"/>
      <c r="GB37" s="264"/>
      <c r="GC37" s="264"/>
      <c r="GD37" s="264"/>
      <c r="GE37" s="375"/>
      <c r="GF37" s="264"/>
      <c r="GG37" s="376"/>
      <c r="GH37" s="264"/>
      <c r="GI37" s="264"/>
      <c r="GJ37" s="264"/>
      <c r="GK37" s="382">
        <v>18</v>
      </c>
      <c r="GL37" s="30" t="s">
        <v>107</v>
      </c>
      <c r="GM37" s="384">
        <f ca="1">IFERROR(INDIRECT("fixtures!" &amp; Dashboard!J1 &amp;268) - Dashboard!K1/24,"TBC")</f>
        <v>45003.708333333336</v>
      </c>
      <c r="GN37" s="30"/>
      <c r="GO37" s="30" t="s">
        <v>14</v>
      </c>
      <c r="GP37" s="30" t="s">
        <v>108</v>
      </c>
      <c r="GQ37" s="382">
        <f>IF(ISBLANK(fixtures!$K268),"",fixtures!$K268)</f>
        <v>3</v>
      </c>
      <c r="GR37" s="30" t="str">
        <f>IF(ISBLANK(fixtures!$L268),"",":")</f>
        <v>:</v>
      </c>
      <c r="GS37" s="383">
        <f>IF(ISBLANK(fixtures!$L268),"",fixtures!$L268)</f>
        <v>3</v>
      </c>
      <c r="GT37" s="30" t="str">
        <f>IF(ISBLANK(fixtures!$L268),"",IF(GQ37&gt;GS37,"W",IF(GQ37=GS37,"D","L")))</f>
        <v>D</v>
      </c>
      <c r="GU37" s="30"/>
      <c r="GV37" s="30"/>
      <c r="GW37" s="115">
        <v>18</v>
      </c>
      <c r="GX37" s="32" t="s">
        <v>107</v>
      </c>
      <c r="GY37" s="390">
        <f ca="1">IFERROR(INDIRECT("fixtures!" &amp; Dashboard!J1 &amp;268) - Dashboard!K1/24,"TBC")</f>
        <v>45003.708333333336</v>
      </c>
      <c r="GZ37" s="32"/>
      <c r="HA37" s="32" t="s">
        <v>13</v>
      </c>
      <c r="HB37" s="32" t="s">
        <v>106</v>
      </c>
      <c r="HC37" s="115">
        <f>IF(ISBLANK(fixtures!$L268),"",fixtures!$L268)</f>
        <v>3</v>
      </c>
      <c r="HD37" s="32" t="str">
        <f>IF(ISBLANK(fixtures!$L268),"",":")</f>
        <v>:</v>
      </c>
      <c r="HE37" s="117">
        <f>IF(ISBLANK(fixtures!$K268),"",fixtures!$K268)</f>
        <v>3</v>
      </c>
      <c r="HF37" s="32" t="str">
        <f>IF(ISBLANK(fixtures!$L268),"",IF(HC37&gt;HE37,"W",IF(HC37=HE37,"D","L")))</f>
        <v>D</v>
      </c>
      <c r="HG37" s="32"/>
      <c r="HH37" s="32"/>
      <c r="HI37" s="120">
        <v>2</v>
      </c>
      <c r="HJ37" s="34" t="s">
        <v>105</v>
      </c>
      <c r="HK37" s="396">
        <f ca="1">IFERROR(INDIRECT("fixtures!" &amp; Dashboard!J1 &amp;279) - Dashboard!K1/24,"TBC")</f>
        <v>45018.666666666664</v>
      </c>
      <c r="HL37" s="34"/>
      <c r="HM37" s="34" t="s">
        <v>13</v>
      </c>
      <c r="HN37" s="34" t="s">
        <v>108</v>
      </c>
      <c r="HO37" s="120">
        <f>IF(ISBLANK(fixtures!$K279),"",fixtures!$K279)</f>
        <v>1</v>
      </c>
      <c r="HP37" s="34" t="str">
        <f>IF(ISBLANK(fixtures!$L279),"",":")</f>
        <v>:</v>
      </c>
      <c r="HQ37" s="122">
        <f>IF(ISBLANK(fixtures!$L279),"",fixtures!$L279)</f>
        <v>0</v>
      </c>
      <c r="HR37" s="34" t="str">
        <f>IF(ISBLANK(fixtures!$L279),"",IF(HO37&gt;HQ37,"W",IF(HO37=HQ37,"D","L")))</f>
        <v>W</v>
      </c>
      <c r="HS37" s="34"/>
      <c r="HT37" s="34"/>
      <c r="HU37" s="125">
        <v>18</v>
      </c>
      <c r="HV37" s="36" t="s">
        <v>107</v>
      </c>
      <c r="HW37" s="402">
        <f ca="1">IFERROR(INDIRECT("fixtures!" &amp; Dashboard!J1 &amp;269) - Dashboard!K1/24,"TBC")</f>
        <v>45003.708333333336</v>
      </c>
      <c r="HX37" s="36"/>
      <c r="HY37" s="36" t="s">
        <v>139</v>
      </c>
      <c r="HZ37" s="36" t="s">
        <v>108</v>
      </c>
      <c r="IA37" s="125">
        <f>IF(ISBLANK(fixtures!$K269),"",fixtures!$K269)</f>
        <v>2</v>
      </c>
      <c r="IB37" s="36" t="str">
        <f>IF(ISBLANK(fixtures!$L269),"",":")</f>
        <v>:</v>
      </c>
      <c r="IC37" s="127">
        <f>IF(ISBLANK(fixtures!$L269),"",fixtures!$L269)</f>
        <v>4</v>
      </c>
      <c r="ID37" s="36" t="str">
        <f>IF(ISBLANK(fixtures!$L269),"",IF(IA37&gt;IC37,"W",IF(IA37=IC37,"D","L")))</f>
        <v>L</v>
      </c>
      <c r="IE37" s="36"/>
      <c r="IF37" s="36"/>
      <c r="II37" s="142"/>
      <c r="IQ37" s="143"/>
      <c r="IR37" s="143"/>
    </row>
    <row r="38" spans="1:252" x14ac:dyDescent="0.4">
      <c r="A38" s="278" t="s">
        <v>25</v>
      </c>
      <c r="B38" s="6"/>
      <c r="C38" s="277"/>
      <c r="D38" s="6"/>
      <c r="E38" s="6"/>
      <c r="F38" s="6"/>
      <c r="G38" s="91"/>
      <c r="H38" s="6"/>
      <c r="I38" s="93"/>
      <c r="J38" s="6"/>
      <c r="K38" s="6"/>
      <c r="L38" s="6"/>
      <c r="M38" s="282">
        <v>1</v>
      </c>
      <c r="N38" s="9" t="s">
        <v>107</v>
      </c>
      <c r="O38" s="284">
        <f ca="1">IFERROR(INDIRECT("fixtures!" &amp; Dashboard!J1 &amp;278) - Dashboard!K1/24,"TBC")</f>
        <v>45017.8125</v>
      </c>
      <c r="P38" s="9"/>
      <c r="Q38" s="9" t="s">
        <v>5</v>
      </c>
      <c r="R38" s="9" t="s">
        <v>106</v>
      </c>
      <c r="S38" s="282">
        <f>IF(ISBLANK(fixtures!$L278),"",fixtures!$L278)</f>
        <v>2</v>
      </c>
      <c r="T38" s="9" t="str">
        <f>IF(ISBLANK(fixtures!$L278),"",":")</f>
        <v>:</v>
      </c>
      <c r="U38" s="283">
        <f>IF(ISBLANK(fixtures!$K278),"",fixtures!$K278)</f>
        <v>0</v>
      </c>
      <c r="V38" s="9" t="str">
        <f>IF(ISBLANK(fixtures!$L278),"",IF(S38&gt;U38,"W",IF(S38=U38,"D","L")))</f>
        <v>W</v>
      </c>
      <c r="W38" s="9"/>
      <c r="X38" s="9"/>
      <c r="Y38" s="290">
        <v>1</v>
      </c>
      <c r="Z38" s="262" t="s">
        <v>107</v>
      </c>
      <c r="AA38" s="291">
        <f ca="1">IFERROR(INDIRECT("fixtures!" &amp; Dashboard!J1 &amp;274) - Dashboard!K1/24,"TBC")</f>
        <v>45017.708333333336</v>
      </c>
      <c r="AB38" s="262"/>
      <c r="AC38" s="262" t="s">
        <v>126</v>
      </c>
      <c r="AD38" s="262" t="s">
        <v>108</v>
      </c>
      <c r="AE38" s="290">
        <f>IF(ISBLANK(fixtures!$K274),"",fixtures!$K274)</f>
        <v>2</v>
      </c>
      <c r="AF38" s="262" t="str">
        <f>IF(ISBLANK(fixtures!$L274),"",":")</f>
        <v>:</v>
      </c>
      <c r="AG38" s="292">
        <f>IF(ISBLANK(fixtures!$L274),"",fixtures!$L274)</f>
        <v>1</v>
      </c>
      <c r="AH38" s="262" t="str">
        <f>IF(ISBLANK(fixtures!$L274),"",IF(AE38&gt;AG38,"W",IF(AE38=AG38,"D","L")))</f>
        <v>W</v>
      </c>
      <c r="AI38" s="262"/>
      <c r="AJ38" s="262"/>
      <c r="AK38" s="411">
        <v>1</v>
      </c>
      <c r="AL38" s="410" t="s">
        <v>107</v>
      </c>
      <c r="AM38" s="413">
        <f ca="1">IFERROR(INDIRECT("fixtures!" &amp; Dashboard!J1 &amp;275) - Dashboard!K1/24,"TBC")</f>
        <v>45017.708333333336</v>
      </c>
      <c r="AN38" s="410"/>
      <c r="AO38" s="410" t="s">
        <v>4</v>
      </c>
      <c r="AP38" s="410" t="s">
        <v>106</v>
      </c>
      <c r="AQ38" s="411">
        <f>IF(ISBLANK(fixtures!$L275),"",fixtures!$L275)</f>
        <v>3</v>
      </c>
      <c r="AR38" s="410" t="str">
        <f>IF(ISBLANK(fixtures!$L275),"",":")</f>
        <v>:</v>
      </c>
      <c r="AS38" s="412">
        <f>IF(ISBLANK(fixtures!$K275),"",fixtures!$K275)</f>
        <v>3</v>
      </c>
      <c r="AT38" s="410" t="str">
        <f>IF(ISBLANK(fixtures!$L275),"",IF(AQ38&gt;AS38,"W",IF(AQ38=AS38,"D","L")))</f>
        <v>D</v>
      </c>
      <c r="AU38" s="410"/>
      <c r="AV38" s="410"/>
      <c r="AW38" s="96">
        <v>8</v>
      </c>
      <c r="AX38" s="11" t="s">
        <v>107</v>
      </c>
      <c r="AY38" s="298">
        <f ca="1">IFERROR(INDIRECT("fixtures!" &amp; Dashboard!J1 &amp;293) - Dashboard!K1/24,"TBC")</f>
        <v>45024.708333333336</v>
      </c>
      <c r="AZ38" s="11"/>
      <c r="BA38" s="11" t="s">
        <v>14</v>
      </c>
      <c r="BB38" s="11" t="s">
        <v>106</v>
      </c>
      <c r="BC38" s="96">
        <f>IF(ISBLANK(fixtures!$L293),"",fixtures!$L293)</f>
        <v>1</v>
      </c>
      <c r="BD38" s="11" t="str">
        <f>IF(ISBLANK(fixtures!$L293),"",":")</f>
        <v>:</v>
      </c>
      <c r="BE38" s="98">
        <f>IF(ISBLANK(fixtures!$K293),"",fixtures!$K293)</f>
        <v>2</v>
      </c>
      <c r="BF38" s="11" t="str">
        <f>IF(ISBLANK(fixtures!$L293),"",IF(BC38&gt;BE38,"W",IF(BC38=BE38,"D","L")))</f>
        <v>L</v>
      </c>
      <c r="BG38" s="11"/>
      <c r="BH38" s="11"/>
      <c r="BI38" s="181">
        <v>1</v>
      </c>
      <c r="BJ38" s="15" t="s">
        <v>107</v>
      </c>
      <c r="BK38" s="304">
        <f ca="1">IFERROR(INDIRECT("fixtures!" &amp; Dashboard!J1 &amp;278) - Dashboard!K1/24,"TBC")</f>
        <v>45017.8125</v>
      </c>
      <c r="BL38" s="15"/>
      <c r="BM38" s="15" t="s">
        <v>2</v>
      </c>
      <c r="BN38" s="15" t="s">
        <v>108</v>
      </c>
      <c r="BO38" s="181">
        <f>IF(ISBLANK(fixtures!$K278),"",fixtures!$K278)</f>
        <v>0</v>
      </c>
      <c r="BP38" s="15" t="str">
        <f>IF(ISBLANK(fixtures!$L278),"",":")</f>
        <v>:</v>
      </c>
      <c r="BQ38" s="183">
        <f>IF(ISBLANK(fixtures!$L278),"",fixtures!$L278)</f>
        <v>2</v>
      </c>
      <c r="BR38" s="15" t="str">
        <f>IF(ISBLANK(fixtures!$L278),"",IF(BO38&gt;BQ38,"W",IF(BO38=BQ38,"D","L")))</f>
        <v>L</v>
      </c>
      <c r="BS38" s="15"/>
      <c r="BT38" s="15"/>
      <c r="BU38" s="313" t="s">
        <v>25</v>
      </c>
      <c r="BV38" s="16"/>
      <c r="BW38" s="312"/>
      <c r="BX38" s="16"/>
      <c r="BY38" s="16"/>
      <c r="BZ38" s="16"/>
      <c r="CA38" s="310"/>
      <c r="CB38" s="16"/>
      <c r="CC38" s="311"/>
      <c r="CD38" s="16"/>
      <c r="CE38" s="16"/>
      <c r="CF38" s="16"/>
      <c r="CG38" s="321" t="s">
        <v>25</v>
      </c>
      <c r="CH38" s="19"/>
      <c r="CI38" s="320"/>
      <c r="CJ38" s="19"/>
      <c r="CK38" s="19"/>
      <c r="CL38" s="19"/>
      <c r="CM38" s="318"/>
      <c r="CN38" s="19"/>
      <c r="CO38" s="319"/>
      <c r="CP38" s="19"/>
      <c r="CQ38" s="19"/>
      <c r="CR38" s="19"/>
      <c r="CS38" s="326">
        <v>1</v>
      </c>
      <c r="CT38" s="178" t="s">
        <v>107</v>
      </c>
      <c r="CU38" s="328">
        <f ca="1">IFERROR(INDIRECT("fixtures!" &amp; Dashboard!J1 &amp;274) - Dashboard!K1/24,"TBC")</f>
        <v>45017.708333333336</v>
      </c>
      <c r="CV38" s="178"/>
      <c r="CW38" s="178" t="s">
        <v>3</v>
      </c>
      <c r="CX38" s="178" t="s">
        <v>106</v>
      </c>
      <c r="CY38" s="326">
        <f>IF(ISBLANK(fixtures!$L274),"",fixtures!$L274)</f>
        <v>1</v>
      </c>
      <c r="CZ38" s="178" t="str">
        <f>IF(ISBLANK(fixtures!$L274),"",":")</f>
        <v>:</v>
      </c>
      <c r="DA38" s="327">
        <f>IF(ISBLANK(fixtures!$K274),"",fixtures!$K274)</f>
        <v>2</v>
      </c>
      <c r="DB38" s="178" t="str">
        <f>IF(ISBLANK(fixtures!$L274),"",IF(CY38&gt;DA38,"W",IF(CY38=DA38,"D","L")))</f>
        <v>L</v>
      </c>
      <c r="DC38" s="178"/>
      <c r="DD38" s="178"/>
      <c r="DE38" s="334">
        <v>1</v>
      </c>
      <c r="DF38" s="177" t="s">
        <v>107</v>
      </c>
      <c r="DG38" s="336">
        <f ca="1">IFERROR(INDIRECT("fixtures!" &amp; Dashboard!J1 &amp;273) - Dashboard!K1/24,"TBC")</f>
        <v>45017.708333333336</v>
      </c>
      <c r="DH38" s="177"/>
      <c r="DI38" s="177" t="s">
        <v>1</v>
      </c>
      <c r="DJ38" s="177" t="s">
        <v>106</v>
      </c>
      <c r="DK38" s="334">
        <f>IF(ISBLANK(fixtures!$L273),"",fixtures!$L273)</f>
        <v>1</v>
      </c>
      <c r="DL38" s="177" t="str">
        <f>IF(ISBLANK(fixtures!$L273),"",":")</f>
        <v>:</v>
      </c>
      <c r="DM38" s="335">
        <f>IF(ISBLANK(fixtures!$K273),"",fixtures!$K273)</f>
        <v>4</v>
      </c>
      <c r="DN38" s="177" t="str">
        <f>IF(ISBLANK(fixtures!$L273),"",IF(DK38&gt;DM38,"W",IF(DK38=DM38,"D","L")))</f>
        <v>L</v>
      </c>
      <c r="DO38" s="177"/>
      <c r="DP38" s="177"/>
      <c r="DQ38" s="341">
        <v>1</v>
      </c>
      <c r="DR38" s="342" t="s">
        <v>107</v>
      </c>
      <c r="DS38" s="343">
        <f ca="1">IFERROR(INDIRECT("fixtures!" &amp; Dashboard!J1 &amp;276) - Dashboard!K1/24,"TBC")</f>
        <v>45017.708333333336</v>
      </c>
      <c r="DT38" s="21"/>
      <c r="DU38" s="21" t="s">
        <v>6</v>
      </c>
      <c r="DV38" s="21" t="s">
        <v>106</v>
      </c>
      <c r="DW38" s="341">
        <f>IF(ISBLANK(fixtures!$L276),"",fixtures!$L276)</f>
        <v>1</v>
      </c>
      <c r="DX38" s="21" t="str">
        <f>IF(ISBLANK(fixtures!$L276),"",":")</f>
        <v>:</v>
      </c>
      <c r="DY38" s="342">
        <f>IF(ISBLANK(fixtures!$K276),"",fixtures!$K276)</f>
        <v>2</v>
      </c>
      <c r="DZ38" s="21" t="str">
        <f>IF(ISBLANK(fixtures!$L276),"",IF(DW38&gt;DY38,"W",IF(DW38=DY38,"D","L")))</f>
        <v>L</v>
      </c>
      <c r="EA38" s="21"/>
      <c r="EB38" s="21"/>
      <c r="EC38" s="270">
        <v>4</v>
      </c>
      <c r="ED38" s="23" t="s">
        <v>111</v>
      </c>
      <c r="EE38" s="349">
        <f ca="1">IFERROR(INDIRECT("fixtures!" &amp; Dashboard!J1 &amp;285) - Dashboard!K1/24,"TBC")</f>
        <v>45020.916666666664</v>
      </c>
      <c r="EF38" s="23"/>
      <c r="EG38" s="23" t="s">
        <v>5</v>
      </c>
      <c r="EH38" s="23" t="s">
        <v>106</v>
      </c>
      <c r="EI38" s="270">
        <f>IF(ISBLANK(fixtures!$L285),"",fixtures!$L285)</f>
        <v>0</v>
      </c>
      <c r="EJ38" s="23" t="str">
        <f>IF(ISBLANK(fixtures!$L285),"",":")</f>
        <v>:</v>
      </c>
      <c r="EK38" s="272">
        <f>IF(ISBLANK(fixtures!$K285),"",fixtures!$K285)</f>
        <v>0</v>
      </c>
      <c r="EL38" s="23" t="str">
        <f>IF(ISBLANK(fixtures!$L285),"",IF(EI38&gt;EK38,"W",IF(EI38=EK38,"D","L")))</f>
        <v>D</v>
      </c>
      <c r="EM38" s="23"/>
      <c r="EN38" s="23"/>
      <c r="EO38" s="105">
        <v>1</v>
      </c>
      <c r="EP38" s="25" t="s">
        <v>107</v>
      </c>
      <c r="EQ38" s="355">
        <f ca="1">IFERROR(INDIRECT("fixtures!" &amp; Dashboard!J1 &amp;272) - Dashboard!K1/24,"TBC")</f>
        <v>45017.604166666664</v>
      </c>
      <c r="ER38" s="25"/>
      <c r="ES38" s="25" t="s">
        <v>9</v>
      </c>
      <c r="ET38" s="25" t="s">
        <v>108</v>
      </c>
      <c r="EU38" s="105">
        <f>IF(ISBLANK(fixtures!$K272),"",fixtures!$K272)</f>
        <v>4</v>
      </c>
      <c r="EV38" s="25" t="str">
        <f>IF(ISBLANK(fixtures!$L272),"",":")</f>
        <v>:</v>
      </c>
      <c r="EW38" s="107">
        <f>IF(ISBLANK(fixtures!$L272),"",fixtures!$L272)</f>
        <v>1</v>
      </c>
      <c r="EX38" s="25" t="str">
        <f>IF(ISBLANK(fixtures!$L272),"",IF(EU38&gt;EW38,"W",IF(EU38=EW38,"D","L")))</f>
        <v>W</v>
      </c>
      <c r="EY38" s="25"/>
      <c r="EZ38" s="25"/>
      <c r="FA38" s="361">
        <v>5</v>
      </c>
      <c r="FB38" s="27" t="s">
        <v>110</v>
      </c>
      <c r="FC38" s="363">
        <f ca="1">IFERROR(INDIRECT("fixtures!" &amp; Dashboard!J1 &amp;286) - Dashboard!K1/24,"TBC")</f>
        <v>45021.916666666664</v>
      </c>
      <c r="FD38" s="27"/>
      <c r="FE38" s="27" t="s">
        <v>125</v>
      </c>
      <c r="FF38" s="27" t="s">
        <v>108</v>
      </c>
      <c r="FG38" s="361">
        <f>IF(ISBLANK(fixtures!$K286),"",fixtures!$K286)</f>
        <v>1</v>
      </c>
      <c r="FH38" s="27" t="str">
        <f>IF(ISBLANK(fixtures!$L286),"",":")</f>
        <v>:</v>
      </c>
      <c r="FI38" s="362">
        <f>IF(ISBLANK(fixtures!$L286),"",fixtures!$L286)</f>
        <v>0</v>
      </c>
      <c r="FJ38" s="27" t="str">
        <f>IF(ISBLANK(fixtures!$L286),"",IF(FG38&gt;FI38,"W",IF(FG38=FI38,"D","L")))</f>
        <v>W</v>
      </c>
      <c r="FK38" s="27"/>
      <c r="FL38" s="27"/>
      <c r="FM38" s="110">
        <v>5</v>
      </c>
      <c r="FN38" s="29" t="s">
        <v>110</v>
      </c>
      <c r="FO38" s="369">
        <f ca="1">IFERROR(INDIRECT("fixtures!" &amp; Dashboard!J1 &amp;287) - Dashboard!K1/24,"TBC")</f>
        <v>45021.916666666664</v>
      </c>
      <c r="FP38" s="29"/>
      <c r="FQ38" s="29" t="s">
        <v>15</v>
      </c>
      <c r="FR38" s="29" t="s">
        <v>106</v>
      </c>
      <c r="FS38" s="110">
        <f>IF(ISBLANK(fixtures!$L287),"",fixtures!$L287)</f>
        <v>5</v>
      </c>
      <c r="FT38" s="29" t="str">
        <f>IF(ISBLANK(fixtures!$L287),"",":")</f>
        <v>:</v>
      </c>
      <c r="FU38" s="112">
        <f>IF(ISBLANK(fixtures!$K287),"",fixtures!$K287)</f>
        <v>1</v>
      </c>
      <c r="FV38" s="29" t="str">
        <f>IF(ISBLANK(fixtures!$L287),"",IF(FS38&gt;FU38,"W",IF(FS38=FU38,"D","L")))</f>
        <v>W</v>
      </c>
      <c r="FW38" s="29"/>
      <c r="FX38" s="29"/>
      <c r="FY38" s="375">
        <v>1</v>
      </c>
      <c r="FZ38" s="264" t="s">
        <v>107</v>
      </c>
      <c r="GA38" s="377">
        <f ca="1">IFERROR(INDIRECT("fixtures!" &amp; Dashboard!J1 &amp;277) - Dashboard!K1/24,"TBC")</f>
        <v>45017.708333333336</v>
      </c>
      <c r="GB38" s="264"/>
      <c r="GC38" s="264" t="s">
        <v>16</v>
      </c>
      <c r="GD38" s="264" t="s">
        <v>108</v>
      </c>
      <c r="GE38" s="375">
        <f>IF(ISBLANK(fixtures!$K277),"",fixtures!$K277)</f>
        <v>1</v>
      </c>
      <c r="GF38" s="264" t="str">
        <f>IF(ISBLANK(fixtures!$L277),"",":")</f>
        <v>:</v>
      </c>
      <c r="GG38" s="376">
        <f>IF(ISBLANK(fixtures!$L277),"",fixtures!$L277)</f>
        <v>1</v>
      </c>
      <c r="GH38" s="264" t="str">
        <f>IF(ISBLANK(fixtures!$L277),"",IF(GE38&gt;GG38,"W",IF(GE38=GG38,"D","L")))</f>
        <v>D</v>
      </c>
      <c r="GI38" s="264"/>
      <c r="GJ38" s="264"/>
      <c r="GK38" s="385" t="s">
        <v>25</v>
      </c>
      <c r="GL38" s="30"/>
      <c r="GM38" s="384"/>
      <c r="GN38" s="30"/>
      <c r="GO38" s="30"/>
      <c r="GP38" s="30"/>
      <c r="GQ38" s="382"/>
      <c r="GR38" s="30"/>
      <c r="GS38" s="383"/>
      <c r="GT38" s="30"/>
      <c r="GU38" s="30"/>
      <c r="GV38" s="30"/>
      <c r="GW38" s="391" t="s">
        <v>25</v>
      </c>
      <c r="GX38" s="32"/>
      <c r="GY38" s="390"/>
      <c r="GZ38" s="32"/>
      <c r="HA38" s="32"/>
      <c r="HB38" s="32"/>
      <c r="HC38" s="115"/>
      <c r="HD38" s="32"/>
      <c r="HE38" s="117"/>
      <c r="HF38" s="32"/>
      <c r="HG38" s="32"/>
      <c r="HH38" s="32"/>
      <c r="HI38" s="120">
        <v>5</v>
      </c>
      <c r="HJ38" s="34" t="s">
        <v>110</v>
      </c>
      <c r="HK38" s="396">
        <f ca="1">IFERROR(INDIRECT("fixtures!" &amp; Dashboard!J1 &amp;287) - Dashboard!K1/24,"TBC")</f>
        <v>45021.916666666664</v>
      </c>
      <c r="HL38" s="34"/>
      <c r="HM38" s="34" t="s">
        <v>12</v>
      </c>
      <c r="HN38" s="34" t="s">
        <v>108</v>
      </c>
      <c r="HO38" s="120">
        <f>IF(ISBLANK(fixtures!$K287),"",fixtures!$K287)</f>
        <v>1</v>
      </c>
      <c r="HP38" s="34" t="str">
        <f>IF(ISBLANK(fixtures!$L287),"",":")</f>
        <v>:</v>
      </c>
      <c r="HQ38" s="122">
        <f>IF(ISBLANK(fixtures!$L287),"",fixtures!$L287)</f>
        <v>5</v>
      </c>
      <c r="HR38" s="34" t="str">
        <f>IF(ISBLANK(fixtures!$L287),"",IF(HO38&gt;HQ38,"W",IF(HO38=HQ38,"D","L")))</f>
        <v>L</v>
      </c>
      <c r="HS38" s="34"/>
      <c r="HT38" s="34"/>
      <c r="HU38" s="403" t="s">
        <v>25</v>
      </c>
      <c r="HV38" s="36"/>
      <c r="HW38" s="402"/>
      <c r="HX38" s="36"/>
      <c r="HY38" s="36"/>
      <c r="HZ38" s="36"/>
      <c r="IA38" s="125"/>
      <c r="IB38" s="36"/>
      <c r="IC38" s="127"/>
      <c r="ID38" s="36"/>
      <c r="IE38" s="36"/>
      <c r="IF38" s="36"/>
      <c r="IQ38" s="143"/>
      <c r="IR38" s="143"/>
    </row>
    <row r="39" spans="1:252" x14ac:dyDescent="0.4">
      <c r="A39" s="91">
        <v>1</v>
      </c>
      <c r="B39" s="93" t="s">
        <v>107</v>
      </c>
      <c r="C39" s="277">
        <f ca="1">IFERROR(INDIRECT("fixtures!" &amp; Dashboard!J1 &amp;273) - Dashboard!K1/24,"TBC")</f>
        <v>45017.708333333336</v>
      </c>
      <c r="D39" s="6"/>
      <c r="E39" s="6" t="s">
        <v>139</v>
      </c>
      <c r="F39" s="6" t="s">
        <v>108</v>
      </c>
      <c r="G39" s="91">
        <f>IF(ISBLANK(fixtures!$K273),"",fixtures!$K273)</f>
        <v>4</v>
      </c>
      <c r="H39" s="6" t="str">
        <f>IF(ISBLANK(fixtures!$L273),"",":")</f>
        <v>:</v>
      </c>
      <c r="I39" s="93">
        <f>IF(ISBLANK(fixtures!$L273),"",fixtures!$L273)</f>
        <v>1</v>
      </c>
      <c r="J39" s="6" t="str">
        <f>IF(ISBLANK(fixtures!$L273),"",IF(G39&gt;I39,"W",IF(G39=I39,"D","L")))</f>
        <v>W</v>
      </c>
      <c r="K39" s="6"/>
      <c r="L39" s="6"/>
      <c r="M39" s="282">
        <v>4</v>
      </c>
      <c r="N39" s="9" t="s">
        <v>111</v>
      </c>
      <c r="O39" s="284">
        <f ca="1">IFERROR(INDIRECT("fixtures!" &amp; Dashboard!J1 &amp;284) - Dashboard!K1/24,"TBC")</f>
        <v>45020.90625</v>
      </c>
      <c r="P39" s="9"/>
      <c r="Q39" s="9" t="s">
        <v>8</v>
      </c>
      <c r="R39" s="9" t="s">
        <v>106</v>
      </c>
      <c r="S39" s="282">
        <f>IF(ISBLANK(fixtures!$L284),"",fixtures!$L284)</f>
        <v>2</v>
      </c>
      <c r="T39" s="9" t="str">
        <f>IF(ISBLANK(fixtures!$L284),"",":")</f>
        <v>:</v>
      </c>
      <c r="U39" s="283">
        <f>IF(ISBLANK(fixtures!$K284),"",fixtures!$K284)</f>
        <v>1</v>
      </c>
      <c r="V39" s="9" t="str">
        <f>IF(ISBLANK(fixtures!$L284),"",IF(S39&gt;U39,"W",IF(S39=U39,"D","L")))</f>
        <v>W</v>
      </c>
      <c r="W39" s="9"/>
      <c r="X39" s="9"/>
      <c r="Y39" s="290">
        <v>4</v>
      </c>
      <c r="Z39" s="262" t="s">
        <v>111</v>
      </c>
      <c r="AA39" s="291">
        <f ca="1">IFERROR(INDIRECT("fixtures!" &amp; Dashboard!J1 &amp;282) - Dashboard!K1/24,"TBC")</f>
        <v>45020.90625</v>
      </c>
      <c r="AB39" s="262"/>
      <c r="AC39" s="262" t="s">
        <v>4</v>
      </c>
      <c r="AD39" s="262" t="s">
        <v>108</v>
      </c>
      <c r="AE39" s="290">
        <f>IF(ISBLANK(fixtures!$K282),"",fixtures!$K282)</f>
        <v>0</v>
      </c>
      <c r="AF39" s="262" t="str">
        <f>IF(ISBLANK(fixtures!$L282),"",":")</f>
        <v>:</v>
      </c>
      <c r="AG39" s="292">
        <f>IF(ISBLANK(fixtures!$L282),"",fixtures!$L282)</f>
        <v>2</v>
      </c>
      <c r="AH39" s="262" t="str">
        <f>IF(ISBLANK(fixtures!$L282),"",IF(AE39&gt;AG39,"W",IF(AE39=AG39,"D","L")))</f>
        <v>L</v>
      </c>
      <c r="AI39" s="262"/>
      <c r="AJ39" s="262"/>
      <c r="AK39" s="411">
        <v>5</v>
      </c>
      <c r="AL39" s="410" t="s">
        <v>110</v>
      </c>
      <c r="AM39" s="413">
        <f ca="1">IFERROR(INDIRECT("fixtures!" &amp; Dashboard!J1 &amp;286) - Dashboard!K1/24,"TBC")</f>
        <v>45021.916666666664</v>
      </c>
      <c r="AN39" s="410"/>
      <c r="AO39" s="410" t="s">
        <v>11</v>
      </c>
      <c r="AP39" s="410" t="s">
        <v>106</v>
      </c>
      <c r="AQ39" s="411">
        <f>IF(ISBLANK(fixtures!$L286),"",fixtures!$L286)</f>
        <v>0</v>
      </c>
      <c r="AR39" s="410" t="str">
        <f>IF(ISBLANK(fixtures!$L286),"",":")</f>
        <v>:</v>
      </c>
      <c r="AS39" s="412">
        <f>IF(ISBLANK(fixtures!$K286),"",fixtures!$K286)</f>
        <v>1</v>
      </c>
      <c r="AT39" s="410" t="str">
        <f>IF(ISBLANK(fixtures!$L286),"",IF(AQ39&gt;AS39,"W",IF(AQ39=AS39,"D","L")))</f>
        <v>L</v>
      </c>
      <c r="AU39" s="410"/>
      <c r="AV39" s="410"/>
      <c r="AW39" s="96">
        <v>15</v>
      </c>
      <c r="AX39" s="11" t="s">
        <v>107</v>
      </c>
      <c r="AY39" s="298">
        <f ca="1">IFERROR(INDIRECT("fixtures!" &amp; Dashboard!J1 &amp;299) - Dashboard!K1/24,"TBC")</f>
        <v>45031.708333333336</v>
      </c>
      <c r="AZ39" s="11"/>
      <c r="BA39" s="11" t="s">
        <v>5</v>
      </c>
      <c r="BB39" s="11" t="s">
        <v>106</v>
      </c>
      <c r="BC39" s="96">
        <f>IF(ISBLANK(fixtures!$L299),"",fixtures!$L299)</f>
        <v>2</v>
      </c>
      <c r="BD39" s="11" t="str">
        <f>IF(ISBLANK(fixtures!$L299),"",":")</f>
        <v>:</v>
      </c>
      <c r="BE39" s="98">
        <f>IF(ISBLANK(fixtures!$K299),"",fixtures!$K299)</f>
        <v>1</v>
      </c>
      <c r="BF39" s="11" t="str">
        <f>IF(ISBLANK(fixtures!$L299),"",IF(BC39&gt;BE39,"W",IF(BC39=BE39,"D","L")))</f>
        <v>W</v>
      </c>
      <c r="BG39" s="11"/>
      <c r="BH39" s="11"/>
      <c r="BI39" s="181">
        <v>4</v>
      </c>
      <c r="BJ39" s="15" t="s">
        <v>111</v>
      </c>
      <c r="BK39" s="304">
        <f ca="1">IFERROR(INDIRECT("fixtures!" &amp; Dashboard!J1 &amp;285) - Dashboard!K1/24,"TBC")</f>
        <v>45020.916666666664</v>
      </c>
      <c r="BL39" s="15"/>
      <c r="BM39" s="15" t="s">
        <v>9</v>
      </c>
      <c r="BN39" s="15" t="s">
        <v>108</v>
      </c>
      <c r="BO39" s="181">
        <f>IF(ISBLANK(fixtures!$K285),"",fixtures!$K285)</f>
        <v>0</v>
      </c>
      <c r="BP39" s="15" t="str">
        <f>IF(ISBLANK(fixtures!$L285),"",":")</f>
        <v>:</v>
      </c>
      <c r="BQ39" s="183">
        <f>IF(ISBLANK(fixtures!$L285),"",fixtures!$L285)</f>
        <v>0</v>
      </c>
      <c r="BR39" s="15" t="str">
        <f>IF(ISBLANK(fixtures!$L285),"",IF(BO39&gt;BQ39,"W",IF(BO39=BQ39,"D","L")))</f>
        <v>D</v>
      </c>
      <c r="BS39" s="15"/>
      <c r="BT39" s="15"/>
      <c r="BU39" s="310">
        <v>1</v>
      </c>
      <c r="BV39" s="16" t="s">
        <v>107</v>
      </c>
      <c r="BW39" s="312">
        <f ca="1">IFERROR(INDIRECT("fixtures!" &amp; Dashboard!J1 &amp;276) - Dashboard!K1/24,"TBC")</f>
        <v>45017.708333333336</v>
      </c>
      <c r="BX39" s="16"/>
      <c r="BY39" s="16" t="s">
        <v>8</v>
      </c>
      <c r="BZ39" s="16" t="s">
        <v>108</v>
      </c>
      <c r="CA39" s="310">
        <f>IF(ISBLANK(fixtures!$K276),"",fixtures!$K276)</f>
        <v>2</v>
      </c>
      <c r="CB39" s="16" t="str">
        <f>IF(ISBLANK(fixtures!$L276),"",":")</f>
        <v>:</v>
      </c>
      <c r="CC39" s="311">
        <f>IF(ISBLANK(fixtures!$L276),"",fixtures!$L276)</f>
        <v>1</v>
      </c>
      <c r="CD39" s="16" t="str">
        <f>IF(ISBLANK(fixtures!$L276),"",IF(CA39&gt;CC39,"W",IF(CA39=CC39,"D","L")))</f>
        <v>W</v>
      </c>
      <c r="CE39" s="16"/>
      <c r="CF39" s="16"/>
      <c r="CG39" s="318">
        <v>3</v>
      </c>
      <c r="CH39" s="19" t="s">
        <v>109</v>
      </c>
      <c r="CI39" s="320">
        <f ca="1">IFERROR(INDIRECT("fixtures!" &amp; Dashboard!J1 &amp;281) - Dashboard!K1/24,"TBC")</f>
        <v>45019.916666666664</v>
      </c>
      <c r="CJ39" s="19"/>
      <c r="CK39" s="19" t="s">
        <v>14</v>
      </c>
      <c r="CL39" s="19" t="s">
        <v>108</v>
      </c>
      <c r="CM39" s="318">
        <f>IF(ISBLANK(fixtures!$K281),"",fixtures!$K281)</f>
        <v>1</v>
      </c>
      <c r="CN39" s="19" t="str">
        <f>IF(ISBLANK(fixtures!$L281),"",":")</f>
        <v>:</v>
      </c>
      <c r="CO39" s="319">
        <f>IF(ISBLANK(fixtures!$L281),"",fixtures!$L281)</f>
        <v>1</v>
      </c>
      <c r="CP39" s="19" t="str">
        <f>IF(ISBLANK(fixtures!$L281),"",IF(CM39&gt;CO39,"W",IF(CM39=CO39,"D","L")))</f>
        <v>D</v>
      </c>
      <c r="CQ39" s="19"/>
      <c r="CR39" s="19"/>
      <c r="CS39" s="326">
        <v>8</v>
      </c>
      <c r="CT39" s="178" t="s">
        <v>107</v>
      </c>
      <c r="CU39" s="328">
        <f ca="1">IFERROR(INDIRECT("fixtures!" &amp; Dashboard!J1 &amp;291) - Dashboard!K1/24,"TBC")</f>
        <v>45024.708333333336</v>
      </c>
      <c r="CV39" s="178"/>
      <c r="CW39" s="178" t="s">
        <v>15</v>
      </c>
      <c r="CX39" s="178" t="s">
        <v>108</v>
      </c>
      <c r="CY39" s="326">
        <f>IF(ISBLANK(fixtures!$K291),"",fixtures!$K291)</f>
        <v>0</v>
      </c>
      <c r="CZ39" s="178" t="str">
        <f>IF(ISBLANK(fixtures!$L291),"",":")</f>
        <v>:</v>
      </c>
      <c r="DA39" s="327">
        <f>IF(ISBLANK(fixtures!$L291),"",fixtures!$L291)</f>
        <v>1</v>
      </c>
      <c r="DB39" s="178" t="str">
        <f>IF(ISBLANK(fixtures!$L291),"",IF(CY39&gt;DA39,"W",IF(CY39=DA39,"D","L")))</f>
        <v>L</v>
      </c>
      <c r="DC39" s="178"/>
      <c r="DD39" s="178"/>
      <c r="DE39" s="334">
        <v>4</v>
      </c>
      <c r="DF39" s="177" t="s">
        <v>111</v>
      </c>
      <c r="DG39" s="336">
        <f ca="1">IFERROR(INDIRECT("fixtures!" &amp; Dashboard!J1 &amp;283) - Dashboard!K1/24,"TBC")</f>
        <v>45020.90625</v>
      </c>
      <c r="DH39" s="177"/>
      <c r="DI39" s="177" t="s">
        <v>204</v>
      </c>
      <c r="DJ39" s="177" t="s">
        <v>108</v>
      </c>
      <c r="DK39" s="334">
        <f>IF(ISBLANK(fixtures!$K283),"",fixtures!$K283)</f>
        <v>2</v>
      </c>
      <c r="DL39" s="177" t="str">
        <f>IF(ISBLANK(fixtures!$L283),"",":")</f>
        <v>:</v>
      </c>
      <c r="DM39" s="335">
        <f>IF(ISBLANK(fixtures!$L283),"",fixtures!$L283)</f>
        <v>1</v>
      </c>
      <c r="DN39" s="177" t="str">
        <f>IF(ISBLANK(fixtures!$L283),"",IF(DK39&gt;DM39,"W",IF(DK39=DM39,"D","L")))</f>
        <v>W</v>
      </c>
      <c r="DO39" s="177"/>
      <c r="DP39" s="177"/>
      <c r="DQ39" s="341">
        <v>4</v>
      </c>
      <c r="DR39" s="21" t="s">
        <v>111</v>
      </c>
      <c r="DS39" s="343">
        <f ca="1">IFERROR(INDIRECT("fixtures!" &amp; Dashboard!J1 &amp;284) - Dashboard!K1/24,"TBC")</f>
        <v>45020.90625</v>
      </c>
      <c r="DT39" s="21"/>
      <c r="DU39" s="21" t="s">
        <v>2</v>
      </c>
      <c r="DV39" s="21" t="s">
        <v>108</v>
      </c>
      <c r="DW39" s="341">
        <f>IF(ISBLANK(fixtures!$K284),"",fixtures!$K284)</f>
        <v>1</v>
      </c>
      <c r="DX39" s="21" t="str">
        <f>IF(ISBLANK(fixtures!$L284),"",":")</f>
        <v>:</v>
      </c>
      <c r="DY39" s="342">
        <f>IF(ISBLANK(fixtures!$L284),"",fixtures!$L284)</f>
        <v>2</v>
      </c>
      <c r="DZ39" s="21" t="str">
        <f>IF(ISBLANK(fixtures!$L284),"",IF(DW39&gt;DY39,"W",IF(DW39=DY39,"D","L")))</f>
        <v>L</v>
      </c>
      <c r="EA39" s="21"/>
      <c r="EB39" s="21"/>
      <c r="EC39" s="270">
        <v>9</v>
      </c>
      <c r="ED39" s="23" t="s">
        <v>105</v>
      </c>
      <c r="EE39" s="349">
        <f ca="1">IFERROR(INDIRECT("fixtures!" &amp; Dashboard!J1 &amp;297) - Dashboard!K1/24,"TBC")</f>
        <v>45025.770833333336</v>
      </c>
      <c r="EF39" s="23"/>
      <c r="EG39" s="23" t="s">
        <v>1</v>
      </c>
      <c r="EH39" s="23" t="s">
        <v>108</v>
      </c>
      <c r="EI39" s="270">
        <f>IF(ISBLANK(fixtures!$K297),"",fixtures!$K297)</f>
        <v>2</v>
      </c>
      <c r="EJ39" s="23" t="str">
        <f>IF(ISBLANK(fixtures!$L297),"",":")</f>
        <v>:</v>
      </c>
      <c r="EK39" s="272">
        <f>IF(ISBLANK(fixtures!$L297),"",fixtures!$L297)</f>
        <v>2</v>
      </c>
      <c r="EL39" s="23" t="str">
        <f>IF(ISBLANK(fixtures!$L297),"",IF(EI39&gt;EK39,"W",IF(EI39=EK39,"D","L")))</f>
        <v>D</v>
      </c>
      <c r="EM39" s="23"/>
      <c r="EN39" s="23"/>
      <c r="EO39" s="105">
        <v>8</v>
      </c>
      <c r="EP39" s="25" t="s">
        <v>107</v>
      </c>
      <c r="EQ39" s="355">
        <f ca="1">IFERROR(INDIRECT("fixtures!" &amp; Dashboard!J1 &amp;295) - Dashboard!K1/24,"TBC")</f>
        <v>45024.8125</v>
      </c>
      <c r="ER39" s="25"/>
      <c r="ES39" s="25" t="s">
        <v>13</v>
      </c>
      <c r="ET39" s="25" t="s">
        <v>106</v>
      </c>
      <c r="EU39" s="105">
        <f>IF(ISBLANK(fixtures!$L295),"",fixtures!$L295)</f>
        <v>4</v>
      </c>
      <c r="EV39" s="25" t="str">
        <f>IF(ISBLANK(fixtures!$L295),"",":")</f>
        <v>:</v>
      </c>
      <c r="EW39" s="107">
        <f>IF(ISBLANK(fixtures!$K295),"",fixtures!$K295)</f>
        <v>1</v>
      </c>
      <c r="EX39" s="25" t="str">
        <f>IF(ISBLANK(fixtures!$L295),"",IF(EU39&gt;EW39,"W",IF(EU39=EW39,"D","L")))</f>
        <v>W</v>
      </c>
      <c r="EY39" s="25"/>
      <c r="EZ39" s="25"/>
      <c r="FA39" s="361">
        <v>8</v>
      </c>
      <c r="FB39" s="27" t="s">
        <v>107</v>
      </c>
      <c r="FC39" s="363">
        <f ca="1">IFERROR(INDIRECT("fixtures!" &amp; Dashboard!J1 &amp;288) - Dashboard!K1/24,"TBC")</f>
        <v>45024.604166666664</v>
      </c>
      <c r="FD39" s="27"/>
      <c r="FE39" s="27" t="s">
        <v>7</v>
      </c>
      <c r="FF39" s="27" t="s">
        <v>108</v>
      </c>
      <c r="FG39" s="361">
        <f>IF(ISBLANK(fixtures!$K288),"",fixtures!$K288)</f>
        <v>2</v>
      </c>
      <c r="FH39" s="27" t="str">
        <f>IF(ISBLANK(fixtures!$L288),"",":")</f>
        <v>:</v>
      </c>
      <c r="FI39" s="362">
        <f>IF(ISBLANK(fixtures!$L288),"",fixtures!$L288)</f>
        <v>0</v>
      </c>
      <c r="FJ39" s="27" t="str">
        <f>IF(ISBLANK(fixtures!$L288),"",IF(FG39&gt;FI39,"W",IF(FG39=FI39,"D","L")))</f>
        <v>W</v>
      </c>
      <c r="FK39" s="27"/>
      <c r="FL39" s="27"/>
      <c r="FM39" s="110">
        <v>8</v>
      </c>
      <c r="FN39" s="29" t="s">
        <v>107</v>
      </c>
      <c r="FO39" s="369">
        <f ca="1">IFERROR(INDIRECT("fixtures!" &amp; Dashboard!J1 &amp;290) - Dashboard!K1/24,"TBC")</f>
        <v>45024.708333333336</v>
      </c>
      <c r="FP39" s="29"/>
      <c r="FQ39" s="29" t="s">
        <v>125</v>
      </c>
      <c r="FR39" s="29" t="s">
        <v>106</v>
      </c>
      <c r="FS39" s="110">
        <f>IF(ISBLANK(fixtures!$L290),"",fixtures!$L290)</f>
        <v>2</v>
      </c>
      <c r="FT39" s="29" t="str">
        <f>IF(ISBLANK(fixtures!$L290),"",":")</f>
        <v>:</v>
      </c>
      <c r="FU39" s="112">
        <f>IF(ISBLANK(fixtures!$K290),"",fixtures!$K290)</f>
        <v>1</v>
      </c>
      <c r="FV39" s="29" t="str">
        <f>IF(ISBLANK(fixtures!$L290),"",IF(FS39&gt;FU39,"W",IF(FS39=FU39,"D","L")))</f>
        <v>W</v>
      </c>
      <c r="FW39" s="29"/>
      <c r="FX39" s="29"/>
      <c r="FY39" s="375">
        <v>4</v>
      </c>
      <c r="FZ39" s="264" t="s">
        <v>111</v>
      </c>
      <c r="GA39" s="377">
        <f ca="1">IFERROR(INDIRECT("fixtures!" &amp; Dashboard!J1 &amp;283) - Dashboard!K1/24,"TBC")</f>
        <v>45020.90625</v>
      </c>
      <c r="GB39" s="264"/>
      <c r="GC39" s="264" t="s">
        <v>139</v>
      </c>
      <c r="GD39" s="264" t="s">
        <v>106</v>
      </c>
      <c r="GE39" s="375">
        <f>IF(ISBLANK(fixtures!$L283),"",fixtures!$L283)</f>
        <v>1</v>
      </c>
      <c r="GF39" s="264" t="str">
        <f>IF(ISBLANK(fixtures!$L283),"",":")</f>
        <v>:</v>
      </c>
      <c r="GG39" s="376">
        <f>IF(ISBLANK(fixtures!$K283),"",fixtures!$K283)</f>
        <v>2</v>
      </c>
      <c r="GH39" s="264" t="str">
        <f>IF(ISBLANK(fixtures!$L283),"",IF(GE39&gt;GG39,"W",IF(GE39=GG39,"D","L")))</f>
        <v>L</v>
      </c>
      <c r="GI39" s="264"/>
      <c r="GJ39" s="264"/>
      <c r="GK39" s="382">
        <v>2</v>
      </c>
      <c r="GL39" s="30" t="s">
        <v>105</v>
      </c>
      <c r="GM39" s="384">
        <f ca="1">IFERROR(INDIRECT("fixtures!" &amp; Dashboard!J1 &amp;279) - Dashboard!K1/24,"TBC")</f>
        <v>45018.666666666664</v>
      </c>
      <c r="GN39" s="30"/>
      <c r="GO39" s="30" t="s">
        <v>15</v>
      </c>
      <c r="GP39" s="30" t="s">
        <v>106</v>
      </c>
      <c r="GQ39" s="382">
        <f>IF(ISBLANK(fixtures!$L279),"",fixtures!$L279)</f>
        <v>0</v>
      </c>
      <c r="GR39" s="30" t="str">
        <f>IF(ISBLANK(fixtures!$L279),"",":")</f>
        <v>:</v>
      </c>
      <c r="GS39" s="383">
        <f>IF(ISBLANK(fixtures!$K279),"",fixtures!$K279)</f>
        <v>1</v>
      </c>
      <c r="GT39" s="30" t="str">
        <f>IF(ISBLANK(fixtures!$L279),"",IF(GQ39&gt;GS39,"W",IF(GQ39=GS39,"D","L")))</f>
        <v>L</v>
      </c>
      <c r="GU39" s="30"/>
      <c r="GV39" s="30"/>
      <c r="GW39" s="115">
        <v>3</v>
      </c>
      <c r="GX39" s="32" t="s">
        <v>109</v>
      </c>
      <c r="GY39" s="390">
        <f ca="1">IFERROR(INDIRECT("fixtures!" &amp; Dashboard!J1 &amp;281) - Dashboard!K1/24,"TBC")</f>
        <v>45019.916666666664</v>
      </c>
      <c r="GZ39" s="32"/>
      <c r="HA39" s="32" t="s">
        <v>7</v>
      </c>
      <c r="HB39" s="32" t="s">
        <v>106</v>
      </c>
      <c r="HC39" s="115">
        <f>IF(ISBLANK(fixtures!$L281),"",fixtures!$L281)</f>
        <v>1</v>
      </c>
      <c r="HD39" s="32" t="str">
        <f>IF(ISBLANK(fixtures!$L281),"",":")</f>
        <v>:</v>
      </c>
      <c r="HE39" s="117">
        <f>IF(ISBLANK(fixtures!$K281),"",fixtures!$K281)</f>
        <v>1</v>
      </c>
      <c r="HF39" s="32" t="str">
        <f>IF(ISBLANK(fixtures!$L281),"",IF(HC39&gt;HE39,"W",IF(HC39=HE39,"D","L")))</f>
        <v>D</v>
      </c>
      <c r="HG39" s="32"/>
      <c r="HH39" s="32"/>
      <c r="HI39" s="120">
        <v>8</v>
      </c>
      <c r="HJ39" s="34" t="s">
        <v>107</v>
      </c>
      <c r="HK39" s="396">
        <f ca="1">IFERROR(INDIRECT("fixtures!" &amp; Dashboard!J1 &amp;291) - Dashboard!K1/24,"TBC")</f>
        <v>45024.708333333336</v>
      </c>
      <c r="HL39" s="34"/>
      <c r="HM39" s="34" t="s">
        <v>126</v>
      </c>
      <c r="HN39" s="34" t="s">
        <v>106</v>
      </c>
      <c r="HO39" s="120">
        <f>IF(ISBLANK(fixtures!$L291),"",fixtures!$L291)</f>
        <v>1</v>
      </c>
      <c r="HP39" s="34" t="str">
        <f>IF(ISBLANK(fixtures!$L291),"",":")</f>
        <v>:</v>
      </c>
      <c r="HQ39" s="122">
        <f>IF(ISBLANK(fixtures!$K291),"",fixtures!$K291)</f>
        <v>0</v>
      </c>
      <c r="HR39" s="34" t="str">
        <f>IF(ISBLANK(fixtures!$L291),"",IF(HO39&gt;HQ39,"W",IF(HO39=HQ39,"D","L")))</f>
        <v>W</v>
      </c>
      <c r="HS39" s="34"/>
      <c r="HT39" s="34"/>
      <c r="HU39" s="125">
        <v>1</v>
      </c>
      <c r="HV39" s="36" t="s">
        <v>107</v>
      </c>
      <c r="HW39" s="402">
        <f ca="1">IFERROR(INDIRECT("fixtures!" &amp; Dashboard!J1 &amp;277) - Dashboard!K1/24,"TBC")</f>
        <v>45017.708333333336</v>
      </c>
      <c r="HX39" s="36"/>
      <c r="HY39" s="36" t="s">
        <v>204</v>
      </c>
      <c r="HZ39" s="36" t="s">
        <v>106</v>
      </c>
      <c r="IA39" s="125">
        <f>IF(ISBLANK(fixtures!$L277),"",fixtures!$L277)</f>
        <v>1</v>
      </c>
      <c r="IB39" s="36" t="str">
        <f>IF(ISBLANK(fixtures!$L277),"",":")</f>
        <v>:</v>
      </c>
      <c r="IC39" s="127">
        <f>IF(ISBLANK(fixtures!$K277),"",fixtures!$K277)</f>
        <v>1</v>
      </c>
      <c r="ID39" s="36" t="str">
        <f>IF(ISBLANK(fixtures!$L277),"",IF(IA39&gt;IC39,"W",IF(IA39=IC39,"D","L")))</f>
        <v>D</v>
      </c>
      <c r="IE39" s="36"/>
      <c r="IF39" s="36"/>
      <c r="II39" s="142"/>
      <c r="IQ39" s="144"/>
      <c r="IR39" s="144"/>
    </row>
    <row r="40" spans="1:252" x14ac:dyDescent="0.4">
      <c r="A40" s="91">
        <v>9</v>
      </c>
      <c r="B40" s="6" t="s">
        <v>105</v>
      </c>
      <c r="C40" s="277">
        <f ca="1">IFERROR(INDIRECT("fixtures!" &amp; Dashboard!J1 &amp;297) - Dashboard!K1/24,"TBC")</f>
        <v>45025.770833333336</v>
      </c>
      <c r="D40" s="6"/>
      <c r="E40" s="6" t="s">
        <v>9</v>
      </c>
      <c r="F40" s="6" t="s">
        <v>106</v>
      </c>
      <c r="G40" s="91">
        <f>IF(ISBLANK(fixtures!$L297),"",fixtures!$L297)</f>
        <v>2</v>
      </c>
      <c r="H40" s="6" t="str">
        <f>IF(ISBLANK(fixtures!$L297),"",":")</f>
        <v>:</v>
      </c>
      <c r="I40" s="93">
        <f>IF(ISBLANK(fixtures!$K297),"",fixtures!$K297)</f>
        <v>2</v>
      </c>
      <c r="J40" s="6" t="str">
        <f>IF(ISBLANK(fixtures!$L297),"",IF(G40&gt;I40,"W",IF(G40=I40,"D","L")))</f>
        <v>D</v>
      </c>
      <c r="K40" s="6"/>
      <c r="L40" s="6"/>
      <c r="M40" s="282">
        <v>8</v>
      </c>
      <c r="N40" s="9" t="s">
        <v>107</v>
      </c>
      <c r="O40" s="284">
        <f ca="1">IFERROR(INDIRECT("fixtures!" &amp; Dashboard!J1 &amp;289) - Dashboard!K1/24,"TBC")</f>
        <v>45024.708333333336</v>
      </c>
      <c r="P40" s="9"/>
      <c r="Q40" s="9" t="s">
        <v>204</v>
      </c>
      <c r="R40" s="9" t="s">
        <v>108</v>
      </c>
      <c r="S40" s="282">
        <f>IF(ISBLANK(fixtures!$K289),"",fixtures!$K289)</f>
        <v>2</v>
      </c>
      <c r="T40" s="9" t="str">
        <f>IF(ISBLANK(fixtures!$L289),"",":")</f>
        <v>:</v>
      </c>
      <c r="U40" s="283">
        <f>IF(ISBLANK(fixtures!$L289),"",fixtures!$L289)</f>
        <v>0</v>
      </c>
      <c r="V40" s="9" t="str">
        <f>IF(ISBLANK(fixtures!$L289),"",IF(S40&gt;U40,"W",IF(S40=U40,"D","L")))</f>
        <v>W</v>
      </c>
      <c r="W40" s="9"/>
      <c r="X40" s="9"/>
      <c r="Y40" s="290">
        <v>8</v>
      </c>
      <c r="Z40" s="262" t="s">
        <v>107</v>
      </c>
      <c r="AA40" s="291">
        <f ca="1">IFERROR(INDIRECT("fixtures!" &amp; Dashboard!J1 &amp;292) - Dashboard!K1/24,"TBC")</f>
        <v>45024.708333333336</v>
      </c>
      <c r="AB40" s="262"/>
      <c r="AC40" s="262" t="s">
        <v>8</v>
      </c>
      <c r="AD40" s="262" t="s">
        <v>106</v>
      </c>
      <c r="AE40" s="290">
        <f>IF(ISBLANK(fixtures!$L292),"",fixtures!$L292)</f>
        <v>1</v>
      </c>
      <c r="AF40" s="262" t="str">
        <f>IF(ISBLANK(fixtures!$L292),"",":")</f>
        <v>:</v>
      </c>
      <c r="AG40" s="292">
        <f>IF(ISBLANK(fixtures!$K292),"",fixtures!$K292)</f>
        <v>0</v>
      </c>
      <c r="AH40" s="262" t="str">
        <f>IF(ISBLANK(fixtures!$L292),"",IF(AE40&gt;AG40,"W",IF(AE40=AG40,"D","L")))</f>
        <v>W</v>
      </c>
      <c r="AI40" s="262"/>
      <c r="AJ40" s="262"/>
      <c r="AK40" s="411">
        <v>8</v>
      </c>
      <c r="AL40" s="410" t="s">
        <v>107</v>
      </c>
      <c r="AM40" s="413">
        <f ca="1">IFERROR(INDIRECT("fixtures!" &amp; Dashboard!J1 &amp;290) - Dashboard!K1/24,"TBC")</f>
        <v>45024.708333333336</v>
      </c>
      <c r="AN40" s="410"/>
      <c r="AO40" s="410" t="s">
        <v>12</v>
      </c>
      <c r="AP40" s="410" t="s">
        <v>108</v>
      </c>
      <c r="AQ40" s="411">
        <f>IF(ISBLANK(fixtures!$K290),"",fixtures!$K290)</f>
        <v>1</v>
      </c>
      <c r="AR40" s="410" t="str">
        <f>IF(ISBLANK(fixtures!$L290),"",":")</f>
        <v>:</v>
      </c>
      <c r="AS40" s="412">
        <f>IF(ISBLANK(fixtures!$L290),"",fixtures!$L290)</f>
        <v>2</v>
      </c>
      <c r="AT40" s="410" t="str">
        <f>IF(ISBLANK(fixtures!$L290),"",IF(AQ40&gt;AS40,"W",IF(AQ40=AS40,"D","L")))</f>
        <v>L</v>
      </c>
      <c r="AU40" s="410"/>
      <c r="AV40" s="410"/>
      <c r="AW40" s="96">
        <v>26</v>
      </c>
      <c r="AX40" s="11" t="s">
        <v>110</v>
      </c>
      <c r="AY40" s="298">
        <f ca="1">IFERROR(INDIRECT("fixtures!" &amp; Dashboard!J1 &amp;319) - Dashboard!K1/24,"TBC")</f>
        <v>45042.895833333336</v>
      </c>
      <c r="AZ40" s="11"/>
      <c r="BA40" s="11" t="s">
        <v>204</v>
      </c>
      <c r="BB40" s="11" t="s">
        <v>106</v>
      </c>
      <c r="BC40" s="96">
        <f>IF(ISBLANK(fixtures!$L319),"",fixtures!$L319)</f>
        <v>1</v>
      </c>
      <c r="BD40" s="11" t="str">
        <f>IF(ISBLANK(fixtures!$L319),"",":")</f>
        <v>:</v>
      </c>
      <c r="BE40" s="98">
        <f>IF(ISBLANK(fixtures!$K319),"",fixtures!$K319)</f>
        <v>3</v>
      </c>
      <c r="BF40" s="11" t="str">
        <f>IF(ISBLANK(fixtures!$L319),"",IF(BC40&gt;BE40,"W",IF(BC40=BE40,"D","L")))</f>
        <v>L</v>
      </c>
      <c r="BG40" s="11"/>
      <c r="BH40" s="11"/>
      <c r="BI40" s="181">
        <v>8</v>
      </c>
      <c r="BJ40" s="15" t="s">
        <v>107</v>
      </c>
      <c r="BK40" s="304">
        <f ca="1">IFERROR(INDIRECT("fixtures!" &amp; Dashboard!J1 &amp;294) - Dashboard!K1/24,"TBC")</f>
        <v>45024.708333333336</v>
      </c>
      <c r="BL40" s="15"/>
      <c r="BM40" s="15" t="s">
        <v>16</v>
      </c>
      <c r="BN40" s="15" t="s">
        <v>106</v>
      </c>
      <c r="BO40" s="181">
        <f>IF(ISBLANK(fixtures!$L294),"",fixtures!$L294)</f>
        <v>0</v>
      </c>
      <c r="BP40" s="15" t="str">
        <f>IF(ISBLANK(fixtures!$L294),"",":")</f>
        <v>:</v>
      </c>
      <c r="BQ40" s="183">
        <f>IF(ISBLANK(fixtures!$K294),"",fixtures!$K294)</f>
        <v>1</v>
      </c>
      <c r="BR40" s="15" t="str">
        <f>IF(ISBLANK(fixtures!$L294),"",IF(BO40&gt;BQ40,"W",IF(BO40=BQ40,"D","L")))</f>
        <v>L</v>
      </c>
      <c r="BS40" s="15"/>
      <c r="BT40" s="15"/>
      <c r="BU40" s="310">
        <v>9</v>
      </c>
      <c r="BV40" s="16" t="s">
        <v>105</v>
      </c>
      <c r="BW40" s="312">
        <f ca="1">IFERROR(INDIRECT("fixtures!" &amp; Dashboard!J1 &amp;296) - Dashboard!K1/24,"TBC")</f>
        <v>45025.666666666664</v>
      </c>
      <c r="BX40" s="16"/>
      <c r="BY40" s="16" t="s">
        <v>139</v>
      </c>
      <c r="BZ40" s="16" t="s">
        <v>106</v>
      </c>
      <c r="CA40" s="310">
        <f>IF(ISBLANK(fixtures!$L296),"",fixtures!$L296)</f>
        <v>5</v>
      </c>
      <c r="CB40" s="16" t="str">
        <f>IF(ISBLANK(fixtures!$L296),"",":")</f>
        <v>:</v>
      </c>
      <c r="CC40" s="311">
        <f>IF(ISBLANK(fixtures!$K296),"",fixtures!$K296)</f>
        <v>1</v>
      </c>
      <c r="CD40" s="16" t="str">
        <f>IF(ISBLANK(fixtures!$L296),"",IF(CA40&gt;CC40,"W",IF(CA40=CC40,"D","L")))</f>
        <v>W</v>
      </c>
      <c r="CE40" s="16"/>
      <c r="CF40" s="16"/>
      <c r="CG40" s="318">
        <v>8</v>
      </c>
      <c r="CH40" s="19" t="s">
        <v>107</v>
      </c>
      <c r="CI40" s="320">
        <f ca="1">IFERROR(INDIRECT("fixtures!" &amp; Dashboard!J1 &amp;288) - Dashboard!K1/24,"TBC")</f>
        <v>45024.604166666664</v>
      </c>
      <c r="CJ40" s="19"/>
      <c r="CK40" s="19" t="s">
        <v>11</v>
      </c>
      <c r="CL40" s="19" t="s">
        <v>106</v>
      </c>
      <c r="CM40" s="318">
        <f>IF(ISBLANK(fixtures!$L288),"",fixtures!$L288)</f>
        <v>0</v>
      </c>
      <c r="CN40" s="19" t="str">
        <f>IF(ISBLANK(fixtures!$L288),"",":")</f>
        <v>:</v>
      </c>
      <c r="CO40" s="319">
        <f>IF(ISBLANK(fixtures!$K288),"",fixtures!$K288)</f>
        <v>2</v>
      </c>
      <c r="CP40" s="19" t="str">
        <f>IF(ISBLANK(fixtures!$L288),"",IF(CM40&gt;CO40,"W",IF(CM40=CO40,"D","L")))</f>
        <v>L</v>
      </c>
      <c r="CQ40" s="19"/>
      <c r="CR40" s="19"/>
      <c r="CS40" s="326">
        <v>15</v>
      </c>
      <c r="CT40" s="178" t="s">
        <v>107</v>
      </c>
      <c r="CU40" s="328">
        <f ca="1">IFERROR(INDIRECT("fixtures!" &amp; Dashboard!J1 &amp;300) - Dashboard!K1/24,"TBC")</f>
        <v>45031.708333333336</v>
      </c>
      <c r="CV40" s="178"/>
      <c r="CW40" s="178" t="s">
        <v>7</v>
      </c>
      <c r="CX40" s="178" t="s">
        <v>106</v>
      </c>
      <c r="CY40" s="326">
        <f>IF(ISBLANK(fixtures!$L300),"",fixtures!$L300)</f>
        <v>3</v>
      </c>
      <c r="CZ40" s="178" t="str">
        <f>IF(ISBLANK(fixtures!$L300),"",":")</f>
        <v>:</v>
      </c>
      <c r="DA40" s="327">
        <f>IF(ISBLANK(fixtures!$K300),"",fixtures!$K300)</f>
        <v>1</v>
      </c>
      <c r="DB40" s="178" t="str">
        <f>IF(ISBLANK(fixtures!$L300),"",IF(CY40&gt;DA40,"W",IF(CY40=DA40,"D","L")))</f>
        <v>W</v>
      </c>
      <c r="DC40" s="178"/>
      <c r="DD40" s="178"/>
      <c r="DE40" s="334">
        <v>9</v>
      </c>
      <c r="DF40" s="335" t="s">
        <v>105</v>
      </c>
      <c r="DG40" s="336">
        <f ca="1">IFERROR(INDIRECT("fixtures!" &amp; Dashboard!J1 &amp;296) - Dashboard!K1/24,"TBC")</f>
        <v>45025.666666666664</v>
      </c>
      <c r="DH40" s="177"/>
      <c r="DI40" s="177" t="s">
        <v>6</v>
      </c>
      <c r="DJ40" s="177" t="s">
        <v>108</v>
      </c>
      <c r="DK40" s="334">
        <f>IF(ISBLANK(fixtures!$K296),"",fixtures!$K296)</f>
        <v>1</v>
      </c>
      <c r="DL40" s="177" t="str">
        <f>IF(ISBLANK(fixtures!$L296),"",":")</f>
        <v>:</v>
      </c>
      <c r="DM40" s="335">
        <f>IF(ISBLANK(fixtures!$L296),"",fixtures!$L296)</f>
        <v>5</v>
      </c>
      <c r="DN40" s="177" t="str">
        <f>IF(ISBLANK(fixtures!$L296),"",IF(DK40&gt;DM40,"W",IF(DK40=DM40,"D","L")))</f>
        <v>L</v>
      </c>
      <c r="DO40" s="177"/>
      <c r="DP40" s="177"/>
      <c r="DQ40" s="341">
        <v>8</v>
      </c>
      <c r="DR40" s="21" t="s">
        <v>107</v>
      </c>
      <c r="DS40" s="343">
        <f ca="1">IFERROR(INDIRECT("fixtures!" &amp; Dashboard!J1 &amp;292) - Dashboard!K1/24,"TBC")</f>
        <v>45024.708333333336</v>
      </c>
      <c r="DT40" s="21"/>
      <c r="DU40" s="21" t="s">
        <v>3</v>
      </c>
      <c r="DV40" s="21" t="s">
        <v>108</v>
      </c>
      <c r="DW40" s="341">
        <f>IF(ISBLANK(fixtures!$K292),"",fixtures!$K292)</f>
        <v>0</v>
      </c>
      <c r="DX40" s="21" t="str">
        <f>IF(ISBLANK(fixtures!$L292),"",":")</f>
        <v>:</v>
      </c>
      <c r="DY40" s="342">
        <f>IF(ISBLANK(fixtures!$L292),"",fixtures!$L292)</f>
        <v>1</v>
      </c>
      <c r="DZ40" s="21" t="str">
        <f>IF(ISBLANK(fixtures!$L292),"",IF(DW40&gt;DY40,"W",IF(DW40=DY40,"D","L")))</f>
        <v>L</v>
      </c>
      <c r="EA40" s="21"/>
      <c r="EB40" s="21"/>
      <c r="EC40" s="270">
        <v>17</v>
      </c>
      <c r="ED40" s="23" t="s">
        <v>109</v>
      </c>
      <c r="EE40" s="349">
        <f ca="1">IFERROR(INDIRECT("fixtures!" &amp; Dashboard!J1 &amp;307) - Dashboard!K1/24,"TBC")</f>
        <v>45033.916666666664</v>
      </c>
      <c r="EF40" s="23"/>
      <c r="EG40" s="23" t="s">
        <v>139</v>
      </c>
      <c r="EH40" s="23" t="s">
        <v>106</v>
      </c>
      <c r="EI40" s="270">
        <f>IF(ISBLANK(fixtures!$L307),"",fixtures!$L307)</f>
        <v>6</v>
      </c>
      <c r="EJ40" s="23" t="str">
        <f>IF(ISBLANK(fixtures!$L307),"",":")</f>
        <v>:</v>
      </c>
      <c r="EK40" s="272">
        <f>IF(ISBLANK(fixtures!$K307),"",fixtures!$K307)</f>
        <v>1</v>
      </c>
      <c r="EL40" s="23" t="str">
        <f>IF(ISBLANK(fixtures!$L307),"",IF(EI40&gt;EK40,"W",IF(EI40=EK40,"D","L")))</f>
        <v>W</v>
      </c>
      <c r="EM40" s="23"/>
      <c r="EN40" s="23"/>
      <c r="EO40" s="105">
        <v>15</v>
      </c>
      <c r="EP40" s="25" t="s">
        <v>107</v>
      </c>
      <c r="EQ40" s="355">
        <f ca="1">IFERROR(INDIRECT("fixtures!" &amp; Dashboard!J1 &amp;304) - Dashboard!K1/24,"TBC")</f>
        <v>45031.8125</v>
      </c>
      <c r="ER40" s="25"/>
      <c r="ES40" s="25" t="s">
        <v>8</v>
      </c>
      <c r="ET40" s="25" t="s">
        <v>108</v>
      </c>
      <c r="EU40" s="105">
        <f>IF(ISBLANK(fixtures!$K304),"",fixtures!$K304)</f>
        <v>3</v>
      </c>
      <c r="EV40" s="25" t="str">
        <f>IF(ISBLANK(fixtures!$L304),"",":")</f>
        <v>:</v>
      </c>
      <c r="EW40" s="107">
        <f>IF(ISBLANK(fixtures!$L304),"",fixtures!$L304)</f>
        <v>1</v>
      </c>
      <c r="EX40" s="25" t="str">
        <f>IF(ISBLANK(fixtures!$L304),"",IF(EU40&gt;EW40,"W",IF(EU40=EW40,"D","L")))</f>
        <v>W</v>
      </c>
      <c r="EY40" s="25"/>
      <c r="EZ40" s="25"/>
      <c r="FA40" s="361">
        <v>16</v>
      </c>
      <c r="FB40" s="27" t="s">
        <v>105</v>
      </c>
      <c r="FC40" s="363">
        <f ca="1">IFERROR(INDIRECT("fixtures!" &amp; Dashboard!J1 &amp;306) - Dashboard!K1/24,"TBC")</f>
        <v>45032.770833333336</v>
      </c>
      <c r="FD40" s="27"/>
      <c r="FE40" s="27" t="s">
        <v>204</v>
      </c>
      <c r="FF40" s="27" t="s">
        <v>106</v>
      </c>
      <c r="FG40" s="361">
        <f>IF(ISBLANK(fixtures!$L306),"",fixtures!$L306)</f>
        <v>2</v>
      </c>
      <c r="FH40" s="27" t="str">
        <f>IF(ISBLANK(fixtures!$L306),"",":")</f>
        <v>:</v>
      </c>
      <c r="FI40" s="362">
        <f>IF(ISBLANK(fixtures!$K306),"",fixtures!$K306)</f>
        <v>0</v>
      </c>
      <c r="FJ40" s="27" t="str">
        <f>IF(ISBLANK(fixtures!$L306),"",IF(FG40&gt;FI40,"W",IF(FG40=FI40,"D","L")))</f>
        <v>W</v>
      </c>
      <c r="FK40" s="27"/>
      <c r="FL40" s="27"/>
      <c r="FM40" s="110">
        <v>15</v>
      </c>
      <c r="FN40" s="29" t="s">
        <v>107</v>
      </c>
      <c r="FO40" s="369">
        <f ca="1">IFERROR(INDIRECT("fixtures!" &amp; Dashboard!J1 &amp;298) - Dashboard!K1/24,"TBC")</f>
        <v>45031.604166666664</v>
      </c>
      <c r="FP40" s="29"/>
      <c r="FQ40" s="29" t="s">
        <v>2</v>
      </c>
      <c r="FR40" s="29" t="s">
        <v>106</v>
      </c>
      <c r="FS40" s="110">
        <f>IF(ISBLANK(fixtures!$L298),"",fixtures!$L298)</f>
        <v>0</v>
      </c>
      <c r="FT40" s="29" t="str">
        <f>IF(ISBLANK(fixtures!$L298),"",":")</f>
        <v>:</v>
      </c>
      <c r="FU40" s="112">
        <f>IF(ISBLANK(fixtures!$K298),"",fixtures!$K298)</f>
        <v>3</v>
      </c>
      <c r="FV40" s="29" t="str">
        <f>IF(ISBLANK(fixtures!$L298),"",IF(FS40&gt;FU40,"W",IF(FS40=FU40,"D","L")))</f>
        <v>L</v>
      </c>
      <c r="FW40" s="29"/>
      <c r="FX40" s="29"/>
      <c r="FY40" s="375">
        <v>8</v>
      </c>
      <c r="FZ40" s="264" t="s">
        <v>107</v>
      </c>
      <c r="GA40" s="377">
        <f ca="1">IFERROR(INDIRECT("fixtures!" &amp; Dashboard!J1 &amp;289) - Dashboard!K1/24,"TBC")</f>
        <v>45024.708333333336</v>
      </c>
      <c r="GB40" s="264"/>
      <c r="GC40" s="264" t="s">
        <v>2</v>
      </c>
      <c r="GD40" s="264" t="s">
        <v>106</v>
      </c>
      <c r="GE40" s="375">
        <f>IF(ISBLANK(fixtures!$L289),"",fixtures!$L289)</f>
        <v>0</v>
      </c>
      <c r="GF40" s="264" t="str">
        <f>IF(ISBLANK(fixtures!$L289),"",":")</f>
        <v>:</v>
      </c>
      <c r="GG40" s="376">
        <f>IF(ISBLANK(fixtures!$K289),"",fixtures!$K289)</f>
        <v>2</v>
      </c>
      <c r="GH40" s="264" t="str">
        <f>IF(ISBLANK(fixtures!$L289),"",IF(GE40&gt;GG40,"W",IF(GE40=GG40,"D","L")))</f>
        <v>L</v>
      </c>
      <c r="GI40" s="264"/>
      <c r="GJ40" s="264"/>
      <c r="GK40" s="382">
        <v>8</v>
      </c>
      <c r="GL40" s="30" t="s">
        <v>107</v>
      </c>
      <c r="GM40" s="384">
        <f ca="1">IFERROR(INDIRECT("fixtures!" &amp; Dashboard!J1 &amp;295) - Dashboard!K1/24,"TBC")</f>
        <v>45024.8125</v>
      </c>
      <c r="GN40" s="30"/>
      <c r="GO40" s="30" t="s">
        <v>10</v>
      </c>
      <c r="GP40" s="30" t="s">
        <v>108</v>
      </c>
      <c r="GQ40" s="382">
        <f>IF(ISBLANK(fixtures!$K295),"",fixtures!$K295)</f>
        <v>1</v>
      </c>
      <c r="GR40" s="30" t="str">
        <f>IF(ISBLANK(fixtures!$L295),"",":")</f>
        <v>:</v>
      </c>
      <c r="GS40" s="383">
        <f>IF(ISBLANK(fixtures!$L295),"",fixtures!$L295)</f>
        <v>4</v>
      </c>
      <c r="GT40" s="30" t="str">
        <f>IF(ISBLANK(fixtures!$L295),"",IF(GQ40&gt;GS40,"W",IF(GQ40=GS40,"D","L")))</f>
        <v>L</v>
      </c>
      <c r="GU40" s="30"/>
      <c r="GV40" s="30"/>
      <c r="GW40" s="115">
        <v>8</v>
      </c>
      <c r="GX40" s="32" t="s">
        <v>107</v>
      </c>
      <c r="GY40" s="390">
        <f ca="1">IFERROR(INDIRECT("fixtures!" &amp; Dashboard!J1 &amp;293) - Dashboard!K1/24,"TBC")</f>
        <v>45024.708333333336</v>
      </c>
      <c r="GZ40" s="32"/>
      <c r="HA40" s="32" t="s">
        <v>4</v>
      </c>
      <c r="HB40" s="32" t="s">
        <v>108</v>
      </c>
      <c r="HC40" s="115">
        <f>IF(ISBLANK(fixtures!$K293),"",fixtures!$K293)</f>
        <v>2</v>
      </c>
      <c r="HD40" s="32" t="str">
        <f>IF(ISBLANK(fixtures!$L293),"",":")</f>
        <v>:</v>
      </c>
      <c r="HE40" s="117">
        <f>IF(ISBLANK(fixtures!$L293),"",fixtures!$L293)</f>
        <v>1</v>
      </c>
      <c r="HF40" s="32" t="str">
        <f>IF(ISBLANK(fixtures!$L293),"",IF(HC40&gt;HE40,"W",IF(HC40=HE40,"D","L")))</f>
        <v>W</v>
      </c>
      <c r="HG40" s="32"/>
      <c r="HH40" s="32"/>
      <c r="HI40" s="120">
        <v>16</v>
      </c>
      <c r="HJ40" s="34" t="s">
        <v>105</v>
      </c>
      <c r="HK40" s="396">
        <f ca="1">IFERROR(INDIRECT("fixtures!" &amp; Dashboard!J1 &amp;305) - Dashboard!K1/24,"TBC")</f>
        <v>45032.666666666664</v>
      </c>
      <c r="HL40" s="34"/>
      <c r="HM40" s="34" t="s">
        <v>1</v>
      </c>
      <c r="HN40" s="34" t="s">
        <v>108</v>
      </c>
      <c r="HO40" s="120">
        <f>IF(ISBLANK(fixtures!$K305),"",fixtures!$K305)</f>
        <v>2</v>
      </c>
      <c r="HP40" s="34" t="str">
        <f>IF(ISBLANK(fixtures!$L305),"",":")</f>
        <v>:</v>
      </c>
      <c r="HQ40" s="122">
        <f>IF(ISBLANK(fixtures!$L305),"",fixtures!$L305)</f>
        <v>2</v>
      </c>
      <c r="HR40" s="34" t="str">
        <f>IF(ISBLANK(fixtures!$L305),"",IF(HO40&gt;HQ40,"W",IF(HO40=HQ40,"D","L")))</f>
        <v>D</v>
      </c>
      <c r="HS40" s="34"/>
      <c r="HT40" s="34"/>
      <c r="HU40" s="125">
        <v>8</v>
      </c>
      <c r="HV40" s="36" t="s">
        <v>107</v>
      </c>
      <c r="HW40" s="402">
        <f ca="1">IFERROR(INDIRECT("fixtures!" &amp; Dashboard!J1 &amp;294) - Dashboard!K1/24,"TBC")</f>
        <v>45024.708333333336</v>
      </c>
      <c r="HX40" s="36"/>
      <c r="HY40" s="36" t="s">
        <v>5</v>
      </c>
      <c r="HZ40" s="36" t="s">
        <v>108</v>
      </c>
      <c r="IA40" s="125">
        <f>IF(ISBLANK(fixtures!$K294),"",fixtures!$K294)</f>
        <v>1</v>
      </c>
      <c r="IB40" s="36" t="str">
        <f>IF(ISBLANK(fixtures!$L294),"",":")</f>
        <v>:</v>
      </c>
      <c r="IC40" s="127">
        <f>IF(ISBLANK(fixtures!$L294),"",fixtures!$L294)</f>
        <v>0</v>
      </c>
      <c r="ID40" s="36" t="str">
        <f>IF(ISBLANK(fixtures!$L294),"",IF(IA40&gt;IC40,"W",IF(IA40=IC40,"D","L")))</f>
        <v>W</v>
      </c>
      <c r="IE40" s="36"/>
      <c r="IF40" s="36"/>
      <c r="II40" s="142"/>
      <c r="IQ40" s="143"/>
      <c r="IR40" s="143"/>
    </row>
    <row r="41" spans="1:252" x14ac:dyDescent="0.4">
      <c r="A41" s="91">
        <v>16</v>
      </c>
      <c r="B41" s="6" t="s">
        <v>105</v>
      </c>
      <c r="C41" s="277">
        <f ca="1">IFERROR(INDIRECT("fixtures!" &amp; Dashboard!J1 &amp;305) - Dashboard!K1/24,"TBC")</f>
        <v>45032.666666666664</v>
      </c>
      <c r="D41" s="6"/>
      <c r="E41" s="6" t="s">
        <v>15</v>
      </c>
      <c r="F41" s="6" t="s">
        <v>106</v>
      </c>
      <c r="G41" s="91">
        <f>IF(ISBLANK(fixtures!$L305),"",fixtures!$L305)</f>
        <v>2</v>
      </c>
      <c r="H41" s="6" t="str">
        <f>IF(ISBLANK(fixtures!$L305),"",":")</f>
        <v>:</v>
      </c>
      <c r="I41" s="93">
        <f>IF(ISBLANK(fixtures!$K305),"",fixtures!$K305)</f>
        <v>2</v>
      </c>
      <c r="J41" s="6" t="str">
        <f>IF(ISBLANK(fixtures!$L305),"",IF(G41&gt;I41,"W",IF(G41=I41,"D","L")))</f>
        <v>D</v>
      </c>
      <c r="K41" s="6"/>
      <c r="L41" s="6"/>
      <c r="M41" s="282">
        <v>15</v>
      </c>
      <c r="N41" s="9" t="s">
        <v>107</v>
      </c>
      <c r="O41" s="284">
        <f ca="1">IFERROR(INDIRECT("fixtures!" &amp; Dashboard!J1 &amp;298) - Dashboard!K1/24,"TBC")</f>
        <v>45031.604166666664</v>
      </c>
      <c r="P41" s="9"/>
      <c r="Q41" s="9" t="s">
        <v>12</v>
      </c>
      <c r="R41" s="9" t="s">
        <v>108</v>
      </c>
      <c r="S41" s="282">
        <f>IF(ISBLANK(fixtures!$K298),"",fixtures!$K298)</f>
        <v>3</v>
      </c>
      <c r="T41" s="9" t="str">
        <f>IF(ISBLANK(fixtures!$L298),"",":")</f>
        <v>:</v>
      </c>
      <c r="U41" s="283">
        <f>IF(ISBLANK(fixtures!$L298),"",fixtures!$L298)</f>
        <v>0</v>
      </c>
      <c r="V41" s="9" t="str">
        <f>IF(ISBLANK(fixtures!$L298),"",IF(S41&gt;U41,"W",IF(S41=U41,"D","L")))</f>
        <v>W</v>
      </c>
      <c r="W41" s="9"/>
      <c r="X41" s="9"/>
      <c r="Y41" s="290">
        <v>15</v>
      </c>
      <c r="Z41" s="262" t="s">
        <v>107</v>
      </c>
      <c r="AA41" s="291">
        <f ca="1">IFERROR(INDIRECT("fixtures!" &amp; Dashboard!J1 &amp;303) - Dashboard!K1/24,"TBC")</f>
        <v>45031.71875</v>
      </c>
      <c r="AB41" s="262"/>
      <c r="AC41" s="262" t="s">
        <v>14</v>
      </c>
      <c r="AD41" s="262" t="s">
        <v>106</v>
      </c>
      <c r="AE41" s="290">
        <f>IF(ISBLANK(fixtures!$L303),"",fixtures!$L303)</f>
        <v>3</v>
      </c>
      <c r="AF41" s="262" t="str">
        <f>IF(ISBLANK(fixtures!$L303),"",":")</f>
        <v>:</v>
      </c>
      <c r="AG41" s="292">
        <f>IF(ISBLANK(fixtures!$K303),"",fixtures!$K303)</f>
        <v>2</v>
      </c>
      <c r="AH41" s="262" t="str">
        <f>IF(ISBLANK(fixtures!$L303),"",IF(AE41&gt;AG41,"W",IF(AE41=AG41,"D","L")))</f>
        <v>W</v>
      </c>
      <c r="AI41" s="262"/>
      <c r="AJ41" s="262"/>
      <c r="AK41" s="411">
        <v>15</v>
      </c>
      <c r="AL41" s="410" t="s">
        <v>107</v>
      </c>
      <c r="AM41" s="413">
        <f ca="1">IFERROR(INDIRECT("fixtures!" &amp; Dashboard!J1 &amp;302) - Dashboard!K1/24,"TBC")</f>
        <v>45031.708333333336</v>
      </c>
      <c r="AN41" s="410"/>
      <c r="AO41" s="410" t="s">
        <v>16</v>
      </c>
      <c r="AP41" s="410" t="s">
        <v>106</v>
      </c>
      <c r="AQ41" s="411">
        <f>IF(ISBLANK(fixtures!$L302),"",fixtures!$L302)</f>
        <v>0</v>
      </c>
      <c r="AR41" s="410" t="str">
        <f>IF(ISBLANK(fixtures!$L302),"",":")</f>
        <v>:</v>
      </c>
      <c r="AS41" s="412">
        <f>IF(ISBLANK(fixtures!$K302),"",fixtures!$K302)</f>
        <v>2</v>
      </c>
      <c r="AT41" s="410" t="str">
        <f>IF(ISBLANK(fixtures!$L302),"",IF(AQ41&gt;AS41,"W",IF(AQ41=AS41,"D","L")))</f>
        <v>L</v>
      </c>
      <c r="AU41" s="410"/>
      <c r="AV41" s="410"/>
      <c r="AW41" s="96">
        <v>29</v>
      </c>
      <c r="AX41" s="11" t="s">
        <v>107</v>
      </c>
      <c r="AY41" s="298">
        <f ca="1">IFERROR(INDIRECT("fixtures!" &amp; Dashboard!J1 &amp;328) - Dashboard!K1/24,"TBC")</f>
        <v>45045.708333333336</v>
      </c>
      <c r="AZ41" s="11"/>
      <c r="BA41" s="11" t="s">
        <v>16</v>
      </c>
      <c r="BB41" s="11" t="s">
        <v>108</v>
      </c>
      <c r="BC41" s="96">
        <f>IF(ISBLANK(fixtures!$K328),"",fixtures!$K328)</f>
        <v>6</v>
      </c>
      <c r="BD41" s="11" t="str">
        <f>IF(ISBLANK(fixtures!$L328),"",":")</f>
        <v>:</v>
      </c>
      <c r="BE41" s="98">
        <f>IF(ISBLANK(fixtures!$L328),"",fixtures!$L328)</f>
        <v>0</v>
      </c>
      <c r="BF41" s="11" t="str">
        <f>IF(ISBLANK(fixtures!$L328),"",IF(BC41&gt;BE41,"W",IF(BC41=BE41,"D","L")))</f>
        <v>W</v>
      </c>
      <c r="BG41" s="11"/>
      <c r="BH41" s="11"/>
      <c r="BI41" s="181">
        <v>15</v>
      </c>
      <c r="BJ41" s="15" t="s">
        <v>107</v>
      </c>
      <c r="BK41" s="304">
        <f ca="1">IFERROR(INDIRECT("fixtures!" &amp; Dashboard!J1 &amp;299) - Dashboard!K1/24,"TBC")</f>
        <v>45031.708333333336</v>
      </c>
      <c r="BL41" s="15"/>
      <c r="BM41" s="15" t="s">
        <v>4</v>
      </c>
      <c r="BN41" s="15" t="s">
        <v>108</v>
      </c>
      <c r="BO41" s="181">
        <f>IF(ISBLANK(fixtures!$K299),"",fixtures!$K299)</f>
        <v>1</v>
      </c>
      <c r="BP41" s="15" t="str">
        <f>IF(ISBLANK(fixtures!$L299),"",":")</f>
        <v>:</v>
      </c>
      <c r="BQ41" s="183">
        <f>IF(ISBLANK(fixtures!$L299),"",fixtures!$L299)</f>
        <v>2</v>
      </c>
      <c r="BR41" s="15" t="str">
        <f>IF(ISBLANK(fixtures!$L299),"",IF(BO41&gt;BQ41,"W",IF(BO41=BQ41,"D","L")))</f>
        <v>L</v>
      </c>
      <c r="BS41" s="15"/>
      <c r="BT41" s="15"/>
      <c r="BU41" s="310">
        <v>15</v>
      </c>
      <c r="BV41" s="16" t="s">
        <v>107</v>
      </c>
      <c r="BW41" s="312">
        <f ca="1">IFERROR(INDIRECT("fixtures!" &amp; Dashboard!J1 &amp;301) - Dashboard!K1/24,"TBC")</f>
        <v>45031.708333333336</v>
      </c>
      <c r="BX41" s="16"/>
      <c r="BY41" s="16" t="s">
        <v>13</v>
      </c>
      <c r="BZ41" s="16" t="s">
        <v>106</v>
      </c>
      <c r="CA41" s="310">
        <f>IF(ISBLANK(fixtures!$L301),"",fixtures!$L301)</f>
        <v>2</v>
      </c>
      <c r="CB41" s="16" t="str">
        <f>IF(ISBLANK(fixtures!$L301),"",":")</f>
        <v>:</v>
      </c>
      <c r="CC41" s="311">
        <f>IF(ISBLANK(fixtures!$K301),"",fixtures!$K301)</f>
        <v>0</v>
      </c>
      <c r="CD41" s="16" t="str">
        <f>IF(ISBLANK(fixtures!$L301),"",IF(CA41&gt;CC41,"W",IF(CA41=CC41,"D","L")))</f>
        <v>W</v>
      </c>
      <c r="CE41" s="16"/>
      <c r="CF41" s="16"/>
      <c r="CG41" s="318">
        <v>15</v>
      </c>
      <c r="CH41" s="19" t="s">
        <v>107</v>
      </c>
      <c r="CI41" s="320">
        <f ca="1">IFERROR(INDIRECT("fixtures!" &amp; Dashboard!J1 &amp;300) - Dashboard!K1/24,"TBC")</f>
        <v>45031.708333333336</v>
      </c>
      <c r="CJ41" s="19"/>
      <c r="CK41" s="19" t="s">
        <v>126</v>
      </c>
      <c r="CL41" s="19" t="s">
        <v>108</v>
      </c>
      <c r="CM41" s="318">
        <f>IF(ISBLANK(fixtures!$K300),"",fixtures!$K300)</f>
        <v>1</v>
      </c>
      <c r="CN41" s="19" t="str">
        <f>IF(ISBLANK(fixtures!$L300),"",":")</f>
        <v>:</v>
      </c>
      <c r="CO41" s="319">
        <f>IF(ISBLANK(fixtures!$L300),"",fixtures!$L300)</f>
        <v>3</v>
      </c>
      <c r="CP41" s="19" t="str">
        <f>IF(ISBLANK(fixtures!$L300),"",IF(CM41&gt;CO41,"W",IF(CM41=CO41,"D","L")))</f>
        <v>L</v>
      </c>
      <c r="CQ41" s="19"/>
      <c r="CR41" s="19"/>
      <c r="CS41" s="326">
        <v>22</v>
      </c>
      <c r="CT41" s="178" t="s">
        <v>107</v>
      </c>
      <c r="CU41" s="328">
        <f ca="1">IFERROR(INDIRECT("fixtures!" &amp; Dashboard!J1 &amp;309) - Dashboard!K1/24,"TBC")</f>
        <v>45038.604166666664</v>
      </c>
      <c r="CV41" s="178"/>
      <c r="CW41" s="178" t="s">
        <v>139</v>
      </c>
      <c r="CX41" s="178" t="s">
        <v>108</v>
      </c>
      <c r="CY41" s="326">
        <f>IF(ISBLANK(fixtures!$K309),"",fixtures!$K309)</f>
        <v>2</v>
      </c>
      <c r="CZ41" s="178" t="str">
        <f>IF(ISBLANK(fixtures!$L309),"",":")</f>
        <v>:</v>
      </c>
      <c r="DA41" s="327">
        <f>IF(ISBLANK(fixtures!$L309),"",fixtures!$L309)</f>
        <v>1</v>
      </c>
      <c r="DB41" s="178" t="str">
        <f>IF(ISBLANK(fixtures!$L309),"",IF(CY41&gt;DA41,"W",IF(CY41=DA41,"D","L")))</f>
        <v>W</v>
      </c>
      <c r="DC41" s="178"/>
      <c r="DD41" s="178"/>
      <c r="DE41" s="334">
        <v>17</v>
      </c>
      <c r="DF41" s="177" t="s">
        <v>109</v>
      </c>
      <c r="DG41" s="336">
        <f ca="1">IFERROR(INDIRECT("fixtures!" &amp; Dashboard!J1 &amp;307) - Dashboard!K1/24,"TBC")</f>
        <v>45033.916666666664</v>
      </c>
      <c r="DH41" s="177"/>
      <c r="DI41" s="177" t="s">
        <v>9</v>
      </c>
      <c r="DJ41" s="177" t="s">
        <v>108</v>
      </c>
      <c r="DK41" s="334">
        <f>IF(ISBLANK(fixtures!$K307),"",fixtures!$K307)</f>
        <v>1</v>
      </c>
      <c r="DL41" s="177" t="str">
        <f>IF(ISBLANK(fixtures!$L307),"",":")</f>
        <v>:</v>
      </c>
      <c r="DM41" s="335">
        <f>IF(ISBLANK(fixtures!$L307),"",fixtures!$L307)</f>
        <v>6</v>
      </c>
      <c r="DN41" s="177" t="str">
        <f>IF(ISBLANK(fixtures!$L307),"",IF(DK41&gt;DM41,"W",IF(DK41=DM41,"D","L")))</f>
        <v>L</v>
      </c>
      <c r="DO41" s="177"/>
      <c r="DP41" s="177"/>
      <c r="DQ41" s="341">
        <v>15</v>
      </c>
      <c r="DR41" s="21" t="s">
        <v>107</v>
      </c>
      <c r="DS41" s="343">
        <f ca="1">IFERROR(INDIRECT("fixtures!" &amp; Dashboard!J1 &amp;304) - Dashboard!K1/24,"TBC")</f>
        <v>45031.8125</v>
      </c>
      <c r="DT41" s="21"/>
      <c r="DU41" s="21" t="s">
        <v>10</v>
      </c>
      <c r="DV41" s="21" t="s">
        <v>106</v>
      </c>
      <c r="DW41" s="341">
        <f>IF(ISBLANK(fixtures!$L304),"",fixtures!$L304)</f>
        <v>1</v>
      </c>
      <c r="DX41" s="21" t="str">
        <f>IF(ISBLANK(fixtures!$L304),"",":")</f>
        <v>:</v>
      </c>
      <c r="DY41" s="342">
        <f>IF(ISBLANK(fixtures!$K304),"",fixtures!$K304)</f>
        <v>3</v>
      </c>
      <c r="DZ41" s="21" t="str">
        <f>IF(ISBLANK(fixtures!$L304),"",IF(DW41&gt;DY41,"W",IF(DW41=DY41,"D","L")))</f>
        <v>L</v>
      </c>
      <c r="EA41" s="21"/>
      <c r="EB41" s="21"/>
      <c r="EC41" s="270">
        <v>22</v>
      </c>
      <c r="ED41" s="23" t="s">
        <v>107</v>
      </c>
      <c r="EE41" s="349">
        <f ca="1">IFERROR(INDIRECT("fixtures!" &amp; Dashboard!J1 &amp;313) - Dashboard!K1/24,"TBC")</f>
        <v>45038.708333333336</v>
      </c>
      <c r="EF41" s="23"/>
      <c r="EG41" s="23" t="s">
        <v>204</v>
      </c>
      <c r="EH41" s="23" t="s">
        <v>108</v>
      </c>
      <c r="EI41" s="270">
        <f>IF(ISBLANK(fixtures!$K313),"",fixtures!$K313)</f>
        <v>3</v>
      </c>
      <c r="EJ41" s="23" t="str">
        <f>IF(ISBLANK(fixtures!$L313),"",":")</f>
        <v>:</v>
      </c>
      <c r="EK41" s="272">
        <f>IF(ISBLANK(fixtures!$L313),"",fixtures!$L313)</f>
        <v>2</v>
      </c>
      <c r="EL41" s="23" t="str">
        <f>IF(ISBLANK(fixtures!$L313),"",IF(EI41&gt;EK41,"W",IF(EI41=EK41,"D","L")))</f>
        <v>W</v>
      </c>
      <c r="EM41" s="23"/>
      <c r="EN41" s="23"/>
      <c r="EO41" s="105">
        <v>26</v>
      </c>
      <c r="EP41" s="25" t="s">
        <v>110</v>
      </c>
      <c r="EQ41" s="355">
        <f ca="1">IFERROR(INDIRECT("fixtures!" &amp; Dashboard!J1 &amp;322) - Dashboard!K1/24,"TBC")</f>
        <v>45042.916666666664</v>
      </c>
      <c r="ER41" s="25"/>
      <c r="ES41" s="25" t="s">
        <v>1</v>
      </c>
      <c r="ET41" s="25" t="s">
        <v>108</v>
      </c>
      <c r="EU41" s="105">
        <f>IF(ISBLANK(fixtures!$K322),"",fixtures!$K322)</f>
        <v>4</v>
      </c>
      <c r="EV41" s="25" t="str">
        <f>IF(ISBLANK(fixtures!$L322),"",":")</f>
        <v>:</v>
      </c>
      <c r="EW41" s="107">
        <f>IF(ISBLANK(fixtures!$L322),"",fixtures!$L322)</f>
        <v>1</v>
      </c>
      <c r="EX41" s="25" t="str">
        <f>IF(ISBLANK(fixtures!$L322),"",IF(EU41&gt;EW41,"W",IF(EU41=EW41,"D","L")))</f>
        <v>W</v>
      </c>
      <c r="EY41" s="25"/>
      <c r="EZ41" s="25"/>
      <c r="FA41" s="361">
        <v>27</v>
      </c>
      <c r="FB41" s="27" t="s">
        <v>582</v>
      </c>
      <c r="FC41" s="363">
        <f ca="1">IFERROR(INDIRECT("fixtures!" &amp; Dashboard!J1 &amp;325) - Dashboard!K1/24,"TBC")</f>
        <v>45043.927083333336</v>
      </c>
      <c r="FD41" s="27"/>
      <c r="FE41" s="27" t="s">
        <v>14</v>
      </c>
      <c r="FF41" s="27" t="s">
        <v>106</v>
      </c>
      <c r="FG41" s="361">
        <f>IF(ISBLANK(fixtures!$L325),"",fixtures!$L325)</f>
        <v>2</v>
      </c>
      <c r="FH41" s="27" t="str">
        <f>IF(ISBLANK(fixtures!$L325),"",":")</f>
        <v>:</v>
      </c>
      <c r="FI41" s="362">
        <f>IF(ISBLANK(fixtures!$K325),"",fixtures!$K325)</f>
        <v>2</v>
      </c>
      <c r="FJ41" s="27" t="str">
        <f>IF(ISBLANK(fixtures!$L325),"",IF(FG41&gt;FI41,"W",IF(FG41=FI41,"D","L")))</f>
        <v>D</v>
      </c>
      <c r="FK41" s="27"/>
      <c r="FL41" s="27"/>
      <c r="FM41" s="110">
        <v>23</v>
      </c>
      <c r="FN41" s="29" t="s">
        <v>105</v>
      </c>
      <c r="FO41" s="369">
        <f ca="1">IFERROR(INDIRECT("fixtures!" &amp; Dashboard!J1 &amp;315) - Dashboard!K1/24,"TBC")</f>
        <v>45039.666666666664</v>
      </c>
      <c r="FP41" s="29"/>
      <c r="FQ41" s="29" t="s">
        <v>14</v>
      </c>
      <c r="FR41" s="29" t="s">
        <v>108</v>
      </c>
      <c r="FS41" s="110">
        <f>IF(ISBLANK(fixtures!$K315),"",fixtures!$K315)</f>
        <v>6</v>
      </c>
      <c r="FT41" s="29" t="str">
        <f>IF(ISBLANK(fixtures!$L315),"",":")</f>
        <v>:</v>
      </c>
      <c r="FU41" s="112">
        <f>IF(ISBLANK(fixtures!$L315),"",fixtures!$L315)</f>
        <v>1</v>
      </c>
      <c r="FV41" s="29" t="str">
        <f>IF(ISBLANK(fixtures!$L315),"",IF(FS41&gt;FU41,"W",IF(FS41=FU41,"D","L")))</f>
        <v>W</v>
      </c>
      <c r="FW41" s="29"/>
      <c r="FX41" s="29"/>
      <c r="FY41" s="375">
        <v>16</v>
      </c>
      <c r="FZ41" s="264" t="s">
        <v>105</v>
      </c>
      <c r="GA41" s="377">
        <f ca="1">IFERROR(INDIRECT("fixtures!" &amp; Dashboard!J1 &amp;306) - Dashboard!K1/24,"TBC")</f>
        <v>45032.770833333336</v>
      </c>
      <c r="GB41" s="264"/>
      <c r="GC41" s="264" t="s">
        <v>11</v>
      </c>
      <c r="GD41" s="264" t="s">
        <v>108</v>
      </c>
      <c r="GE41" s="375">
        <f>IF(ISBLANK(fixtures!$K306),"",fixtures!$K306)</f>
        <v>0</v>
      </c>
      <c r="GF41" s="264" t="str">
        <f>IF(ISBLANK(fixtures!$L306),"",":")</f>
        <v>:</v>
      </c>
      <c r="GG41" s="376">
        <f>IF(ISBLANK(fixtures!$L306),"",fixtures!$L306)</f>
        <v>2</v>
      </c>
      <c r="GH41" s="264" t="str">
        <f>IF(ISBLANK(fixtures!$L306),"",IF(GE41&gt;GG41,"W",IF(GE41=GG41,"D","L")))</f>
        <v>L</v>
      </c>
      <c r="GI41" s="264"/>
      <c r="GJ41" s="264"/>
      <c r="GK41" s="382">
        <v>15</v>
      </c>
      <c r="GL41" s="30" t="s">
        <v>107</v>
      </c>
      <c r="GM41" s="384">
        <f ca="1">IFERROR(INDIRECT("fixtures!" &amp; Dashboard!J1 &amp;301) - Dashboard!K1/24,"TBC")</f>
        <v>45031.708333333336</v>
      </c>
      <c r="GN41" s="30"/>
      <c r="GO41" s="30" t="s">
        <v>6</v>
      </c>
      <c r="GP41" s="30" t="s">
        <v>108</v>
      </c>
      <c r="GQ41" s="382">
        <f>IF(ISBLANK(fixtures!$K301),"",fixtures!$K301)</f>
        <v>0</v>
      </c>
      <c r="GR41" s="30" t="str">
        <f>IF(ISBLANK(fixtures!$L301),"",":")</f>
        <v>:</v>
      </c>
      <c r="GS41" s="383">
        <f>IF(ISBLANK(fixtures!$L301),"",fixtures!$L301)</f>
        <v>2</v>
      </c>
      <c r="GT41" s="30" t="str">
        <f>IF(ISBLANK(fixtures!$L301),"",IF(GQ41&gt;GS41,"W",IF(GQ41=GS41,"D","L")))</f>
        <v>L</v>
      </c>
      <c r="GU41" s="30"/>
      <c r="GV41" s="30"/>
      <c r="GW41" s="115">
        <v>15</v>
      </c>
      <c r="GX41" s="32" t="s">
        <v>107</v>
      </c>
      <c r="GY41" s="390">
        <f ca="1">IFERROR(INDIRECT("fixtures!" &amp; Dashboard!J1 &amp;303) - Dashboard!K1/24,"TBC")</f>
        <v>45031.71875</v>
      </c>
      <c r="GZ41" s="32"/>
      <c r="HA41" s="32" t="s">
        <v>3</v>
      </c>
      <c r="HB41" s="32" t="s">
        <v>108</v>
      </c>
      <c r="HC41" s="115">
        <f>IF(ISBLANK(fixtures!$K303),"",fixtures!$K303)</f>
        <v>2</v>
      </c>
      <c r="HD41" s="32" t="str">
        <f>IF(ISBLANK(fixtures!$L303),"",":")</f>
        <v>:</v>
      </c>
      <c r="HE41" s="117">
        <f>IF(ISBLANK(fixtures!$L303),"",fixtures!$L303)</f>
        <v>3</v>
      </c>
      <c r="HF41" s="32" t="str">
        <f>IF(ISBLANK(fixtures!$L303),"",IF(HC41&gt;HE41,"W",IF(HC41=HE41,"D","L")))</f>
        <v>L</v>
      </c>
      <c r="HG41" s="32"/>
      <c r="HH41" s="32"/>
      <c r="HI41" s="120">
        <v>23</v>
      </c>
      <c r="HJ41" s="34" t="s">
        <v>105</v>
      </c>
      <c r="HK41" s="396">
        <f ca="1">IFERROR(INDIRECT("fixtures!" &amp; Dashboard!J1 &amp;314) - Dashboard!K1/24,"TBC")</f>
        <v>45039.666666666664</v>
      </c>
      <c r="HL41" s="34"/>
      <c r="HM41" s="34" t="s">
        <v>3</v>
      </c>
      <c r="HN41" s="34" t="s">
        <v>106</v>
      </c>
      <c r="HO41" s="120">
        <f>IF(ISBLANK(fixtures!$L314),"",fixtures!$L314)</f>
        <v>4</v>
      </c>
      <c r="HP41" s="34" t="str">
        <f>IF(ISBLANK(fixtures!$L314),"",":")</f>
        <v>:</v>
      </c>
      <c r="HQ41" s="122">
        <f>IF(ISBLANK(fixtures!$K314),"",fixtures!$K314)</f>
        <v>0</v>
      </c>
      <c r="HR41" s="34" t="str">
        <f>IF(ISBLANK(fixtures!$L314),"",IF(HO41&gt;HQ41,"W",IF(HO41=HQ41,"D","L")))</f>
        <v>W</v>
      </c>
      <c r="HS41" s="34"/>
      <c r="HT41" s="34"/>
      <c r="HU41" s="125">
        <v>15</v>
      </c>
      <c r="HV41" s="36" t="s">
        <v>107</v>
      </c>
      <c r="HW41" s="402">
        <f ca="1">IFERROR(INDIRECT("fixtures!" &amp; Dashboard!J1 &amp;302) - Dashboard!K1/24,"TBC")</f>
        <v>45031.708333333336</v>
      </c>
      <c r="HX41" s="36"/>
      <c r="HY41" s="36" t="s">
        <v>125</v>
      </c>
      <c r="HZ41" s="36" t="s">
        <v>108</v>
      </c>
      <c r="IA41" s="125">
        <f>IF(ISBLANK(fixtures!$K302),"",fixtures!$K302)</f>
        <v>2</v>
      </c>
      <c r="IB41" s="36" t="str">
        <f>IF(ISBLANK(fixtures!$L302),"",":")</f>
        <v>:</v>
      </c>
      <c r="IC41" s="127">
        <f>IF(ISBLANK(fixtures!$L302),"",fixtures!$L302)</f>
        <v>0</v>
      </c>
      <c r="ID41" s="36" t="str">
        <f>IF(ISBLANK(fixtures!$L302),"",IF(IA41&gt;IC41,"W",IF(IA41=IC41,"D","L")))</f>
        <v>W</v>
      </c>
      <c r="IE41" s="36"/>
      <c r="IF41" s="36"/>
    </row>
    <row r="42" spans="1:252" x14ac:dyDescent="0.4">
      <c r="A42" s="91">
        <v>21</v>
      </c>
      <c r="B42" s="93" t="s">
        <v>146</v>
      </c>
      <c r="C42" s="277">
        <f ca="1">IFERROR(INDIRECT("fixtures!" &amp; Dashboard!J1 &amp;308) - Dashboard!K1/24,"TBC")</f>
        <v>45037.916666666664</v>
      </c>
      <c r="D42" s="6"/>
      <c r="E42" s="6" t="s">
        <v>13</v>
      </c>
      <c r="F42" s="6" t="s">
        <v>108</v>
      </c>
      <c r="G42" s="91">
        <f>IF(ISBLANK(fixtures!$K308),"",fixtures!$K308)</f>
        <v>3</v>
      </c>
      <c r="H42" s="6" t="str">
        <f>IF(ISBLANK(fixtures!$L308),"",":")</f>
        <v>:</v>
      </c>
      <c r="I42" s="93">
        <f>IF(ISBLANK(fixtures!$L308),"",fixtures!$L308)</f>
        <v>3</v>
      </c>
      <c r="J42" s="6" t="str">
        <f>IF(ISBLANK(fixtures!$L308),"",IF(G42&gt;I42,"W",IF(G42=I42,"D","L")))</f>
        <v>D</v>
      </c>
      <c r="K42" s="6"/>
      <c r="L42" s="6"/>
      <c r="M42" s="282">
        <v>22</v>
      </c>
      <c r="N42" s="283" t="s">
        <v>107</v>
      </c>
      <c r="O42" s="284">
        <f ca="1">IFERROR(INDIRECT("fixtures!" &amp; Dashboard!J1 &amp;310) - Dashboard!K1/24,"TBC")</f>
        <v>45038.708333333336</v>
      </c>
      <c r="P42" s="9"/>
      <c r="Q42" s="9" t="s">
        <v>125</v>
      </c>
      <c r="R42" s="9" t="s">
        <v>106</v>
      </c>
      <c r="S42" s="282">
        <f>IF(ISBLANK(fixtures!$L310),"",fixtures!$L310)</f>
        <v>1</v>
      </c>
      <c r="T42" s="9" t="str">
        <f>IF(ISBLANK(fixtures!$L310),"",":")</f>
        <v>:</v>
      </c>
      <c r="U42" s="283">
        <f>IF(ISBLANK(fixtures!$K310),"",fixtures!$K310)</f>
        <v>1</v>
      </c>
      <c r="V42" s="9" t="str">
        <f>IF(ISBLANK(fixtures!$L310),"",IF(S42&gt;U42,"W",IF(S42=U42,"D","L")))</f>
        <v>D</v>
      </c>
      <c r="W42" s="9"/>
      <c r="X42" s="9"/>
      <c r="Y42" s="290">
        <v>23</v>
      </c>
      <c r="Z42" s="262" t="s">
        <v>105</v>
      </c>
      <c r="AA42" s="291">
        <f ca="1">IFERROR(INDIRECT("fixtures!" &amp; Dashboard!J1 &amp;314) - Dashboard!K1/24,"TBC")</f>
        <v>45039.666666666664</v>
      </c>
      <c r="AB42" s="262"/>
      <c r="AC42" s="262" t="s">
        <v>15</v>
      </c>
      <c r="AD42" s="262" t="s">
        <v>108</v>
      </c>
      <c r="AE42" s="290">
        <f>IF(ISBLANK(fixtures!$K314),"",fixtures!$K314)</f>
        <v>0</v>
      </c>
      <c r="AF42" s="262" t="str">
        <f>IF(ISBLANK(fixtures!$L314),"",":")</f>
        <v>:</v>
      </c>
      <c r="AG42" s="292">
        <f>IF(ISBLANK(fixtures!$L314),"",fixtures!$L314)</f>
        <v>4</v>
      </c>
      <c r="AH42" s="262" t="str">
        <f>IF(ISBLANK(fixtures!$L314),"",IF(AE42&gt;AG42,"W",IF(AE42=AG42,"D","L")))</f>
        <v>L</v>
      </c>
      <c r="AI42" s="262"/>
      <c r="AJ42" s="262"/>
      <c r="AK42" s="411">
        <v>22</v>
      </c>
      <c r="AL42" s="410" t="s">
        <v>107</v>
      </c>
      <c r="AM42" s="413">
        <f ca="1">IFERROR(INDIRECT("fixtures!" &amp; Dashboard!J1 &amp;310) - Dashboard!K1/24,"TBC")</f>
        <v>45038.708333333336</v>
      </c>
      <c r="AN42" s="410"/>
      <c r="AO42" s="410" t="s">
        <v>2</v>
      </c>
      <c r="AP42" s="410" t="s">
        <v>108</v>
      </c>
      <c r="AQ42" s="411">
        <f>IF(ISBLANK(fixtures!$K310),"",fixtures!$K310)</f>
        <v>1</v>
      </c>
      <c r="AR42" s="410" t="str">
        <f>IF(ISBLANK(fixtures!$L310),"",":")</f>
        <v>:</v>
      </c>
      <c r="AS42" s="412">
        <f>IF(ISBLANK(fixtures!$L310),"",fixtures!$L310)</f>
        <v>1</v>
      </c>
      <c r="AT42" s="410" t="str">
        <f>IF(ISBLANK(fixtures!$L310),"",IF(AQ42&gt;AS42,"W",IF(AQ42=AS42,"D","L")))</f>
        <v>D</v>
      </c>
      <c r="AU42" s="410"/>
      <c r="AV42" s="410"/>
      <c r="AW42" s="299" t="s">
        <v>26</v>
      </c>
      <c r="AX42" s="11"/>
      <c r="AY42" s="298"/>
      <c r="AZ42" s="11"/>
      <c r="BA42" s="11"/>
      <c r="BB42" s="11"/>
      <c r="BC42" s="96"/>
      <c r="BD42" s="11"/>
      <c r="BE42" s="98"/>
      <c r="BF42" s="11"/>
      <c r="BG42" s="11"/>
      <c r="BH42" s="11"/>
      <c r="BI42" s="181">
        <v>26</v>
      </c>
      <c r="BJ42" s="15" t="s">
        <v>110</v>
      </c>
      <c r="BK42" s="304">
        <f ca="1">IFERROR(INDIRECT("fixtures!" &amp; Dashboard!J1 &amp;320) - Dashboard!K1/24,"TBC")</f>
        <v>45042.90625</v>
      </c>
      <c r="BL42" s="15"/>
      <c r="BM42" s="15" t="s">
        <v>125</v>
      </c>
      <c r="BN42" s="15" t="s">
        <v>108</v>
      </c>
      <c r="BO42" s="181">
        <f>IF(ISBLANK(fixtures!$K320),"",fixtures!$K320)</f>
        <v>0</v>
      </c>
      <c r="BP42" s="15" t="str">
        <f>IF(ISBLANK(fixtures!$L320),"",":")</f>
        <v>:</v>
      </c>
      <c r="BQ42" s="183">
        <f>IF(ISBLANK(fixtures!$L320),"",fixtures!$L320)</f>
        <v>2</v>
      </c>
      <c r="BR42" s="15" t="str">
        <f>IF(ISBLANK(fixtures!$L320),"",IF(BO42&gt;BQ42,"W",IF(BO42=BQ42,"D","L")))</f>
        <v>L</v>
      </c>
      <c r="BS42" s="15"/>
      <c r="BT42" s="15"/>
      <c r="BU42" s="310">
        <v>22</v>
      </c>
      <c r="BV42" s="16" t="s">
        <v>107</v>
      </c>
      <c r="BW42" s="312">
        <f ca="1">IFERROR(INDIRECT("fixtures!" &amp; Dashboard!J1 &amp;311) - Dashboard!K1/24,"TBC")</f>
        <v>45038.708333333336</v>
      </c>
      <c r="BX42" s="16"/>
      <c r="BY42" s="16" t="s">
        <v>7</v>
      </c>
      <c r="BZ42" s="16" t="s">
        <v>108</v>
      </c>
      <c r="CA42" s="310">
        <f>IF(ISBLANK(fixtures!$K311),"",fixtures!$K311)</f>
        <v>0</v>
      </c>
      <c r="CB42" s="16" t="str">
        <f>IF(ISBLANK(fixtures!$L311),"",":")</f>
        <v>:</v>
      </c>
      <c r="CC42" s="311">
        <f>IF(ISBLANK(fixtures!$L311),"",fixtures!$L311)</f>
        <v>0</v>
      </c>
      <c r="CD42" s="16" t="str">
        <f>IF(ISBLANK(fixtures!$L311),"",IF(CA42&gt;CC42,"W",IF(CA42=CC42,"D","L")))</f>
        <v>D</v>
      </c>
      <c r="CE42" s="16"/>
      <c r="CF42" s="16"/>
      <c r="CG42" s="318">
        <v>22</v>
      </c>
      <c r="CH42" s="19" t="s">
        <v>107</v>
      </c>
      <c r="CI42" s="320">
        <f ca="1">IFERROR(INDIRECT("fixtures!" &amp; Dashboard!J1 &amp;311) - Dashboard!K1/24,"TBC")</f>
        <v>45038.708333333336</v>
      </c>
      <c r="CJ42" s="19"/>
      <c r="CK42" s="19" t="s">
        <v>6</v>
      </c>
      <c r="CL42" s="19" t="s">
        <v>106</v>
      </c>
      <c r="CM42" s="318">
        <f>IF(ISBLANK(fixtures!$L311),"",fixtures!$L311)</f>
        <v>0</v>
      </c>
      <c r="CN42" s="19" t="str">
        <f>IF(ISBLANK(fixtures!$L311),"",":")</f>
        <v>:</v>
      </c>
      <c r="CO42" s="319">
        <f>IF(ISBLANK(fixtures!$K311),"",fixtures!$K311)</f>
        <v>0</v>
      </c>
      <c r="CP42" s="19" t="str">
        <f>IF(ISBLANK(fixtures!$L311),"",IF(CM42&gt;CO42,"W",IF(CM42=CO42,"D","L")))</f>
        <v>D</v>
      </c>
      <c r="CQ42" s="19"/>
      <c r="CR42" s="19"/>
      <c r="CS42" s="326">
        <v>25</v>
      </c>
      <c r="CT42" s="178" t="s">
        <v>111</v>
      </c>
      <c r="CU42" s="328">
        <f ca="1">IFERROR(INDIRECT("fixtures!" &amp; Dashboard!J1 &amp;317) - Dashboard!K1/24,"TBC")</f>
        <v>45041.90625</v>
      </c>
      <c r="CV42" s="178"/>
      <c r="CW42" s="178" t="s">
        <v>2</v>
      </c>
      <c r="CX42" s="178" t="s">
        <v>106</v>
      </c>
      <c r="CY42" s="326">
        <f>IF(ISBLANK(fixtures!$L317),"",fixtures!$L317)</f>
        <v>0</v>
      </c>
      <c r="CZ42" s="178" t="str">
        <f>IF(ISBLANK(fixtures!$L317),"",":")</f>
        <v>:</v>
      </c>
      <c r="DA42" s="327">
        <f>IF(ISBLANK(fixtures!$K317),"",fixtures!$K317)</f>
        <v>1</v>
      </c>
      <c r="DB42" s="178" t="str">
        <f>IF(ISBLANK(fixtures!$L317),"",IF(CY42&gt;DA42,"W",IF(CY42=DA42,"D","L")))</f>
        <v>L</v>
      </c>
      <c r="DC42" s="178"/>
      <c r="DD42" s="178"/>
      <c r="DE42" s="334">
        <v>22</v>
      </c>
      <c r="DF42" s="177" t="s">
        <v>107</v>
      </c>
      <c r="DG42" s="336">
        <f ca="1">IFERROR(INDIRECT("fixtures!" &amp; Dashboard!J1 &amp;309) - Dashboard!K1/24,"TBC")</f>
        <v>45038.604166666664</v>
      </c>
      <c r="DH42" s="177"/>
      <c r="DI42" s="177" t="s">
        <v>126</v>
      </c>
      <c r="DJ42" s="177" t="s">
        <v>106</v>
      </c>
      <c r="DK42" s="334">
        <f>IF(ISBLANK(fixtures!$L309),"",fixtures!$L309)</f>
        <v>1</v>
      </c>
      <c r="DL42" s="177" t="str">
        <f>IF(ISBLANK(fixtures!$L309),"",":")</f>
        <v>:</v>
      </c>
      <c r="DM42" s="335">
        <f>IF(ISBLANK(fixtures!$K309),"",fixtures!$K309)</f>
        <v>2</v>
      </c>
      <c r="DN42" s="177" t="str">
        <f>IF(ISBLANK(fixtures!$L309),"",IF(DK42&gt;DM42,"W",IF(DK42=DM42,"D","L")))</f>
        <v>L</v>
      </c>
      <c r="DO42" s="177"/>
      <c r="DP42" s="177"/>
      <c r="DQ42" s="341">
        <v>22</v>
      </c>
      <c r="DR42" s="342" t="s">
        <v>107</v>
      </c>
      <c r="DS42" s="343">
        <f ca="1">IFERROR(INDIRECT("fixtures!" &amp; Dashboard!J1 &amp;312) - Dashboard!K1/24,"TBC")</f>
        <v>45038.708333333336</v>
      </c>
      <c r="DT42" s="21"/>
      <c r="DU42" s="21" t="s">
        <v>16</v>
      </c>
      <c r="DV42" s="21" t="s">
        <v>108</v>
      </c>
      <c r="DW42" s="341">
        <f>IF(ISBLANK(fixtures!$K312),"",fixtures!$K312)</f>
        <v>2</v>
      </c>
      <c r="DX42" s="21" t="str">
        <f>IF(ISBLANK(fixtures!$L312),"",":")</f>
        <v>:</v>
      </c>
      <c r="DY42" s="342">
        <f>IF(ISBLANK(fixtures!$L312),"",fixtures!$L312)</f>
        <v>1</v>
      </c>
      <c r="DZ42" s="21" t="str">
        <f>IF(ISBLANK(fixtures!$L312),"",IF(DW42&gt;DY42,"W",IF(DW42=DY42,"D","L")))</f>
        <v>W</v>
      </c>
      <c r="EA42" s="21"/>
      <c r="EB42" s="21"/>
      <c r="EC42" s="270">
        <v>26</v>
      </c>
      <c r="ED42" s="23" t="s">
        <v>110</v>
      </c>
      <c r="EE42" s="349">
        <f ca="1">IFERROR(INDIRECT("fixtures!" &amp; Dashboard!J1 &amp;321) - Dashboard!K1/24,"TBC")</f>
        <v>45042.90625</v>
      </c>
      <c r="EF42" s="23"/>
      <c r="EG42" s="23" t="s">
        <v>15</v>
      </c>
      <c r="EH42" s="23" t="s">
        <v>106</v>
      </c>
      <c r="EI42" s="270">
        <f>IF(ISBLANK(fixtures!$L321),"",fixtures!$L321)</f>
        <v>2</v>
      </c>
      <c r="EJ42" s="23" t="str">
        <f>IF(ISBLANK(fixtures!$L321),"",":")</f>
        <v>:</v>
      </c>
      <c r="EK42" s="272">
        <f>IF(ISBLANK(fixtures!$K321),"",fixtures!$K321)</f>
        <v>1</v>
      </c>
      <c r="EL42" s="23" t="str">
        <f>IF(ISBLANK(fixtures!$L321),"",IF(EI42&gt;EK42,"W",IF(EI42=EK42,"D","L")))</f>
        <v>W</v>
      </c>
      <c r="EM42" s="23"/>
      <c r="EN42" s="23"/>
      <c r="EO42" s="105">
        <v>30</v>
      </c>
      <c r="EP42" s="25" t="s">
        <v>105</v>
      </c>
      <c r="EQ42" s="355">
        <f ca="1">IFERROR(INDIRECT("fixtures!" &amp; Dashboard!J1 &amp;330) - Dashboard!K1/24,"TBC")</f>
        <v>45046.666666666664</v>
      </c>
      <c r="ER42" s="25"/>
      <c r="ES42" s="25" t="s">
        <v>126</v>
      </c>
      <c r="ET42" s="25" t="s">
        <v>106</v>
      </c>
      <c r="EU42" s="105">
        <f>IF(ISBLANK(fixtures!$L330),"",fixtures!$L330)</f>
        <v>2</v>
      </c>
      <c r="EV42" s="25" t="str">
        <f>IF(ISBLANK(fixtures!$L330),"",":")</f>
        <v>:</v>
      </c>
      <c r="EW42" s="107">
        <f>IF(ISBLANK(fixtures!$K330),"",fixtures!$K330)</f>
        <v>1</v>
      </c>
      <c r="EX42" s="25" t="str">
        <f>IF(ISBLANK(fixtures!$L330),"",IF(EU42&gt;EW42,"W",IF(EU42=EW42,"D","L")))</f>
        <v>W</v>
      </c>
      <c r="EY42" s="25"/>
      <c r="EZ42" s="25"/>
      <c r="FA42" s="361">
        <v>30</v>
      </c>
      <c r="FB42" s="27" t="s">
        <v>105</v>
      </c>
      <c r="FC42" s="363">
        <f ca="1">IFERROR(INDIRECT("fixtures!" &amp; Dashboard!J1 &amp;331) - Dashboard!K1/24,"TBC")</f>
        <v>45046.666666666664</v>
      </c>
      <c r="FD42" s="27"/>
      <c r="FE42" s="27" t="s">
        <v>2</v>
      </c>
      <c r="FF42" s="27" t="s">
        <v>108</v>
      </c>
      <c r="FG42" s="361">
        <f>IF(ISBLANK(fixtures!$K331),"",fixtures!$K331)</f>
        <v>1</v>
      </c>
      <c r="FH42" s="27" t="str">
        <f>IF(ISBLANK(fixtures!$L331),"",":")</f>
        <v>:</v>
      </c>
      <c r="FI42" s="362">
        <f>IF(ISBLANK(fixtures!$L331),"",fixtures!$L331)</f>
        <v>0</v>
      </c>
      <c r="FJ42" s="27" t="str">
        <f>IF(ISBLANK(fixtures!$L331),"",IF(FG42&gt;FI42,"W",IF(FG42=FI42,"D","L")))</f>
        <v>W</v>
      </c>
      <c r="FK42" s="27"/>
      <c r="FL42" s="27"/>
      <c r="FM42" s="110">
        <v>27</v>
      </c>
      <c r="FN42" s="112" t="s">
        <v>582</v>
      </c>
      <c r="FO42" s="369">
        <f ca="1">IFERROR(INDIRECT("fixtures!" &amp; Dashboard!J1 &amp;323) - Dashboard!K1/24,"TBC")</f>
        <v>45043.90625</v>
      </c>
      <c r="FP42" s="29"/>
      <c r="FQ42" s="29" t="s">
        <v>7</v>
      </c>
      <c r="FR42" s="29" t="s">
        <v>106</v>
      </c>
      <c r="FS42" s="110">
        <f>IF(ISBLANK(fixtures!$L323),"",fixtures!$L323)</f>
        <v>4</v>
      </c>
      <c r="FT42" s="29" t="str">
        <f>IF(ISBLANK(fixtures!$L323),"",":")</f>
        <v>:</v>
      </c>
      <c r="FU42" s="112">
        <f>IF(ISBLANK(fixtures!$K323),"",fixtures!$K323)</f>
        <v>1</v>
      </c>
      <c r="FV42" s="29" t="str">
        <f>IF(ISBLANK(fixtures!$L323),"",IF(FS42&gt;FU42,"W",IF(FS42=FU42,"D","L")))</f>
        <v>W</v>
      </c>
      <c r="FW42" s="29"/>
      <c r="FX42" s="29"/>
      <c r="FY42" s="375">
        <v>22</v>
      </c>
      <c r="FZ42" s="264" t="s">
        <v>107</v>
      </c>
      <c r="GA42" s="377">
        <f ca="1">IFERROR(INDIRECT("fixtures!" &amp; Dashboard!J1 &amp;313) - Dashboard!K1/24,"TBC")</f>
        <v>45038.708333333336</v>
      </c>
      <c r="GB42" s="264"/>
      <c r="GC42" s="264" t="s">
        <v>9</v>
      </c>
      <c r="GD42" s="264" t="s">
        <v>106</v>
      </c>
      <c r="GE42" s="375">
        <f>IF(ISBLANK(fixtures!$L313),"",fixtures!$L313)</f>
        <v>2</v>
      </c>
      <c r="GF42" s="264" t="str">
        <f>IF(ISBLANK(fixtures!$L313),"",":")</f>
        <v>:</v>
      </c>
      <c r="GG42" s="376">
        <f>IF(ISBLANK(fixtures!$K313),"",fixtures!$K313)</f>
        <v>3</v>
      </c>
      <c r="GH42" s="264" t="str">
        <f>IF(ISBLANK(fixtures!$L313),"",IF(GE42&gt;GG42,"W",IF(GE42=GG42,"D","L")))</f>
        <v>L</v>
      </c>
      <c r="GI42" s="264"/>
      <c r="GJ42" s="264"/>
      <c r="GK42" s="382">
        <v>21</v>
      </c>
      <c r="GL42" s="30" t="s">
        <v>146</v>
      </c>
      <c r="GM42" s="384">
        <f ca="1">IFERROR(INDIRECT("fixtures!" &amp; Dashboard!J1 &amp;308) - Dashboard!K1/24,"TBC")</f>
        <v>45037.916666666664</v>
      </c>
      <c r="GN42" s="30"/>
      <c r="GO42" s="30" t="s">
        <v>1</v>
      </c>
      <c r="GP42" s="30" t="s">
        <v>106</v>
      </c>
      <c r="GQ42" s="382">
        <f>IF(ISBLANK(fixtures!$L308),"",fixtures!$L308)</f>
        <v>3</v>
      </c>
      <c r="GR42" s="30" t="str">
        <f>IF(ISBLANK(fixtures!$L308),"",":")</f>
        <v>:</v>
      </c>
      <c r="GS42" s="383">
        <f>IF(ISBLANK(fixtures!$K308),"",fixtures!$K308)</f>
        <v>3</v>
      </c>
      <c r="GT42" s="30" t="str">
        <f>IF(ISBLANK(fixtures!$L308),"",IF(GQ42&gt;GS42,"W",IF(GQ42=GS42,"D","L")))</f>
        <v>D</v>
      </c>
      <c r="GU42" s="30"/>
      <c r="GV42" s="30"/>
      <c r="GW42" s="115">
        <v>23</v>
      </c>
      <c r="GX42" s="32" t="s">
        <v>105</v>
      </c>
      <c r="GY42" s="390">
        <f ca="1">IFERROR(INDIRECT("fixtures!" &amp; Dashboard!J1 &amp;315) - Dashboard!K1/24,"TBC")</f>
        <v>45039.666666666664</v>
      </c>
      <c r="GZ42" s="32"/>
      <c r="HA42" s="32" t="s">
        <v>12</v>
      </c>
      <c r="HB42" s="32" t="s">
        <v>106</v>
      </c>
      <c r="HC42" s="115">
        <f>IF(ISBLANK(fixtures!$L315),"",fixtures!$L315)</f>
        <v>1</v>
      </c>
      <c r="HD42" s="32" t="str">
        <f>IF(ISBLANK(fixtures!$L315),"",":")</f>
        <v>:</v>
      </c>
      <c r="HE42" s="117">
        <f>IF(ISBLANK(fixtures!$K315),"",fixtures!$K315)</f>
        <v>6</v>
      </c>
      <c r="HF42" s="32" t="str">
        <f>IF(ISBLANK(fixtures!$L315),"",IF(HC42&gt;HE42,"W",IF(HC42=HE42,"D","L")))</f>
        <v>L</v>
      </c>
      <c r="HG42" s="32"/>
      <c r="HH42" s="32"/>
      <c r="HI42" s="120">
        <v>26</v>
      </c>
      <c r="HJ42" s="34" t="s">
        <v>110</v>
      </c>
      <c r="HK42" s="396">
        <f ca="1">IFERROR(INDIRECT("fixtures!" &amp; Dashboard!J1 &amp;321) - Dashboard!K1/24,"TBC")</f>
        <v>45042.90625</v>
      </c>
      <c r="HL42" s="34"/>
      <c r="HM42" s="34" t="s">
        <v>9</v>
      </c>
      <c r="HN42" s="34" t="s">
        <v>108</v>
      </c>
      <c r="HO42" s="120">
        <f>IF(ISBLANK(fixtures!$K321),"",fixtures!$K321)</f>
        <v>1</v>
      </c>
      <c r="HP42" s="34" t="str">
        <f>IF(ISBLANK(fixtures!$L321),"",":")</f>
        <v>:</v>
      </c>
      <c r="HQ42" s="122">
        <f>IF(ISBLANK(fixtures!$L321),"",fixtures!$L321)</f>
        <v>2</v>
      </c>
      <c r="HR42" s="34" t="str">
        <f>IF(ISBLANK(fixtures!$L321),"",IF(HO42&gt;HQ42,"W",IF(HO42=HQ42,"D","L")))</f>
        <v>L</v>
      </c>
      <c r="HS42" s="34"/>
      <c r="HT42" s="34"/>
      <c r="HU42" s="125">
        <v>22</v>
      </c>
      <c r="HV42" s="36" t="s">
        <v>107</v>
      </c>
      <c r="HW42" s="402">
        <f ca="1">IFERROR(INDIRECT("fixtures!" &amp; Dashboard!J1 &amp;312) - Dashboard!K1/24,"TBC")</f>
        <v>45038.708333333336</v>
      </c>
      <c r="HX42" s="36"/>
      <c r="HY42" s="36" t="s">
        <v>8</v>
      </c>
      <c r="HZ42" s="36" t="s">
        <v>106</v>
      </c>
      <c r="IA42" s="125">
        <f>IF(ISBLANK(fixtures!$L312),"",fixtures!$L312)</f>
        <v>1</v>
      </c>
      <c r="IB42" s="36" t="str">
        <f>IF(ISBLANK(fixtures!$L312),"",":")</f>
        <v>:</v>
      </c>
      <c r="IC42" s="127">
        <f>IF(ISBLANK(fixtures!$K312),"",fixtures!$K312)</f>
        <v>2</v>
      </c>
      <c r="ID42" s="36" t="str">
        <f>IF(ISBLANK(fixtures!$L312),"",IF(IA42&gt;IC42,"W",IF(IA42=IC42,"D","L")))</f>
        <v>L</v>
      </c>
      <c r="IE42" s="36"/>
      <c r="IF42" s="36"/>
    </row>
    <row r="43" spans="1:252" x14ac:dyDescent="0.4">
      <c r="A43" s="91">
        <v>26</v>
      </c>
      <c r="B43" s="93" t="s">
        <v>110</v>
      </c>
      <c r="C43" s="277">
        <f ca="1">IFERROR(INDIRECT("fixtures!" &amp; Dashboard!J1 &amp;322) - Dashboard!K1/24,"TBC")</f>
        <v>45042.916666666664</v>
      </c>
      <c r="D43" s="6"/>
      <c r="E43" s="6" t="s">
        <v>10</v>
      </c>
      <c r="F43" s="6" t="s">
        <v>106</v>
      </c>
      <c r="G43" s="91">
        <f>IF(ISBLANK(fixtures!$L322),"",fixtures!$L322)</f>
        <v>1</v>
      </c>
      <c r="H43" s="6" t="str">
        <f>IF(ISBLANK(fixtures!$L322),"",":")</f>
        <v>:</v>
      </c>
      <c r="I43" s="93">
        <f>IF(ISBLANK(fixtures!$K322),"",fixtures!$K322)</f>
        <v>4</v>
      </c>
      <c r="J43" s="6" t="str">
        <f>IF(ISBLANK(fixtures!$L322),"",IF(G43&gt;I43,"W",IF(G43=I43,"D","L")))</f>
        <v>L</v>
      </c>
      <c r="K43" s="6"/>
      <c r="L43" s="6"/>
      <c r="M43" s="282">
        <v>25</v>
      </c>
      <c r="N43" s="283" t="s">
        <v>111</v>
      </c>
      <c r="O43" s="284">
        <f ca="1">IFERROR(INDIRECT("fixtures!" &amp; Dashboard!J1 &amp;317) - Dashboard!K1/24,"TBC")</f>
        <v>45041.90625</v>
      </c>
      <c r="P43" s="9"/>
      <c r="Q43" s="9" t="s">
        <v>126</v>
      </c>
      <c r="R43" s="9" t="s">
        <v>108</v>
      </c>
      <c r="S43" s="282">
        <f>IF(ISBLANK(fixtures!$K317),"",fixtures!$K317)</f>
        <v>1</v>
      </c>
      <c r="T43" s="9" t="str">
        <f>IF(ISBLANK(fixtures!$L317),"",":")</f>
        <v>:</v>
      </c>
      <c r="U43" s="283">
        <f>IF(ISBLANK(fixtures!$L317),"",fixtures!$L317)</f>
        <v>0</v>
      </c>
      <c r="V43" s="9" t="str">
        <f>IF(ISBLANK(fixtures!$L317),"",IF(S43&gt;U43,"W",IF(S43=U43,"D","L")))</f>
        <v>W</v>
      </c>
      <c r="W43" s="9"/>
      <c r="X43" s="9"/>
      <c r="Y43" s="290">
        <v>27</v>
      </c>
      <c r="Z43" s="292" t="s">
        <v>582</v>
      </c>
      <c r="AA43" s="291">
        <f ca="1">IFERROR(INDIRECT("fixtures!" &amp; Dashboard!J1 &amp;324) - Dashboard!K1/24,"TBC")</f>
        <v>45043.90625</v>
      </c>
      <c r="AB43" s="262"/>
      <c r="AC43" s="262" t="s">
        <v>13</v>
      </c>
      <c r="AD43" s="262" t="s">
        <v>106</v>
      </c>
      <c r="AE43" s="290">
        <f>IF(ISBLANK(fixtures!$L324),"",fixtures!$L324)</f>
        <v>1</v>
      </c>
      <c r="AF43" s="262" t="str">
        <f>IF(ISBLANK(fixtures!$L324),"",":")</f>
        <v>:</v>
      </c>
      <c r="AG43" s="292">
        <f>IF(ISBLANK(fixtures!$K324),"",fixtures!$K324)</f>
        <v>0</v>
      </c>
      <c r="AH43" s="262" t="str">
        <f>IF(ISBLANK(fixtures!$L324),"",IF(AE43&gt;AG43,"W",IF(AE43=AG43,"D","L")))</f>
        <v>W</v>
      </c>
      <c r="AI43" s="262"/>
      <c r="AJ43" s="262"/>
      <c r="AK43" s="411">
        <v>26</v>
      </c>
      <c r="AL43" s="412" t="s">
        <v>110</v>
      </c>
      <c r="AM43" s="413">
        <f ca="1">IFERROR(INDIRECT("fixtures!" &amp; Dashboard!J1 &amp;320) - Dashboard!K1/24,"TBC")</f>
        <v>45042.90625</v>
      </c>
      <c r="AN43" s="410"/>
      <c r="AO43" s="410" t="s">
        <v>5</v>
      </c>
      <c r="AP43" s="410" t="s">
        <v>106</v>
      </c>
      <c r="AQ43" s="411">
        <f>IF(ISBLANK(fixtures!$L320),"",fixtures!$L320)</f>
        <v>2</v>
      </c>
      <c r="AR43" s="410" t="str">
        <f>IF(ISBLANK(fixtures!$L320),"",":")</f>
        <v>:</v>
      </c>
      <c r="AS43" s="412">
        <f>IF(ISBLANK(fixtures!$K320),"",fixtures!$K320)</f>
        <v>0</v>
      </c>
      <c r="AT43" s="410" t="str">
        <f>IF(ISBLANK(fixtures!$L320),"",IF(AQ43&gt;AS43,"W",IF(AQ43=AS43,"D","L")))</f>
        <v>W</v>
      </c>
      <c r="AU43" s="410"/>
      <c r="AV43" s="410"/>
      <c r="AW43" s="96">
        <v>4</v>
      </c>
      <c r="AX43" s="98" t="s">
        <v>582</v>
      </c>
      <c r="AY43" s="298">
        <f ca="1">IFERROR(INDIRECT("fixtures!" &amp; Dashboard!J1 &amp;338) - Dashboard!K1/24,"TBC")</f>
        <v>45050.916666666664</v>
      </c>
      <c r="AZ43" s="11"/>
      <c r="BA43" s="11" t="s">
        <v>11</v>
      </c>
      <c r="BB43" s="11" t="s">
        <v>108</v>
      </c>
      <c r="BC43" s="96">
        <f>IF(ISBLANK(fixtures!$K338),"",fixtures!$K338)</f>
        <v>1</v>
      </c>
      <c r="BD43" s="11" t="str">
        <f>IF(ISBLANK(fixtures!$L338),"",":")</f>
        <v>:</v>
      </c>
      <c r="BE43" s="98">
        <f>IF(ISBLANK(fixtures!$L338),"",fixtures!$L338)</f>
        <v>0</v>
      </c>
      <c r="BF43" s="11" t="str">
        <f>IF(ISBLANK(fixtures!$L338),"",IF(BC43&gt;BE43,"W",IF(BC43=BE43,"D","L")))</f>
        <v>W</v>
      </c>
      <c r="BG43" s="11"/>
      <c r="BH43" s="11"/>
      <c r="BI43" s="305" t="s">
        <v>26</v>
      </c>
      <c r="BJ43" s="183"/>
      <c r="BK43" s="304"/>
      <c r="BL43" s="15"/>
      <c r="BM43" s="15"/>
      <c r="BN43" s="15"/>
      <c r="BO43" s="181"/>
      <c r="BP43" s="15"/>
      <c r="BQ43" s="183"/>
      <c r="BR43" s="15"/>
      <c r="BS43" s="15"/>
      <c r="BT43" s="15"/>
      <c r="BU43" s="310">
        <v>25</v>
      </c>
      <c r="BV43" s="311" t="s">
        <v>111</v>
      </c>
      <c r="BW43" s="312">
        <f ca="1">IFERROR(INDIRECT("fixtures!" &amp; Dashboard!J1 &amp;316) - Dashboard!K1/24,"TBC")</f>
        <v>45041.895833333336</v>
      </c>
      <c r="BX43" s="16"/>
      <c r="BY43" s="16" t="s">
        <v>16</v>
      </c>
      <c r="BZ43" s="16" t="s">
        <v>106</v>
      </c>
      <c r="CA43" s="310">
        <f>IF(ISBLANK(fixtures!$L316),"",fixtures!$L316)</f>
        <v>0</v>
      </c>
      <c r="CB43" s="16" t="str">
        <f>IF(ISBLANK(fixtures!$L316),"",":")</f>
        <v>:</v>
      </c>
      <c r="CC43" s="311">
        <f>IF(ISBLANK(fixtures!$K316),"",fixtures!$K316)</f>
        <v>2</v>
      </c>
      <c r="CD43" s="16" t="str">
        <f>IF(ISBLANK(fixtures!$L316),"",IF(CA43&gt;CC43,"W",IF(CA43=CC43,"D","L")))</f>
        <v>L</v>
      </c>
      <c r="CE43" s="16"/>
      <c r="CF43" s="16"/>
      <c r="CG43" s="318">
        <v>27</v>
      </c>
      <c r="CH43" s="319" t="s">
        <v>582</v>
      </c>
      <c r="CI43" s="320">
        <f ca="1">IFERROR(INDIRECT("fixtures!" &amp; Dashboard!J1 &amp;323) - Dashboard!K1/24,"TBC")</f>
        <v>45043.90625</v>
      </c>
      <c r="CJ43" s="19"/>
      <c r="CK43" s="19" t="s">
        <v>12</v>
      </c>
      <c r="CL43" s="19" t="s">
        <v>108</v>
      </c>
      <c r="CM43" s="318">
        <f>IF(ISBLANK(fixtures!$K323),"",fixtures!$K323)</f>
        <v>1</v>
      </c>
      <c r="CN43" s="19" t="str">
        <f>IF(ISBLANK(fixtures!$L323),"",":")</f>
        <v>:</v>
      </c>
      <c r="CO43" s="319">
        <f>IF(ISBLANK(fixtures!$L323),"",fixtures!$L323)</f>
        <v>4</v>
      </c>
      <c r="CP43" s="19" t="str">
        <f>IF(ISBLANK(fixtures!$L323),"",IF(CM43&gt;CO43,"W",IF(CM43=CO43,"D","L")))</f>
        <v>L</v>
      </c>
      <c r="CQ43" s="19"/>
      <c r="CR43" s="19"/>
      <c r="CS43" s="326">
        <v>30</v>
      </c>
      <c r="CT43" s="327" t="s">
        <v>105</v>
      </c>
      <c r="CU43" s="328">
        <f ca="1">IFERROR(INDIRECT("fixtures!" &amp; Dashboard!J1 &amp;330) - Dashboard!K1/24,"TBC")</f>
        <v>45046.666666666664</v>
      </c>
      <c r="CV43" s="178"/>
      <c r="CW43" s="178" t="s">
        <v>10</v>
      </c>
      <c r="CX43" s="178" t="s">
        <v>108</v>
      </c>
      <c r="CY43" s="326">
        <f>IF(ISBLANK(fixtures!$K330),"",fixtures!$K330)</f>
        <v>1</v>
      </c>
      <c r="CZ43" s="178" t="str">
        <f>IF(ISBLANK(fixtures!$L330),"",":")</f>
        <v>:</v>
      </c>
      <c r="DA43" s="327">
        <f>IF(ISBLANK(fixtures!$L330),"",fixtures!$L330)</f>
        <v>2</v>
      </c>
      <c r="DB43" s="178" t="str">
        <f>IF(ISBLANK(fixtures!$L330),"",IF(CY43&gt;DA43,"W",IF(CY43=DA43,"D","L")))</f>
        <v>L</v>
      </c>
      <c r="DC43" s="178"/>
      <c r="DD43" s="178"/>
      <c r="DE43" s="334">
        <v>25</v>
      </c>
      <c r="DF43" s="335" t="s">
        <v>111</v>
      </c>
      <c r="DG43" s="336">
        <f ca="1">IFERROR(INDIRECT("fixtures!" &amp; Dashboard!J1 &amp;318) - Dashboard!K1/24,"TBC")</f>
        <v>45041.916666666664</v>
      </c>
      <c r="DH43" s="177"/>
      <c r="DI43" s="177" t="s">
        <v>8</v>
      </c>
      <c r="DJ43" s="177" t="s">
        <v>108</v>
      </c>
      <c r="DK43" s="334">
        <f>IF(ISBLANK(fixtures!$K318),"",fixtures!$K318)</f>
        <v>1</v>
      </c>
      <c r="DL43" s="177" t="str">
        <f>IF(ISBLANK(fixtures!$L318),"",":")</f>
        <v>:</v>
      </c>
      <c r="DM43" s="335">
        <f>IF(ISBLANK(fixtures!$L318),"",fixtures!$L318)</f>
        <v>1</v>
      </c>
      <c r="DN43" s="177" t="str">
        <f>IF(ISBLANK(fixtures!$L318),"",IF(DK43&gt;DM43,"W",IF(DK43=DM43,"D","L")))</f>
        <v>D</v>
      </c>
      <c r="DO43" s="177"/>
      <c r="DP43" s="177"/>
      <c r="DQ43" s="341">
        <v>25</v>
      </c>
      <c r="DR43" s="342" t="s">
        <v>111</v>
      </c>
      <c r="DS43" s="343">
        <f ca="1">IFERROR(INDIRECT("fixtures!" &amp; Dashboard!J1 &amp;318) - Dashboard!K1/24,"TBC")</f>
        <v>45041.916666666664</v>
      </c>
      <c r="DT43" s="21"/>
      <c r="DU43" s="21" t="s">
        <v>139</v>
      </c>
      <c r="DV43" s="21" t="s">
        <v>106</v>
      </c>
      <c r="DW43" s="341">
        <f>IF(ISBLANK(fixtures!$L318),"",fixtures!$L318)</f>
        <v>1</v>
      </c>
      <c r="DX43" s="21" t="str">
        <f>IF(ISBLANK(fixtures!$L318),"",":")</f>
        <v>:</v>
      </c>
      <c r="DY43" s="342">
        <f>IF(ISBLANK(fixtures!$K318),"",fixtures!$K318)</f>
        <v>1</v>
      </c>
      <c r="DZ43" s="21" t="str">
        <f>IF(ISBLANK(fixtures!$L318),"",IF(DW43&gt;DY43,"W",IF(DW43=DY43,"D","L")))</f>
        <v>D</v>
      </c>
      <c r="EA43" s="21"/>
      <c r="EB43" s="21"/>
      <c r="EC43" s="270">
        <v>30</v>
      </c>
      <c r="ED43" s="272" t="s">
        <v>105</v>
      </c>
      <c r="EE43" s="349">
        <f ca="1">IFERROR(INDIRECT("fixtures!" &amp; Dashboard!J1 &amp;333) - Dashboard!K1/24,"TBC")</f>
        <v>45046.770833333336</v>
      </c>
      <c r="EF43" s="23"/>
      <c r="EG43" s="23" t="s">
        <v>14</v>
      </c>
      <c r="EH43" s="23" t="s">
        <v>108</v>
      </c>
      <c r="EI43" s="270">
        <f>IF(ISBLANK(fixtures!$K333),"",fixtures!$K333)</f>
        <v>4</v>
      </c>
      <c r="EJ43" s="23" t="str">
        <f>IF(ISBLANK(fixtures!$L333),"",":")</f>
        <v>:</v>
      </c>
      <c r="EK43" s="272">
        <f>IF(ISBLANK(fixtures!$L333),"",fixtures!$L333)</f>
        <v>3</v>
      </c>
      <c r="EL43" s="23" t="str">
        <f>IF(ISBLANK(fixtures!$L333),"",IF(EI43&gt;EK43,"W",IF(EI43=EK43,"D","L")))</f>
        <v>W</v>
      </c>
      <c r="EM43" s="23"/>
      <c r="EN43" s="23"/>
      <c r="EO43" s="356" t="s">
        <v>26</v>
      </c>
      <c r="EP43" s="107"/>
      <c r="EQ43" s="355"/>
      <c r="ER43" s="25"/>
      <c r="ES43" s="25"/>
      <c r="ET43" s="25"/>
      <c r="EU43" s="105"/>
      <c r="EV43" s="25"/>
      <c r="EW43" s="107"/>
      <c r="EX43" s="25"/>
      <c r="EY43" s="25"/>
      <c r="EZ43" s="25"/>
      <c r="FA43" s="364" t="s">
        <v>26</v>
      </c>
      <c r="FB43" s="362"/>
      <c r="FC43" s="363"/>
      <c r="FD43" s="27"/>
      <c r="FE43" s="27"/>
      <c r="FF43" s="27"/>
      <c r="FG43" s="361"/>
      <c r="FH43" s="27"/>
      <c r="FI43" s="362"/>
      <c r="FJ43" s="27"/>
      <c r="FK43" s="27"/>
      <c r="FL43" s="27"/>
      <c r="FM43" s="110">
        <v>30</v>
      </c>
      <c r="FN43" s="112" t="s">
        <v>105</v>
      </c>
      <c r="FO43" s="369">
        <f ca="1">IFERROR(INDIRECT("fixtures!" &amp; Dashboard!J1 &amp;332) - Dashboard!K1/24,"TBC")</f>
        <v>45046.666666666664</v>
      </c>
      <c r="FP43" s="29"/>
      <c r="FQ43" s="29" t="s">
        <v>13</v>
      </c>
      <c r="FR43" s="29" t="s">
        <v>108</v>
      </c>
      <c r="FS43" s="110">
        <f>IF(ISBLANK(fixtures!$K332),"",fixtures!$K332)</f>
        <v>3</v>
      </c>
      <c r="FT43" s="29" t="str">
        <f>IF(ISBLANK(fixtures!$L332),"",":")</f>
        <v>:</v>
      </c>
      <c r="FU43" s="112">
        <f>IF(ISBLANK(fixtures!$L332),"",fixtures!$L332)</f>
        <v>1</v>
      </c>
      <c r="FV43" s="29" t="str">
        <f>IF(ISBLANK(fixtures!$L332),"",IF(FS43&gt;FU43,"W",IF(FS43=FU43,"D","L")))</f>
        <v>W</v>
      </c>
      <c r="FW43" s="29"/>
      <c r="FX43" s="29"/>
      <c r="FY43" s="375">
        <v>26</v>
      </c>
      <c r="FZ43" s="376" t="s">
        <v>110</v>
      </c>
      <c r="GA43" s="377">
        <f ca="1">IFERROR(INDIRECT("fixtures!" &amp; Dashboard!J1 &amp;319) - Dashboard!K1/24,"TBC")</f>
        <v>45042.895833333336</v>
      </c>
      <c r="GB43" s="264"/>
      <c r="GC43" s="264" t="s">
        <v>4</v>
      </c>
      <c r="GD43" s="264" t="s">
        <v>108</v>
      </c>
      <c r="GE43" s="375">
        <f>IF(ISBLANK(fixtures!$K319),"",fixtures!$K319)</f>
        <v>3</v>
      </c>
      <c r="GF43" s="264" t="str">
        <f>IF(ISBLANK(fixtures!$L319),"",":")</f>
        <v>:</v>
      </c>
      <c r="GG43" s="376">
        <f>IF(ISBLANK(fixtures!$L319),"",fixtures!$L319)</f>
        <v>1</v>
      </c>
      <c r="GH43" s="264" t="str">
        <f>IF(ISBLANK(fixtures!$L319),"",IF(GE43&gt;GG43,"W",IF(GE43=GG43,"D","L")))</f>
        <v>W</v>
      </c>
      <c r="GI43" s="264"/>
      <c r="GJ43" s="264"/>
      <c r="GK43" s="382">
        <v>27</v>
      </c>
      <c r="GL43" s="383" t="s">
        <v>582</v>
      </c>
      <c r="GM43" s="384">
        <f ca="1">IFERROR(INDIRECT("fixtures!" &amp; Dashboard!J1 &amp;324) - Dashboard!K1/24,"TBC")</f>
        <v>45043.90625</v>
      </c>
      <c r="GN43" s="30"/>
      <c r="GO43" s="30" t="s">
        <v>3</v>
      </c>
      <c r="GP43" s="30" t="s">
        <v>108</v>
      </c>
      <c r="GQ43" s="382">
        <f>IF(ISBLANK(fixtures!$K324),"",fixtures!$K324)</f>
        <v>0</v>
      </c>
      <c r="GR43" s="30" t="str">
        <f>IF(ISBLANK(fixtures!$L324),"",":")</f>
        <v>:</v>
      </c>
      <c r="GS43" s="383">
        <f>IF(ISBLANK(fixtures!$L324),"",fixtures!$L324)</f>
        <v>1</v>
      </c>
      <c r="GT43" s="30" t="str">
        <f>IF(ISBLANK(fixtures!$L324),"",IF(GQ43&gt;GS43,"W",IF(GQ43=GS43,"D","L")))</f>
        <v>L</v>
      </c>
      <c r="GU43" s="30"/>
      <c r="GV43" s="30"/>
      <c r="GW43" s="115">
        <v>27</v>
      </c>
      <c r="GX43" s="117" t="s">
        <v>582</v>
      </c>
      <c r="GY43" s="390">
        <f ca="1">IFERROR(INDIRECT("fixtures!" &amp; Dashboard!J1 &amp;325) - Dashboard!K1/24,"TBC")</f>
        <v>45043.927083333336</v>
      </c>
      <c r="GZ43" s="32"/>
      <c r="HA43" s="32" t="s">
        <v>11</v>
      </c>
      <c r="HB43" s="32" t="s">
        <v>108</v>
      </c>
      <c r="HC43" s="115">
        <f>IF(ISBLANK(fixtures!$K325),"",fixtures!$K325)</f>
        <v>2</v>
      </c>
      <c r="HD43" s="32" t="str">
        <f>IF(ISBLANK(fixtures!$L325),"",":")</f>
        <v>:</v>
      </c>
      <c r="HE43" s="117">
        <f>IF(ISBLANK(fixtures!$L325),"",fixtures!$L325)</f>
        <v>2</v>
      </c>
      <c r="HF43" s="32" t="str">
        <f>IF(ISBLANK(fixtures!$L325),"",IF(HC43&gt;HE43,"W",IF(HC43=HE43,"D","L")))</f>
        <v>D</v>
      </c>
      <c r="HG43" s="32"/>
      <c r="HH43" s="32"/>
      <c r="HI43" s="120">
        <v>29</v>
      </c>
      <c r="HJ43" s="122" t="s">
        <v>107</v>
      </c>
      <c r="HK43" s="396">
        <f ca="1">IFERROR(INDIRECT("fixtures!" &amp; Dashboard!J1 &amp;326) - Dashboard!K1/24,"TBC")</f>
        <v>45045.604166666664</v>
      </c>
      <c r="HL43" s="34"/>
      <c r="HM43" s="34" t="s">
        <v>6</v>
      </c>
      <c r="HN43" s="34" t="s">
        <v>106</v>
      </c>
      <c r="HO43" s="120">
        <f>IF(ISBLANK(fixtures!$L326),"",fixtures!$L326)</f>
        <v>3</v>
      </c>
      <c r="HP43" s="34" t="str">
        <f>IF(ISBLANK(fixtures!$L326),"",":")</f>
        <v>:</v>
      </c>
      <c r="HQ43" s="122">
        <f>IF(ISBLANK(fixtures!$K326),"",fixtures!$K326)</f>
        <v>4</v>
      </c>
      <c r="HR43" s="34" t="str">
        <f>IF(ISBLANK(fixtures!$L326),"",IF(HO43&gt;HQ43,"W",IF(HO43=HQ43,"D","L")))</f>
        <v>L</v>
      </c>
      <c r="HS43" s="34"/>
      <c r="HT43" s="34"/>
      <c r="HU43" s="125">
        <v>25</v>
      </c>
      <c r="HV43" s="127" t="s">
        <v>111</v>
      </c>
      <c r="HW43" s="402">
        <f ca="1">IFERROR(INDIRECT("fixtures!" &amp; Dashboard!J1 &amp;316) - Dashboard!K1/24,"TBC")</f>
        <v>45041.895833333336</v>
      </c>
      <c r="HX43" s="36"/>
      <c r="HY43" s="36" t="s">
        <v>6</v>
      </c>
      <c r="HZ43" s="36" t="s">
        <v>108</v>
      </c>
      <c r="IA43" s="125">
        <f>IF(ISBLANK(fixtures!$K316),"",fixtures!$K316)</f>
        <v>2</v>
      </c>
      <c r="IB43" s="36" t="str">
        <f>IF(ISBLANK(fixtures!$L316),"",":")</f>
        <v>:</v>
      </c>
      <c r="IC43" s="127">
        <f>IF(ISBLANK(fixtures!$L316),"",fixtures!$L316)</f>
        <v>0</v>
      </c>
      <c r="ID43" s="36" t="str">
        <f>IF(ISBLANK(fixtures!$L316),"",IF(IA43&gt;IC43,"W",IF(IA43=IC43,"D","L")))</f>
        <v>W</v>
      </c>
      <c r="IE43" s="36"/>
      <c r="IF43" s="36"/>
    </row>
    <row r="44" spans="1:252" s="145" customFormat="1" x14ac:dyDescent="0.4">
      <c r="A44" s="278" t="s">
        <v>26</v>
      </c>
      <c r="B44" s="93"/>
      <c r="C44" s="277"/>
      <c r="D44" s="93"/>
      <c r="E44" s="93"/>
      <c r="F44" s="93"/>
      <c r="G44" s="91"/>
      <c r="H44" s="93"/>
      <c r="I44" s="93"/>
      <c r="J44" s="93"/>
      <c r="K44" s="93"/>
      <c r="L44" s="93"/>
      <c r="M44" s="282">
        <v>30</v>
      </c>
      <c r="N44" s="283" t="s">
        <v>105</v>
      </c>
      <c r="O44" s="284">
        <f ca="1">IFERROR(INDIRECT("fixtures!" &amp; Dashboard!J1 &amp;331) - Dashboard!K1/24,"TBC")</f>
        <v>45046.666666666664</v>
      </c>
      <c r="P44" s="283"/>
      <c r="Q44" s="283" t="s">
        <v>11</v>
      </c>
      <c r="R44" s="283" t="s">
        <v>106</v>
      </c>
      <c r="S44" s="282">
        <f>IF(ISBLANK(fixtures!$L331),"",fixtures!$L331)</f>
        <v>0</v>
      </c>
      <c r="T44" s="283" t="str">
        <f>IF(ISBLANK(fixtures!$L331),"",":")</f>
        <v>:</v>
      </c>
      <c r="U44" s="283">
        <f>IF(ISBLANK(fixtures!$K331),"",fixtures!$K331)</f>
        <v>1</v>
      </c>
      <c r="V44" s="283" t="str">
        <f>IF(ISBLANK(fixtures!$L331),"",IF(S44&gt;U44,"W",IF(S44=U44,"D","L")))</f>
        <v>L</v>
      </c>
      <c r="W44" s="283"/>
      <c r="X44" s="283"/>
      <c r="Y44" s="290">
        <v>30</v>
      </c>
      <c r="Z44" s="292" t="s">
        <v>105</v>
      </c>
      <c r="AA44" s="291">
        <f ca="1">IFERROR(INDIRECT("fixtures!" &amp; Dashboard!J1 &amp;329) - Dashboard!K1/24,"TBC")</f>
        <v>45046.666666666664</v>
      </c>
      <c r="AB44" s="292"/>
      <c r="AC44" s="292" t="s">
        <v>139</v>
      </c>
      <c r="AD44" s="292" t="s">
        <v>108</v>
      </c>
      <c r="AE44" s="290">
        <f>IF(ISBLANK(fixtures!$K329),"",fixtures!$K329)</f>
        <v>4</v>
      </c>
      <c r="AF44" s="292" t="str">
        <f>IF(ISBLANK(fixtures!$L329),"",":")</f>
        <v>:</v>
      </c>
      <c r="AG44" s="292">
        <f>IF(ISBLANK(fixtures!$L329),"",fixtures!$L329)</f>
        <v>1</v>
      </c>
      <c r="AH44" s="292" t="str">
        <f>IF(ISBLANK(fixtures!$L329),"",IF(AE44&gt;AG44,"W",IF(AE44=AG44,"D","L")))</f>
        <v>W</v>
      </c>
      <c r="AI44" s="292"/>
      <c r="AJ44" s="292"/>
      <c r="AK44" s="411">
        <v>29</v>
      </c>
      <c r="AL44" s="412" t="s">
        <v>107</v>
      </c>
      <c r="AM44" s="413">
        <f ca="1">IFERROR(INDIRECT("fixtures!" &amp; Dashboard!J1 &amp;327) - Dashboard!K1/24,"TBC")</f>
        <v>45045.708333333336</v>
      </c>
      <c r="AN44" s="412"/>
      <c r="AO44" s="412" t="s">
        <v>204</v>
      </c>
      <c r="AP44" s="412" t="s">
        <v>108</v>
      </c>
      <c r="AQ44" s="411">
        <f>IF(ISBLANK(fixtures!$K327),"",fixtures!$K327)</f>
        <v>2</v>
      </c>
      <c r="AR44" s="412" t="str">
        <f>IF(ISBLANK(fixtures!$L327),"",":")</f>
        <v>:</v>
      </c>
      <c r="AS44" s="412">
        <f>IF(ISBLANK(fixtures!$L327),"",fixtures!$L327)</f>
        <v>1</v>
      </c>
      <c r="AT44" s="412" t="str">
        <f>IF(ISBLANK(fixtures!$L327),"",IF(AQ44&gt;AS44,"W",IF(AQ44=AS44,"D","L")))</f>
        <v>W</v>
      </c>
      <c r="AU44" s="412"/>
      <c r="AV44" s="412"/>
      <c r="AW44" s="96">
        <v>8</v>
      </c>
      <c r="AX44" s="98" t="s">
        <v>109</v>
      </c>
      <c r="AY44" s="298">
        <f ca="1">IFERROR(INDIRECT("fixtures!" &amp; Dashboard!J1 &amp;347) - Dashboard!K1/24,"TBC")</f>
        <v>45054.8125</v>
      </c>
      <c r="AZ44" s="98"/>
      <c r="BA44" s="98" t="s">
        <v>7</v>
      </c>
      <c r="BB44" s="98" t="s">
        <v>108</v>
      </c>
      <c r="BC44" s="96">
        <f>IF(ISBLANK(fixtures!$K347),"",fixtures!$K347)</f>
        <v>1</v>
      </c>
      <c r="BD44" s="98" t="str">
        <f>IF(ISBLANK(fixtures!$L347),"",":")</f>
        <v>:</v>
      </c>
      <c r="BE44" s="98">
        <f>IF(ISBLANK(fixtures!$L347),"",fixtures!$L347)</f>
        <v>5</v>
      </c>
      <c r="BF44" s="98" t="str">
        <f>IF(ISBLANK(fixtures!$L347),"",IF(BC44&gt;BE44,"W",IF(BC44=BE44,"D","L")))</f>
        <v>L</v>
      </c>
      <c r="BG44" s="98"/>
      <c r="BH44" s="98"/>
      <c r="BI44" s="181">
        <v>2</v>
      </c>
      <c r="BJ44" s="183" t="s">
        <v>111</v>
      </c>
      <c r="BK44" s="304">
        <f ca="1">IFERROR(INDIRECT("fixtures!" &amp; Dashboard!J1 &amp;335) - Dashboard!K1/24,"TBC")</f>
        <v>45048.916666666664</v>
      </c>
      <c r="BL44" s="183"/>
      <c r="BM44" s="183" t="s">
        <v>1</v>
      </c>
      <c r="BN44" s="183" t="s">
        <v>106</v>
      </c>
      <c r="BO44" s="181">
        <f>IF(ISBLANK(fixtures!$L335),"",fixtures!$L335)</f>
        <v>1</v>
      </c>
      <c r="BP44" s="183" t="str">
        <f>IF(ISBLANK(fixtures!$L335),"",":")</f>
        <v>:</v>
      </c>
      <c r="BQ44" s="183">
        <f>IF(ISBLANK(fixtures!$K335),"",fixtures!$K335)</f>
        <v>3</v>
      </c>
      <c r="BR44" s="183" t="str">
        <f>IF(ISBLANK(fixtures!$L335),"",IF(BO44&gt;BQ44,"W",IF(BO44=BQ44,"D","L")))</f>
        <v>L</v>
      </c>
      <c r="BS44" s="183"/>
      <c r="BT44" s="183"/>
      <c r="BU44" s="310">
        <v>29</v>
      </c>
      <c r="BV44" s="311" t="s">
        <v>107</v>
      </c>
      <c r="BW44" s="312">
        <f ca="1">IFERROR(INDIRECT("fixtures!" &amp; Dashboard!J1 &amp;326) - Dashboard!K1/24,"TBC")</f>
        <v>45045.604166666664</v>
      </c>
      <c r="BX44" s="311"/>
      <c r="BY44" s="311" t="s">
        <v>15</v>
      </c>
      <c r="BZ44" s="311" t="s">
        <v>108</v>
      </c>
      <c r="CA44" s="310">
        <f>IF(ISBLANK(fixtures!$K326),"",fixtures!$K326)</f>
        <v>4</v>
      </c>
      <c r="CB44" s="311" t="str">
        <f>IF(ISBLANK(fixtures!$L326),"",":")</f>
        <v>:</v>
      </c>
      <c r="CC44" s="311">
        <f>IF(ISBLANK(fixtures!$L326),"",fixtures!$L326)</f>
        <v>3</v>
      </c>
      <c r="CD44" s="311" t="str">
        <f>IF(ISBLANK(fixtures!$L326),"",IF(CA44&gt;CC44,"W",IF(CA44=CC44,"D","L")))</f>
        <v>W</v>
      </c>
      <c r="CE44" s="311"/>
      <c r="CF44" s="311"/>
      <c r="CG44" s="321" t="s">
        <v>26</v>
      </c>
      <c r="CH44" s="319"/>
      <c r="CI44" s="320"/>
      <c r="CJ44" s="319"/>
      <c r="CK44" s="319"/>
      <c r="CL44" s="319"/>
      <c r="CM44" s="318"/>
      <c r="CN44" s="319"/>
      <c r="CO44" s="319"/>
      <c r="CP44" s="319"/>
      <c r="CQ44" s="319"/>
      <c r="CR44" s="319"/>
      <c r="CS44" s="329" t="s">
        <v>26</v>
      </c>
      <c r="CT44" s="327"/>
      <c r="CU44" s="328"/>
      <c r="CV44" s="327"/>
      <c r="CW44" s="327"/>
      <c r="CX44" s="327"/>
      <c r="CY44" s="326"/>
      <c r="CZ44" s="327"/>
      <c r="DA44" s="327"/>
      <c r="DB44" s="327"/>
      <c r="DC44" s="327"/>
      <c r="DD44" s="327"/>
      <c r="DE44" s="334">
        <v>30</v>
      </c>
      <c r="DF44" s="335" t="s">
        <v>105</v>
      </c>
      <c r="DG44" s="336">
        <f ca="1">IFERROR(INDIRECT("fixtures!" &amp; Dashboard!J1 &amp;329) - Dashboard!K1/24,"TBC")</f>
        <v>45046.666666666664</v>
      </c>
      <c r="DH44" s="335"/>
      <c r="DI44" s="335" t="s">
        <v>3</v>
      </c>
      <c r="DJ44" s="335" t="s">
        <v>106</v>
      </c>
      <c r="DK44" s="334">
        <f>IF(ISBLANK(fixtures!$L329),"",fixtures!$L329)</f>
        <v>1</v>
      </c>
      <c r="DL44" s="335" t="str">
        <f>IF(ISBLANK(fixtures!$L329),"",":")</f>
        <v>:</v>
      </c>
      <c r="DM44" s="335">
        <f>IF(ISBLANK(fixtures!$K329),"",fixtures!$K329)</f>
        <v>4</v>
      </c>
      <c r="DN44" s="335" t="str">
        <f>IF(ISBLANK(fixtures!$L329),"",IF(DK44&gt;DM44,"W",IF(DK44=DM44,"D","L")))</f>
        <v>L</v>
      </c>
      <c r="DO44" s="335"/>
      <c r="DP44" s="335"/>
      <c r="DQ44" s="344" t="s">
        <v>26</v>
      </c>
      <c r="DR44" s="342"/>
      <c r="DS44" s="343"/>
      <c r="DT44" s="342"/>
      <c r="DU44" s="342"/>
      <c r="DV44" s="342"/>
      <c r="DW44" s="341"/>
      <c r="DX44" s="342"/>
      <c r="DY44" s="342"/>
      <c r="DZ44" s="342"/>
      <c r="EA44" s="342"/>
      <c r="EB44" s="342"/>
      <c r="EC44" s="350" t="s">
        <v>26</v>
      </c>
      <c r="ED44" s="272"/>
      <c r="EE44" s="349"/>
      <c r="EF44" s="272"/>
      <c r="EG44" s="272"/>
      <c r="EH44" s="272"/>
      <c r="EI44" s="270"/>
      <c r="EJ44" s="272"/>
      <c r="EK44" s="272"/>
      <c r="EL44" s="272"/>
      <c r="EM44" s="272"/>
      <c r="EN44" s="272"/>
      <c r="EO44" s="105">
        <v>3</v>
      </c>
      <c r="EP44" s="107" t="s">
        <v>110</v>
      </c>
      <c r="EQ44" s="355">
        <f ca="1">IFERROR(INDIRECT("fixtures!" &amp; Dashboard!J1 &amp;337) - Dashboard!K1/24,"TBC")</f>
        <v>45049.916666666664</v>
      </c>
      <c r="ER44" s="107"/>
      <c r="ES44" s="107" t="s">
        <v>15</v>
      </c>
      <c r="ET44" s="107" t="s">
        <v>108</v>
      </c>
      <c r="EU44" s="105">
        <f>IF(ISBLANK(fixtures!$K337),"",fixtures!$K337)</f>
        <v>3</v>
      </c>
      <c r="EV44" s="107" t="str">
        <f>IF(ISBLANK(fixtures!$L337),"",":")</f>
        <v>:</v>
      </c>
      <c r="EW44" s="107">
        <f>IF(ISBLANK(fixtures!$L337),"",fixtures!$L337)</f>
        <v>0</v>
      </c>
      <c r="EX44" s="107" t="str">
        <f>IF(ISBLANK(fixtures!$L337),"",IF(EU44&gt;EW44,"W",IF(EU44=EW44,"D","L")))</f>
        <v>W</v>
      </c>
      <c r="EY44" s="107"/>
      <c r="EZ44" s="107"/>
      <c r="FA44" s="361">
        <v>4</v>
      </c>
      <c r="FB44" s="362" t="s">
        <v>582</v>
      </c>
      <c r="FC44" s="363">
        <f ca="1">IFERROR(INDIRECT("fixtures!" &amp; Dashboard!J1 &amp;338) - Dashboard!K1/24,"TBC")</f>
        <v>45050.916666666664</v>
      </c>
      <c r="FD44" s="362"/>
      <c r="FE44" s="362" t="s">
        <v>4</v>
      </c>
      <c r="FF44" s="362" t="s">
        <v>106</v>
      </c>
      <c r="FG44" s="361">
        <f>IF(ISBLANK(fixtures!$L338),"",fixtures!$L338)</f>
        <v>0</v>
      </c>
      <c r="FH44" s="362" t="str">
        <f>IF(ISBLANK(fixtures!$L338),"",":")</f>
        <v>:</v>
      </c>
      <c r="FI44" s="362">
        <f>IF(ISBLANK(fixtures!$K338),"",fixtures!$K338)</f>
        <v>1</v>
      </c>
      <c r="FJ44" s="362" t="str">
        <f>IF(ISBLANK(fixtures!$L338),"",IF(FG44&gt;FI44,"W",IF(FG44=FI44,"D","L")))</f>
        <v>L</v>
      </c>
      <c r="FK44" s="362"/>
      <c r="FL44" s="362"/>
      <c r="FM44" s="370" t="s">
        <v>26</v>
      </c>
      <c r="FN44" s="112"/>
      <c r="FO44" s="369"/>
      <c r="FP44" s="112"/>
      <c r="FQ44" s="112"/>
      <c r="FR44" s="112"/>
      <c r="FS44" s="110"/>
      <c r="FT44" s="112"/>
      <c r="FU44" s="112"/>
      <c r="FV44" s="112"/>
      <c r="FW44" s="112"/>
      <c r="FX44" s="112"/>
      <c r="FY44" s="375">
        <v>29</v>
      </c>
      <c r="FZ44" s="376" t="s">
        <v>107</v>
      </c>
      <c r="GA44" s="377">
        <f ca="1">IFERROR(INDIRECT("fixtures!" &amp; Dashboard!J1 &amp;327) - Dashboard!K1/24,"TBC")</f>
        <v>45045.708333333336</v>
      </c>
      <c r="GB44" s="376"/>
      <c r="GC44" s="376" t="s">
        <v>125</v>
      </c>
      <c r="GD44" s="376" t="s">
        <v>106</v>
      </c>
      <c r="GE44" s="375">
        <f>IF(ISBLANK(fixtures!$L327),"",fixtures!$L327)</f>
        <v>1</v>
      </c>
      <c r="GF44" s="376" t="str">
        <f>IF(ISBLANK(fixtures!$L327),"",":")</f>
        <v>:</v>
      </c>
      <c r="GG44" s="376">
        <f>IF(ISBLANK(fixtures!$K327),"",fixtures!$K327)</f>
        <v>2</v>
      </c>
      <c r="GH44" s="376" t="str">
        <f>IF(ISBLANK(fixtures!$L327),"",IF(GE44&gt;GG44,"W",IF(GE44=GG44,"D","L")))</f>
        <v>L</v>
      </c>
      <c r="GI44" s="376"/>
      <c r="GJ44" s="376"/>
      <c r="GK44" s="382">
        <v>30</v>
      </c>
      <c r="GL44" s="383" t="s">
        <v>105</v>
      </c>
      <c r="GM44" s="384">
        <f ca="1">IFERROR(INDIRECT("fixtures!" &amp; Dashboard!J1 &amp;332) - Dashboard!K1/24,"TBC")</f>
        <v>45046.666666666664</v>
      </c>
      <c r="GN44" s="383"/>
      <c r="GO44" s="383" t="s">
        <v>12</v>
      </c>
      <c r="GP44" s="383" t="s">
        <v>106</v>
      </c>
      <c r="GQ44" s="382">
        <f>IF(ISBLANK(fixtures!$L332),"",fixtures!$L332)</f>
        <v>1</v>
      </c>
      <c r="GR44" s="383" t="str">
        <f>IF(ISBLANK(fixtures!$L332),"",":")</f>
        <v>:</v>
      </c>
      <c r="GS44" s="383">
        <f>IF(ISBLANK(fixtures!$K332),"",fixtures!$K332)</f>
        <v>3</v>
      </c>
      <c r="GT44" s="383" t="str">
        <f>IF(ISBLANK(fixtures!$L332),"",IF(GQ44&gt;GS44,"W",IF(GQ44=GS44,"D","L")))</f>
        <v>L</v>
      </c>
      <c r="GU44" s="383"/>
      <c r="GV44" s="383"/>
      <c r="GW44" s="115">
        <v>30</v>
      </c>
      <c r="GX44" s="117" t="s">
        <v>105</v>
      </c>
      <c r="GY44" s="390">
        <f ca="1">IFERROR(INDIRECT("fixtures!" &amp; Dashboard!J1 &amp;333) - Dashboard!K1/24,"TBC")</f>
        <v>45046.770833333336</v>
      </c>
      <c r="GZ44" s="117"/>
      <c r="HA44" s="117" t="s">
        <v>9</v>
      </c>
      <c r="HB44" s="117" t="s">
        <v>106</v>
      </c>
      <c r="HC44" s="115">
        <f>IF(ISBLANK(fixtures!$L333),"",fixtures!$L333)</f>
        <v>3</v>
      </c>
      <c r="HD44" s="117" t="str">
        <f>IF(ISBLANK(fixtures!$L333),"",":")</f>
        <v>:</v>
      </c>
      <c r="HE44" s="117">
        <f>IF(ISBLANK(fixtures!$K333),"",fixtures!$K333)</f>
        <v>4</v>
      </c>
      <c r="HF44" s="117" t="str">
        <f>IF(ISBLANK(fixtures!$L333),"",IF(HC44&gt;HE44,"W",IF(HC44=HE44,"D","L")))</f>
        <v>L</v>
      </c>
      <c r="HG44" s="117"/>
      <c r="HH44" s="117"/>
      <c r="HI44" s="397" t="s">
        <v>26</v>
      </c>
      <c r="HJ44" s="122"/>
      <c r="HK44" s="396"/>
      <c r="HL44" s="122"/>
      <c r="HM44" s="122"/>
      <c r="HN44" s="122"/>
      <c r="HO44" s="120"/>
      <c r="HP44" s="122"/>
      <c r="HQ44" s="122"/>
      <c r="HR44" s="122"/>
      <c r="HS44" s="122"/>
      <c r="HT44" s="122"/>
      <c r="HU44" s="125">
        <v>29</v>
      </c>
      <c r="HV44" s="127" t="s">
        <v>107</v>
      </c>
      <c r="HW44" s="402">
        <f ca="1">IFERROR(INDIRECT("fixtures!" &amp; Dashboard!J1 &amp;328) - Dashboard!K1/24,"TBC")</f>
        <v>45045.708333333336</v>
      </c>
      <c r="HX44" s="127"/>
      <c r="HY44" s="127" t="s">
        <v>4</v>
      </c>
      <c r="HZ44" s="127" t="s">
        <v>106</v>
      </c>
      <c r="IA44" s="125">
        <f>IF(ISBLANK(fixtures!$L328),"",fixtures!$L328)</f>
        <v>0</v>
      </c>
      <c r="IB44" s="127" t="str">
        <f>IF(ISBLANK(fixtures!$L328),"",":")</f>
        <v>:</v>
      </c>
      <c r="IC44" s="127">
        <f>IF(ISBLANK(fixtures!$K328),"",fixtures!$K328)</f>
        <v>6</v>
      </c>
      <c r="ID44" s="127" t="str">
        <f>IF(ISBLANK(fixtures!$L328),"",IF(IA44&gt;IC44,"W",IF(IA44=IC44,"D","L")))</f>
        <v>L</v>
      </c>
      <c r="IE44" s="127"/>
      <c r="IF44" s="127"/>
    </row>
    <row r="45" spans="1:252" x14ac:dyDescent="0.4">
      <c r="A45" s="91">
        <v>2</v>
      </c>
      <c r="B45" s="93" t="s">
        <v>111</v>
      </c>
      <c r="C45" s="277">
        <f ca="1">IFERROR(INDIRECT("fixtures!" &amp; Dashboard!J1 &amp;335) - Dashboard!K1/24,"TBC")</f>
        <v>45048.916666666664</v>
      </c>
      <c r="D45" s="6"/>
      <c r="E45" s="6" t="s">
        <v>5</v>
      </c>
      <c r="F45" s="6" t="s">
        <v>108</v>
      </c>
      <c r="G45" s="91">
        <f>IF(ISBLANK(fixtures!$K335),"",fixtures!$K335)</f>
        <v>3</v>
      </c>
      <c r="H45" s="6" t="str">
        <f>IF(ISBLANK(fixtures!$L335),"",":")</f>
        <v>:</v>
      </c>
      <c r="I45" s="93">
        <f>IF(ISBLANK(fixtures!$L335),"",fixtures!$L335)</f>
        <v>1</v>
      </c>
      <c r="J45" s="6" t="str">
        <f>IF(ISBLANK(fixtures!$L335),"",IF(G45&gt;I45,"W",IF(G45=I45,"D","L")))</f>
        <v>W</v>
      </c>
      <c r="K45" s="6"/>
      <c r="L45" s="6"/>
      <c r="M45" s="285" t="s">
        <v>26</v>
      </c>
      <c r="N45" s="283"/>
      <c r="O45" s="284"/>
      <c r="P45" s="9"/>
      <c r="Q45" s="9"/>
      <c r="R45" s="9"/>
      <c r="S45" s="282"/>
      <c r="T45" s="9"/>
      <c r="U45" s="283"/>
      <c r="V45" s="9"/>
      <c r="W45" s="9"/>
      <c r="X45" s="9"/>
      <c r="Y45" s="293" t="s">
        <v>26</v>
      </c>
      <c r="Z45" s="292"/>
      <c r="AA45" s="291"/>
      <c r="AB45" s="262"/>
      <c r="AC45" s="262"/>
      <c r="AD45" s="262"/>
      <c r="AE45" s="290"/>
      <c r="AF45" s="262"/>
      <c r="AG45" s="292"/>
      <c r="AH45" s="262"/>
      <c r="AI45" s="262"/>
      <c r="AJ45" s="262"/>
      <c r="AK45" s="414" t="s">
        <v>26</v>
      </c>
      <c r="AL45" s="412"/>
      <c r="AM45" s="413"/>
      <c r="AN45" s="410"/>
      <c r="AO45" s="410"/>
      <c r="AP45" s="410"/>
      <c r="AQ45" s="411"/>
      <c r="AR45" s="410"/>
      <c r="AS45" s="412"/>
      <c r="AT45" s="410"/>
      <c r="AU45" s="410"/>
      <c r="AV45" s="410"/>
      <c r="AW45" s="96">
        <v>14</v>
      </c>
      <c r="AX45" s="98" t="s">
        <v>105</v>
      </c>
      <c r="AY45" s="298">
        <f ca="1">IFERROR(INDIRECT("fixtures!" &amp; Dashboard!J1 &amp;357) - Dashboard!K1/24,"TBC")</f>
        <v>45060.770833333336</v>
      </c>
      <c r="AZ45" s="11"/>
      <c r="BA45" s="11" t="s">
        <v>1</v>
      </c>
      <c r="BB45" s="11" t="s">
        <v>106</v>
      </c>
      <c r="BC45" s="96">
        <f>IF(ISBLANK(fixtures!$L357),"",fixtures!$L357)</f>
        <v>3</v>
      </c>
      <c r="BD45" s="11" t="str">
        <f>IF(ISBLANK(fixtures!$L357),"",":")</f>
        <v>:</v>
      </c>
      <c r="BE45" s="98">
        <f>IF(ISBLANK(fixtures!$K357),"",fixtures!$K357)</f>
        <v>0</v>
      </c>
      <c r="BF45" s="11" t="str">
        <f>IF(ISBLANK(fixtures!$L357),"",IF(BC45&gt;BE45,"W",IF(BC45=BE45,"D","L")))</f>
        <v>W</v>
      </c>
      <c r="BG45" s="11"/>
      <c r="BH45" s="11"/>
      <c r="BI45" s="181">
        <v>6</v>
      </c>
      <c r="BJ45" s="183" t="s">
        <v>107</v>
      </c>
      <c r="BK45" s="304">
        <f ca="1">IFERROR(INDIRECT("fixtures!" &amp; Dashboard!J1 &amp;339) - Dashboard!K1/24,"TBC")</f>
        <v>45052.708333333336</v>
      </c>
      <c r="BL45" s="15"/>
      <c r="BM45" s="15" t="s">
        <v>3</v>
      </c>
      <c r="BN45" s="15" t="s">
        <v>106</v>
      </c>
      <c r="BO45" s="181">
        <f>IF(ISBLANK(fixtures!$L339),"",fixtures!$L339)</f>
        <v>3</v>
      </c>
      <c r="BP45" s="15" t="str">
        <f>IF(ISBLANK(fixtures!$L339),"",":")</f>
        <v>:</v>
      </c>
      <c r="BQ45" s="183">
        <f>IF(ISBLANK(fixtures!$K339),"",fixtures!$K339)</f>
        <v>1</v>
      </c>
      <c r="BR45" s="15" t="str">
        <f>IF(ISBLANK(fixtures!$L339),"",IF(BO45&gt;BQ45,"W",IF(BO45=BQ45,"D","L")))</f>
        <v>W</v>
      </c>
      <c r="BS45" s="15"/>
      <c r="BT45" s="15"/>
      <c r="BU45" s="313" t="s">
        <v>26</v>
      </c>
      <c r="BV45" s="311"/>
      <c r="BW45" s="312"/>
      <c r="BX45" s="16"/>
      <c r="BY45" s="16"/>
      <c r="BZ45" s="16"/>
      <c r="CA45" s="310"/>
      <c r="CB45" s="16"/>
      <c r="CC45" s="311"/>
      <c r="CD45" s="16"/>
      <c r="CE45" s="16"/>
      <c r="CF45" s="16"/>
      <c r="CG45" s="318">
        <v>1</v>
      </c>
      <c r="CH45" s="319" t="s">
        <v>109</v>
      </c>
      <c r="CI45" s="320">
        <f ca="1">IFERROR(INDIRECT("fixtures!" &amp; Dashboard!J1 &amp;334) - Dashboard!K1/24,"TBC")</f>
        <v>45047.916666666664</v>
      </c>
      <c r="CJ45" s="19"/>
      <c r="CK45" s="19" t="s">
        <v>8</v>
      </c>
      <c r="CL45" s="19" t="s">
        <v>106</v>
      </c>
      <c r="CM45" s="318">
        <f>IF(ISBLANK(fixtures!$L334),"",fixtures!$L334)</f>
        <v>2</v>
      </c>
      <c r="CN45" s="19" t="str">
        <f>IF(ISBLANK(fixtures!$L334),"",":")</f>
        <v>:</v>
      </c>
      <c r="CO45" s="319">
        <f>IF(ISBLANK(fixtures!$K334),"",fixtures!$K334)</f>
        <v>2</v>
      </c>
      <c r="CP45" s="19" t="str">
        <f>IF(ISBLANK(fixtures!$L334),"",IF(CM45&gt;CO45,"W",IF(CM45=CO45,"D","L")))</f>
        <v>D</v>
      </c>
      <c r="CQ45" s="19"/>
      <c r="CR45" s="19"/>
      <c r="CS45" s="326">
        <v>3</v>
      </c>
      <c r="CT45" s="327" t="s">
        <v>110</v>
      </c>
      <c r="CU45" s="328">
        <f ca="1">IFERROR(INDIRECT("fixtures!" &amp; Dashboard!J1 &amp;336) - Dashboard!K1/24,"TBC")</f>
        <v>45049.916666666664</v>
      </c>
      <c r="CV45" s="178"/>
      <c r="CW45" s="178" t="s">
        <v>9</v>
      </c>
      <c r="CX45" s="178" t="s">
        <v>106</v>
      </c>
      <c r="CY45" s="326">
        <f>IF(ISBLANK(fixtures!$L336),"",fixtures!$L336)</f>
        <v>0</v>
      </c>
      <c r="CZ45" s="178" t="str">
        <f>IF(ISBLANK(fixtures!$L336),"",":")</f>
        <v>:</v>
      </c>
      <c r="DA45" s="327">
        <f>IF(ISBLANK(fixtures!$K336),"",fixtures!$K336)</f>
        <v>1</v>
      </c>
      <c r="DB45" s="178" t="str">
        <f>IF(ISBLANK(fixtures!$L336),"",IF(CY45&gt;DA45,"W",IF(CY45=DA45,"D","L")))</f>
        <v>L</v>
      </c>
      <c r="DC45" s="178"/>
      <c r="DD45" s="178"/>
      <c r="DE45" s="337" t="s">
        <v>26</v>
      </c>
      <c r="DF45" s="335"/>
      <c r="DG45" s="336"/>
      <c r="DH45" s="177"/>
      <c r="DI45" s="177"/>
      <c r="DJ45" s="177"/>
      <c r="DK45" s="334"/>
      <c r="DL45" s="177"/>
      <c r="DM45" s="335"/>
      <c r="DN45" s="177"/>
      <c r="DO45" s="177"/>
      <c r="DP45" s="177"/>
      <c r="DQ45" s="341">
        <v>1</v>
      </c>
      <c r="DR45" s="342" t="s">
        <v>109</v>
      </c>
      <c r="DS45" s="343">
        <f ca="1">IFERROR(INDIRECT("fixtures!" &amp; Dashboard!J1 &amp;334) - Dashboard!K1/24,"TBC")</f>
        <v>45047.916666666664</v>
      </c>
      <c r="DT45" s="21"/>
      <c r="DU45" s="21" t="s">
        <v>7</v>
      </c>
      <c r="DV45" s="21" t="s">
        <v>108</v>
      </c>
      <c r="DW45" s="341">
        <f>IF(ISBLANK(fixtures!$K334),"",fixtures!$K334)</f>
        <v>2</v>
      </c>
      <c r="DX45" s="21" t="str">
        <f>IF(ISBLANK(fixtures!$L334),"",":")</f>
        <v>:</v>
      </c>
      <c r="DY45" s="342">
        <f>IF(ISBLANK(fixtures!$L334),"",fixtures!$L334)</f>
        <v>2</v>
      </c>
      <c r="DZ45" s="21" t="str">
        <f>IF(ISBLANK(fixtures!$L334),"",IF(DW45&gt;DY45,"W",IF(DW45=DY45,"D","L")))</f>
        <v>D</v>
      </c>
      <c r="EA45" s="21"/>
      <c r="EB45" s="21"/>
      <c r="EC45" s="270">
        <v>3</v>
      </c>
      <c r="ED45" s="272" t="s">
        <v>110</v>
      </c>
      <c r="EE45" s="349">
        <f ca="1">IFERROR(INDIRECT("fixtures!" &amp; Dashboard!J1 &amp;336) - Dashboard!K1/24,"TBC")</f>
        <v>45049.916666666664</v>
      </c>
      <c r="EF45" s="23"/>
      <c r="EG45" s="23" t="s">
        <v>126</v>
      </c>
      <c r="EH45" s="23" t="s">
        <v>108</v>
      </c>
      <c r="EI45" s="270">
        <f>IF(ISBLANK(fixtures!$K336),"",fixtures!$K336)</f>
        <v>1</v>
      </c>
      <c r="EJ45" s="23" t="str">
        <f>IF(ISBLANK(fixtures!$L336),"",":")</f>
        <v>:</v>
      </c>
      <c r="EK45" s="272">
        <f>IF(ISBLANK(fixtures!$L336),"",fixtures!$L336)</f>
        <v>0</v>
      </c>
      <c r="EL45" s="23" t="str">
        <f>IF(ISBLANK(fixtures!$L336),"",IF(EI45&gt;EK45,"W",IF(EI45=EK45,"D","L")))</f>
        <v>W</v>
      </c>
      <c r="EM45" s="23"/>
      <c r="EN45" s="23"/>
      <c r="EO45" s="105">
        <v>6</v>
      </c>
      <c r="EP45" s="107" t="s">
        <v>107</v>
      </c>
      <c r="EQ45" s="355">
        <f ca="1">IFERROR(INDIRECT("fixtures!" &amp; Dashboard!J1 &amp;340) - Dashboard!K1/24,"TBC")</f>
        <v>45052.708333333336</v>
      </c>
      <c r="ER45" s="25"/>
      <c r="ES45" s="25" t="s">
        <v>139</v>
      </c>
      <c r="ET45" s="25" t="s">
        <v>108</v>
      </c>
      <c r="EU45" s="105">
        <f>IF(ISBLANK(fixtures!$K340),"",fixtures!$K340)</f>
        <v>2</v>
      </c>
      <c r="EV45" s="25" t="str">
        <f>IF(ISBLANK(fixtures!$L340),"",":")</f>
        <v>:</v>
      </c>
      <c r="EW45" s="107">
        <f>IF(ISBLANK(fixtures!$L340),"",fixtures!$L340)</f>
        <v>1</v>
      </c>
      <c r="EX45" s="25" t="str">
        <f>IF(ISBLANK(fixtures!$L340),"",IF(EU45&gt;EW45,"W",IF(EU45=EW45,"D","L")))</f>
        <v>W</v>
      </c>
      <c r="EY45" s="25"/>
      <c r="EZ45" s="25"/>
      <c r="FA45" s="361">
        <v>7</v>
      </c>
      <c r="FB45" s="362" t="s">
        <v>105</v>
      </c>
      <c r="FC45" s="363">
        <f ca="1">IFERROR(INDIRECT("fixtures!" &amp; Dashboard!J1 &amp;345) - Dashboard!K1/24,"TBC")</f>
        <v>45053.875</v>
      </c>
      <c r="FD45" s="27"/>
      <c r="FE45" s="27" t="s">
        <v>15</v>
      </c>
      <c r="FF45" s="27" t="s">
        <v>106</v>
      </c>
      <c r="FG45" s="361">
        <f>IF(ISBLANK(fixtures!$L345),"",fixtures!$L345)</f>
        <v>0</v>
      </c>
      <c r="FH45" s="27" t="str">
        <f>IF(ISBLANK(fixtures!$L345),"",":")</f>
        <v>:</v>
      </c>
      <c r="FI45" s="362">
        <f>IF(ISBLANK(fixtures!$K345),"",fixtures!$K345)</f>
        <v>1</v>
      </c>
      <c r="FJ45" s="27" t="str">
        <f>IF(ISBLANK(fixtures!$L345),"",IF(FG45&gt;FI45,"W",IF(FG45=FI45,"D","L")))</f>
        <v>L</v>
      </c>
      <c r="FK45" s="27"/>
      <c r="FL45" s="27"/>
      <c r="FM45" s="110">
        <v>7</v>
      </c>
      <c r="FN45" s="112" t="s">
        <v>105</v>
      </c>
      <c r="FO45" s="369">
        <f ca="1">IFERROR(INDIRECT("fixtures!" &amp; Dashboard!J1 &amp;344) - Dashboard!K1/24,"TBC")</f>
        <v>45053.770833333336</v>
      </c>
      <c r="FP45" s="29"/>
      <c r="FQ45" s="29" t="s">
        <v>1</v>
      </c>
      <c r="FR45" s="29" t="s">
        <v>108</v>
      </c>
      <c r="FS45" s="110">
        <f>IF(ISBLANK(fixtures!$K344),"",fixtures!$K344)</f>
        <v>0</v>
      </c>
      <c r="FT45" s="29" t="str">
        <f>IF(ISBLANK(fixtures!$L344),"",":")</f>
        <v>:</v>
      </c>
      <c r="FU45" s="112">
        <f>IF(ISBLANK(fixtures!$L344),"",fixtures!$L344)</f>
        <v>2</v>
      </c>
      <c r="FV45" s="29" t="str">
        <f>IF(ISBLANK(fixtures!$L344),"",IF(FS45&gt;FU45,"W",IF(FS45=FU45,"D","L")))</f>
        <v>L</v>
      </c>
      <c r="FW45" s="29"/>
      <c r="FX45" s="29"/>
      <c r="FY45" s="378" t="s">
        <v>26</v>
      </c>
      <c r="FZ45" s="376"/>
      <c r="GA45" s="377"/>
      <c r="GB45" s="264"/>
      <c r="GC45" s="264"/>
      <c r="GD45" s="264"/>
      <c r="GE45" s="375"/>
      <c r="GF45" s="264"/>
      <c r="GG45" s="376"/>
      <c r="GH45" s="264"/>
      <c r="GI45" s="264"/>
      <c r="GJ45" s="264"/>
      <c r="GK45" s="385" t="s">
        <v>26</v>
      </c>
      <c r="GL45" s="383"/>
      <c r="GM45" s="384"/>
      <c r="GN45" s="30"/>
      <c r="GO45" s="30"/>
      <c r="GP45" s="30"/>
      <c r="GQ45" s="382"/>
      <c r="GR45" s="30"/>
      <c r="GS45" s="383"/>
      <c r="GT45" s="30"/>
      <c r="GU45" s="30"/>
      <c r="GV45" s="30"/>
      <c r="GW45" s="391" t="s">
        <v>26</v>
      </c>
      <c r="GX45" s="117"/>
      <c r="GY45" s="390"/>
      <c r="GZ45" s="32"/>
      <c r="HA45" s="32"/>
      <c r="HB45" s="32"/>
      <c r="HC45" s="115"/>
      <c r="HD45" s="32"/>
      <c r="HE45" s="117"/>
      <c r="HF45" s="32"/>
      <c r="HG45" s="32"/>
      <c r="HH45" s="32"/>
      <c r="HI45" s="120">
        <v>3</v>
      </c>
      <c r="HJ45" s="122" t="s">
        <v>110</v>
      </c>
      <c r="HK45" s="396">
        <f ca="1">IFERROR(INDIRECT("fixtures!" &amp; Dashboard!J1 &amp;337) - Dashboard!K1/24,"TBC")</f>
        <v>45049.916666666664</v>
      </c>
      <c r="HL45" s="34"/>
      <c r="HM45" s="34" t="s">
        <v>10</v>
      </c>
      <c r="HN45" s="34" t="s">
        <v>106</v>
      </c>
      <c r="HO45" s="120">
        <f>IF(ISBLANK(fixtures!$L337),"",fixtures!$L337)</f>
        <v>0</v>
      </c>
      <c r="HP45" s="34" t="str">
        <f>IF(ISBLANK(fixtures!$L337),"",":")</f>
        <v>:</v>
      </c>
      <c r="HQ45" s="122">
        <f>IF(ISBLANK(fixtures!$K337),"",fixtures!$K337)</f>
        <v>3</v>
      </c>
      <c r="HR45" s="34" t="str">
        <f>IF(ISBLANK(fixtures!$L337),"",IF(HO45&gt;HQ45,"W",IF(HO45=HQ45,"D","L")))</f>
        <v>L</v>
      </c>
      <c r="HS45" s="34"/>
      <c r="HT45" s="34"/>
      <c r="HU45" s="403" t="s">
        <v>26</v>
      </c>
      <c r="HV45" s="127"/>
      <c r="HW45" s="402"/>
      <c r="HX45" s="36"/>
      <c r="HY45" s="36"/>
      <c r="HZ45" s="36"/>
      <c r="IA45" s="125"/>
      <c r="IB45" s="36"/>
      <c r="IC45" s="127"/>
      <c r="ID45" s="36"/>
      <c r="IE45" s="36"/>
      <c r="IF45" s="36"/>
    </row>
    <row r="46" spans="1:252" x14ac:dyDescent="0.4">
      <c r="A46" s="91">
        <v>7</v>
      </c>
      <c r="B46" s="93" t="s">
        <v>105</v>
      </c>
      <c r="C46" s="277">
        <f ca="1">IFERROR(INDIRECT("fixtures!" &amp; Dashboard!J1 &amp;344) - Dashboard!K1/24,"TBC")</f>
        <v>45053.770833333336</v>
      </c>
      <c r="D46" s="6"/>
      <c r="E46" s="6" t="s">
        <v>12</v>
      </c>
      <c r="F46" s="6" t="s">
        <v>106</v>
      </c>
      <c r="G46" s="91">
        <f>IF(ISBLANK(fixtures!$L344),"",fixtures!$L344)</f>
        <v>2</v>
      </c>
      <c r="H46" s="6" t="str">
        <f>IF(ISBLANK(fixtures!$L344),"",":")</f>
        <v>:</v>
      </c>
      <c r="I46" s="93">
        <f>IF(ISBLANK(fixtures!$K344),"",fixtures!$K344)</f>
        <v>0</v>
      </c>
      <c r="J46" s="6" t="str">
        <f>IF(ISBLANK(fixtures!$L344),"",IF(G46&gt;I46,"W",IF(G46=I46,"D","L")))</f>
        <v>W</v>
      </c>
      <c r="K46" s="6"/>
      <c r="L46" s="6"/>
      <c r="M46" s="282">
        <v>6</v>
      </c>
      <c r="N46" s="283" t="s">
        <v>107</v>
      </c>
      <c r="O46" s="284">
        <f ca="1">IFERROR(INDIRECT("fixtures!" &amp; Dashboard!J1 &amp;342) - Dashboard!K1/24,"TBC")</f>
        <v>45052.708333333336</v>
      </c>
      <c r="P46" s="9"/>
      <c r="Q46" s="9" t="s">
        <v>16</v>
      </c>
      <c r="R46" s="9" t="s">
        <v>106</v>
      </c>
      <c r="S46" s="282">
        <f>IF(ISBLANK(fixtures!$L342),"",fixtures!$L342)</f>
        <v>0</v>
      </c>
      <c r="T46" s="9" t="str">
        <f>IF(ISBLANK(fixtures!$L342),"",":")</f>
        <v>:</v>
      </c>
      <c r="U46" s="283">
        <f>IF(ISBLANK(fixtures!$K342),"",fixtures!$K342)</f>
        <v>1</v>
      </c>
      <c r="V46" s="9" t="str">
        <f>IF(ISBLANK(fixtures!$L342),"",IF(S46&gt;U46,"W",IF(S46=U46,"D","L")))</f>
        <v>L</v>
      </c>
      <c r="W46" s="9"/>
      <c r="X46" s="9"/>
      <c r="Y46" s="290">
        <v>6</v>
      </c>
      <c r="Z46" s="292" t="s">
        <v>107</v>
      </c>
      <c r="AA46" s="291">
        <f ca="1">IFERROR(INDIRECT("fixtures!" &amp; Dashboard!J1 &amp;339) - Dashboard!K1/24,"TBC")</f>
        <v>45052.708333333336</v>
      </c>
      <c r="AB46" s="262"/>
      <c r="AC46" s="262" t="s">
        <v>5</v>
      </c>
      <c r="AD46" s="262" t="s">
        <v>108</v>
      </c>
      <c r="AE46" s="290">
        <f>IF(ISBLANK(fixtures!$K339),"",fixtures!$K339)</f>
        <v>1</v>
      </c>
      <c r="AF46" s="262" t="str">
        <f>IF(ISBLANK(fixtures!$L339),"",":")</f>
        <v>:</v>
      </c>
      <c r="AG46" s="292">
        <f>IF(ISBLANK(fixtures!$L339),"",fixtures!$L339)</f>
        <v>3</v>
      </c>
      <c r="AH46" s="262" t="str">
        <f>IF(ISBLANK(fixtures!$L339),"",IF(AE46&gt;AG46,"W",IF(AE46=AG46,"D","L")))</f>
        <v>L</v>
      </c>
      <c r="AI46" s="262"/>
      <c r="AJ46" s="262"/>
      <c r="AK46" s="411">
        <v>6</v>
      </c>
      <c r="AL46" s="412" t="s">
        <v>107</v>
      </c>
      <c r="AM46" s="413">
        <f ca="1">IFERROR(INDIRECT("fixtures!" &amp; Dashboard!J1 &amp;343) - Dashboard!K1/24,"TBC")</f>
        <v>45052.8125</v>
      </c>
      <c r="AN46" s="410"/>
      <c r="AO46" s="410" t="s">
        <v>9</v>
      </c>
      <c r="AP46" s="410" t="s">
        <v>106</v>
      </c>
      <c r="AQ46" s="411">
        <f>IF(ISBLANK(fixtures!$L343),"",fixtures!$L343)</f>
        <v>0</v>
      </c>
      <c r="AR46" s="410" t="str">
        <f>IF(ISBLANK(fixtures!$L343),"",":")</f>
        <v>:</v>
      </c>
      <c r="AS46" s="412">
        <f>IF(ISBLANK(fixtures!$K343),"",fixtures!$K343)</f>
        <v>1</v>
      </c>
      <c r="AT46" s="410" t="str">
        <f>IF(ISBLANK(fixtures!$L343),"",IF(AQ46&gt;AS46,"W",IF(AQ46=AS46,"D","L")))</f>
        <v>L</v>
      </c>
      <c r="AU46" s="410"/>
      <c r="AV46" s="410"/>
      <c r="AW46" s="96">
        <v>18</v>
      </c>
      <c r="AX46" s="98" t="s">
        <v>582</v>
      </c>
      <c r="AY46" s="298">
        <f ca="1">IFERROR(INDIRECT("fixtures!" &amp; Dashboard!J1 &amp;359) - Dashboard!K1/24,"TBC")</f>
        <v>45064.895833333336</v>
      </c>
      <c r="AZ46" s="11"/>
      <c r="BA46" s="11" t="s">
        <v>12</v>
      </c>
      <c r="BB46" s="11" t="s">
        <v>106</v>
      </c>
      <c r="BC46" s="96">
        <f>IF(ISBLANK(fixtures!$L359),"",fixtures!$L359)</f>
        <v>1</v>
      </c>
      <c r="BD46" s="11" t="str">
        <f>IF(ISBLANK(fixtures!$L359),"",":")</f>
        <v>:</v>
      </c>
      <c r="BE46" s="98">
        <f>IF(ISBLANK(fixtures!$K359),"",fixtures!$K359)</f>
        <v>4</v>
      </c>
      <c r="BF46" s="11" t="str">
        <f>IF(ISBLANK(fixtures!$L359),"",IF(BC46&gt;BE46,"W",IF(BC46=BE46,"D","L")))</f>
        <v>L</v>
      </c>
      <c r="BG46" s="11"/>
      <c r="BH46" s="11"/>
      <c r="BI46" s="181">
        <v>13</v>
      </c>
      <c r="BJ46" s="183" t="s">
        <v>107</v>
      </c>
      <c r="BK46" s="304">
        <f ca="1">IFERROR(INDIRECT("fixtures!" &amp; Dashboard!J1 &amp;351) - Dashboard!K1/24,"TBC")</f>
        <v>45059.708333333336</v>
      </c>
      <c r="BL46" s="15"/>
      <c r="BM46" s="15" t="s">
        <v>204</v>
      </c>
      <c r="BN46" s="15" t="s">
        <v>108</v>
      </c>
      <c r="BO46" s="181">
        <f>IF(ISBLANK(fixtures!$K351),"",fixtures!$K351)</f>
        <v>2</v>
      </c>
      <c r="BP46" s="15" t="str">
        <f>IF(ISBLANK(fixtures!$L351),"",":")</f>
        <v>:</v>
      </c>
      <c r="BQ46" s="183">
        <f>IF(ISBLANK(fixtures!$L351),"",fixtures!$L351)</f>
        <v>2</v>
      </c>
      <c r="BR46" s="15" t="str">
        <f>IF(ISBLANK(fixtures!$L351),"",IF(BO46&gt;BQ46,"W",IF(BO46=BQ46,"D","L")))</f>
        <v>D</v>
      </c>
      <c r="BS46" s="15"/>
      <c r="BT46" s="15"/>
      <c r="BU46" s="310">
        <v>6</v>
      </c>
      <c r="BV46" s="311" t="s">
        <v>107</v>
      </c>
      <c r="BW46" s="312">
        <f ca="1">IFERROR(INDIRECT("fixtures!" &amp; Dashboard!J1 &amp;341) - Dashboard!K1/24,"TBC")</f>
        <v>45052.708333333336</v>
      </c>
      <c r="BX46" s="16"/>
      <c r="BY46" s="16" t="s">
        <v>14</v>
      </c>
      <c r="BZ46" s="16" t="s">
        <v>106</v>
      </c>
      <c r="CA46" s="310">
        <f>IF(ISBLANK(fixtures!$L341),"",fixtures!$L341)</f>
        <v>0</v>
      </c>
      <c r="CB46" s="16" t="str">
        <f>IF(ISBLANK(fixtures!$L341),"",":")</f>
        <v>:</v>
      </c>
      <c r="CC46" s="311">
        <f>IF(ISBLANK(fixtures!$K341),"",fixtures!$K341)</f>
        <v>1</v>
      </c>
      <c r="CD46" s="16" t="str">
        <f>IF(ISBLANK(fixtures!$L341),"",IF(CA46&gt;CC46,"W",IF(CA46=CC46,"D","L")))</f>
        <v>L</v>
      </c>
      <c r="CE46" s="16"/>
      <c r="CF46" s="16"/>
      <c r="CG46" s="318">
        <v>8</v>
      </c>
      <c r="CH46" s="319" t="s">
        <v>109</v>
      </c>
      <c r="CI46" s="320">
        <f ca="1">IFERROR(INDIRECT("fixtures!" &amp; Dashboard!J1 &amp;347) - Dashboard!K1/24,"TBC")</f>
        <v>45054.8125</v>
      </c>
      <c r="CJ46" s="19"/>
      <c r="CK46" s="19" t="s">
        <v>4</v>
      </c>
      <c r="CL46" s="19" t="s">
        <v>106</v>
      </c>
      <c r="CM46" s="318">
        <f>IF(ISBLANK(fixtures!$L347),"",fixtures!$L347)</f>
        <v>5</v>
      </c>
      <c r="CN46" s="19" t="str">
        <f>IF(ISBLANK(fixtures!$L347),"",":")</f>
        <v>:</v>
      </c>
      <c r="CO46" s="319">
        <f>IF(ISBLANK(fixtures!$K347),"",fixtures!$K347)</f>
        <v>1</v>
      </c>
      <c r="CP46" s="19" t="str">
        <f>IF(ISBLANK(fixtures!$L347),"",IF(CM46&gt;CO46,"W",IF(CM46=CO46,"D","L")))</f>
        <v>W</v>
      </c>
      <c r="CQ46" s="19"/>
      <c r="CR46" s="19"/>
      <c r="CS46" s="326">
        <v>8</v>
      </c>
      <c r="CT46" s="327" t="s">
        <v>109</v>
      </c>
      <c r="CU46" s="328">
        <f ca="1">IFERROR(INDIRECT("fixtures!" &amp; Dashboard!J1 &amp;346) - Dashboard!K1/24,"TBC")</f>
        <v>45054.708333333336</v>
      </c>
      <c r="CV46" s="178"/>
      <c r="CW46" s="178" t="s">
        <v>8</v>
      </c>
      <c r="CX46" s="178" t="s">
        <v>108</v>
      </c>
      <c r="CY46" s="326">
        <f>IF(ISBLANK(fixtures!$K346),"",fixtures!$K346)</f>
        <v>5</v>
      </c>
      <c r="CZ46" s="178" t="str">
        <f>IF(ISBLANK(fixtures!$L346),"",":")</f>
        <v>:</v>
      </c>
      <c r="DA46" s="327">
        <f>IF(ISBLANK(fixtures!$L346),"",fixtures!$L346)</f>
        <v>3</v>
      </c>
      <c r="DB46" s="178" t="str">
        <f>IF(ISBLANK(fixtures!$L346),"",IF(CY46&gt;DA46,"W",IF(CY46=DA46,"D","L")))</f>
        <v>W</v>
      </c>
      <c r="DC46" s="178"/>
      <c r="DD46" s="178"/>
      <c r="DE46" s="334">
        <v>6</v>
      </c>
      <c r="DF46" s="335" t="s">
        <v>107</v>
      </c>
      <c r="DG46" s="336">
        <f ca="1">IFERROR(INDIRECT("fixtures!" &amp; Dashboard!J1 &amp;340) - Dashboard!K1/24,"TBC")</f>
        <v>45052.708333333336</v>
      </c>
      <c r="DH46" s="177"/>
      <c r="DI46" s="177" t="s">
        <v>10</v>
      </c>
      <c r="DJ46" s="177" t="s">
        <v>106</v>
      </c>
      <c r="DK46" s="334">
        <f>IF(ISBLANK(fixtures!$L340),"",fixtures!$L340)</f>
        <v>1</v>
      </c>
      <c r="DL46" s="177" t="str">
        <f>IF(ISBLANK(fixtures!$L340),"",":")</f>
        <v>:</v>
      </c>
      <c r="DM46" s="335">
        <f>IF(ISBLANK(fixtures!$K340),"",fixtures!$K340)</f>
        <v>2</v>
      </c>
      <c r="DN46" s="177" t="str">
        <f>IF(ISBLANK(fixtures!$L340),"",IF(DK46&gt;DM46,"W",IF(DK46=DM46,"D","L")))</f>
        <v>L</v>
      </c>
      <c r="DO46" s="177"/>
      <c r="DP46" s="177"/>
      <c r="DQ46" s="341">
        <v>8</v>
      </c>
      <c r="DR46" s="342" t="s">
        <v>109</v>
      </c>
      <c r="DS46" s="343">
        <f ca="1">IFERROR(INDIRECT("fixtures!" &amp; Dashboard!J1 &amp;346) - Dashboard!K1/24,"TBC")</f>
        <v>45054.708333333336</v>
      </c>
      <c r="DT46" s="21"/>
      <c r="DU46" s="21" t="s">
        <v>126</v>
      </c>
      <c r="DV46" s="21" t="s">
        <v>106</v>
      </c>
      <c r="DW46" s="341">
        <f>IF(ISBLANK(fixtures!$L346),"",fixtures!$L346)</f>
        <v>3</v>
      </c>
      <c r="DX46" s="21" t="str">
        <f>IF(ISBLANK(fixtures!$L346),"",":")</f>
        <v>:</v>
      </c>
      <c r="DY46" s="342">
        <f>IF(ISBLANK(fixtures!$K346),"",fixtures!$K346)</f>
        <v>5</v>
      </c>
      <c r="DZ46" s="21" t="str">
        <f>IF(ISBLANK(fixtures!$L346),"",IF(DW46&gt;DY46,"W",IF(DW46=DY46,"D","L")))</f>
        <v>L</v>
      </c>
      <c r="EA46" s="21"/>
      <c r="EB46" s="21"/>
      <c r="EC46" s="270">
        <v>6</v>
      </c>
      <c r="ED46" s="272" t="s">
        <v>107</v>
      </c>
      <c r="EE46" s="349">
        <f ca="1">IFERROR(INDIRECT("fixtures!" &amp; Dashboard!J1 &amp;343) - Dashboard!K1/24,"TBC")</f>
        <v>45052.8125</v>
      </c>
      <c r="EF46" s="23"/>
      <c r="EG46" s="23" t="s">
        <v>125</v>
      </c>
      <c r="EH46" s="23" t="s">
        <v>108</v>
      </c>
      <c r="EI46" s="270">
        <f>IF(ISBLANK(fixtures!$K343),"",fixtures!$K343)</f>
        <v>1</v>
      </c>
      <c r="EJ46" s="23" t="str">
        <f>IF(ISBLANK(fixtures!$L343),"",":")</f>
        <v>:</v>
      </c>
      <c r="EK46" s="272">
        <f>IF(ISBLANK(fixtures!$L343),"",fixtures!$L343)</f>
        <v>0</v>
      </c>
      <c r="EL46" s="23" t="str">
        <f>IF(ISBLANK(fixtures!$L343),"",IF(EI46&gt;EK46,"W",IF(EI46=EK46,"D","L")))</f>
        <v>W</v>
      </c>
      <c r="EM46" s="23"/>
      <c r="EN46" s="23"/>
      <c r="EO46" s="105">
        <v>14</v>
      </c>
      <c r="EP46" s="107" t="s">
        <v>105</v>
      </c>
      <c r="EQ46" s="355">
        <f ca="1">IFERROR(INDIRECT("fixtures!" &amp; Dashboard!J1 &amp;356) - Dashboard!K1/24,"TBC")</f>
        <v>45060.666666666664</v>
      </c>
      <c r="ER46" s="25"/>
      <c r="ES46" s="25" t="s">
        <v>7</v>
      </c>
      <c r="ET46" s="25" t="s">
        <v>106</v>
      </c>
      <c r="EU46" s="105">
        <f>IF(ISBLANK(fixtures!$L356),"",fixtures!$L356)</f>
        <v>3</v>
      </c>
      <c r="EV46" s="25" t="str">
        <f>IF(ISBLANK(fixtures!$L356),"",":")</f>
        <v>:</v>
      </c>
      <c r="EW46" s="107">
        <f>IF(ISBLANK(fixtures!$K356),"",fixtures!$K356)</f>
        <v>0</v>
      </c>
      <c r="EX46" s="25" t="str">
        <f>IF(ISBLANK(fixtures!$L356),"",IF(EU46&gt;EW46,"W",IF(EU46=EW46,"D","L")))</f>
        <v>W</v>
      </c>
      <c r="EY46" s="25"/>
      <c r="EZ46" s="25"/>
      <c r="FA46" s="361">
        <v>13</v>
      </c>
      <c r="FB46" s="362" t="s">
        <v>107</v>
      </c>
      <c r="FC46" s="363">
        <f ca="1">IFERROR(INDIRECT("fixtures!" &amp; Dashboard!J1 &amp;353) - Dashboard!K1/24,"TBC")</f>
        <v>45059.708333333336</v>
      </c>
      <c r="FD46" s="27"/>
      <c r="FE46" s="27" t="s">
        <v>16</v>
      </c>
      <c r="FF46" s="27" t="s">
        <v>108</v>
      </c>
      <c r="FG46" s="361">
        <f>IF(ISBLANK(fixtures!$K353),"",fixtures!$K353)</f>
        <v>2</v>
      </c>
      <c r="FH46" s="27" t="str">
        <f>IF(ISBLANK(fixtures!$L353),"",":")</f>
        <v>:</v>
      </c>
      <c r="FI46" s="362">
        <f>IF(ISBLANK(fixtures!$L353),"",fixtures!$L353)</f>
        <v>0</v>
      </c>
      <c r="FJ46" s="27" t="str">
        <f>IF(ISBLANK(fixtures!$L353),"",IF(FG46&gt;FI46,"W",IF(FG46=FI46,"D","L")))</f>
        <v>W</v>
      </c>
      <c r="FK46" s="27"/>
      <c r="FL46" s="27"/>
      <c r="FM46" s="110">
        <v>13</v>
      </c>
      <c r="FN46" s="112" t="s">
        <v>107</v>
      </c>
      <c r="FO46" s="369">
        <f ca="1">IFERROR(INDIRECT("fixtures!" &amp; Dashboard!J1 &amp;349) - Dashboard!K1/24,"TBC")</f>
        <v>45059.604166666664</v>
      </c>
      <c r="FP46" s="29"/>
      <c r="FQ46" s="29" t="s">
        <v>139</v>
      </c>
      <c r="FR46" s="29" t="s">
        <v>106</v>
      </c>
      <c r="FS46" s="110">
        <f>IF(ISBLANK(fixtures!$L349),"",fixtures!$L349)</f>
        <v>2</v>
      </c>
      <c r="FT46" s="29" t="str">
        <f>IF(ISBLANK(fixtures!$L349),"",":")</f>
        <v>:</v>
      </c>
      <c r="FU46" s="112">
        <f>IF(ISBLANK(fixtures!$K349),"",fixtures!$K349)</f>
        <v>2</v>
      </c>
      <c r="FV46" s="29" t="str">
        <f>IF(ISBLANK(fixtures!$L349),"",IF(FS46&gt;FU46,"W",IF(FS46=FU46,"D","L")))</f>
        <v>D</v>
      </c>
      <c r="FW46" s="29"/>
      <c r="FX46" s="29"/>
      <c r="FY46" s="375">
        <v>8</v>
      </c>
      <c r="FZ46" s="376" t="s">
        <v>109</v>
      </c>
      <c r="GA46" s="377">
        <f ca="1">IFERROR(INDIRECT("fixtures!" &amp; Dashboard!J1 &amp;348) - Dashboard!K1/24,"TBC")</f>
        <v>45054.916666666664</v>
      </c>
      <c r="GB46" s="264"/>
      <c r="GC46" s="264" t="s">
        <v>13</v>
      </c>
      <c r="GD46" s="264" t="s">
        <v>108</v>
      </c>
      <c r="GE46" s="375">
        <f>IF(ISBLANK(fixtures!$K348),"",fixtures!$K348)</f>
        <v>4</v>
      </c>
      <c r="GF46" s="264" t="str">
        <f>IF(ISBLANK(fixtures!$L348),"",":")</f>
        <v>:</v>
      </c>
      <c r="GG46" s="376">
        <f>IF(ISBLANK(fixtures!$L348),"",fixtures!$L348)</f>
        <v>3</v>
      </c>
      <c r="GH46" s="264" t="str">
        <f>IF(ISBLANK(fixtures!$L348),"",IF(GE46&gt;GG46,"W",IF(GE46=GG46,"D","L")))</f>
        <v>W</v>
      </c>
      <c r="GI46" s="264"/>
      <c r="GJ46" s="264"/>
      <c r="GK46" s="382">
        <v>8</v>
      </c>
      <c r="GL46" s="383" t="s">
        <v>109</v>
      </c>
      <c r="GM46" s="384">
        <f ca="1">IFERROR(INDIRECT("fixtures!" &amp; Dashboard!J1 &amp;348) - Dashboard!K1/24,"TBC")</f>
        <v>45054.916666666664</v>
      </c>
      <c r="GN46" s="30"/>
      <c r="GO46" s="30" t="s">
        <v>204</v>
      </c>
      <c r="GP46" s="30" t="s">
        <v>106</v>
      </c>
      <c r="GQ46" s="382">
        <f>IF(ISBLANK(fixtures!$L348),"",fixtures!$L348)</f>
        <v>3</v>
      </c>
      <c r="GR46" s="30" t="str">
        <f>IF(ISBLANK(fixtures!$L348),"",":")</f>
        <v>:</v>
      </c>
      <c r="GS46" s="383">
        <f>IF(ISBLANK(fixtures!$K348),"",fixtures!$K348)</f>
        <v>4</v>
      </c>
      <c r="GT46" s="30" t="str">
        <f>IF(ISBLANK(fixtures!$L348),"",IF(GQ46&gt;GS46,"W",IF(GQ46=GS46,"D","L")))</f>
        <v>L</v>
      </c>
      <c r="GU46" s="30"/>
      <c r="GV46" s="30"/>
      <c r="GW46" s="115">
        <v>6</v>
      </c>
      <c r="GX46" s="117" t="s">
        <v>107</v>
      </c>
      <c r="GY46" s="390">
        <f ca="1">IFERROR(INDIRECT("fixtures!" &amp; Dashboard!J1 &amp;341) - Dashboard!K1/24,"TBC")</f>
        <v>45052.708333333336</v>
      </c>
      <c r="GZ46" s="32"/>
      <c r="HA46" s="32" t="s">
        <v>6</v>
      </c>
      <c r="HB46" s="32" t="s">
        <v>108</v>
      </c>
      <c r="HC46" s="115">
        <f>IF(ISBLANK(fixtures!$K341),"",fixtures!$K341)</f>
        <v>1</v>
      </c>
      <c r="HD46" s="32" t="str">
        <f>IF(ISBLANK(fixtures!$L341),"",":")</f>
        <v>:</v>
      </c>
      <c r="HE46" s="117">
        <f>IF(ISBLANK(fixtures!$L341),"",fixtures!$L341)</f>
        <v>0</v>
      </c>
      <c r="HF46" s="32" t="str">
        <f>IF(ISBLANK(fixtures!$L341),"",IF(HC46&gt;HE46,"W",IF(HC46=HE46,"D","L")))</f>
        <v>W</v>
      </c>
      <c r="HG46" s="32"/>
      <c r="HH46" s="32"/>
      <c r="HI46" s="120">
        <v>7</v>
      </c>
      <c r="HJ46" s="122" t="s">
        <v>105</v>
      </c>
      <c r="HK46" s="396">
        <f ca="1">IFERROR(INDIRECT("fixtures!" &amp; Dashboard!J1 &amp;345) - Dashboard!K1/24,"TBC")</f>
        <v>45053.875</v>
      </c>
      <c r="HL46" s="34"/>
      <c r="HM46" s="34" t="s">
        <v>11</v>
      </c>
      <c r="HN46" s="34" t="s">
        <v>108</v>
      </c>
      <c r="HO46" s="120">
        <f>IF(ISBLANK(fixtures!$K345),"",fixtures!$K345)</f>
        <v>1</v>
      </c>
      <c r="HP46" s="34" t="str">
        <f>IF(ISBLANK(fixtures!$L345),"",":")</f>
        <v>:</v>
      </c>
      <c r="HQ46" s="122">
        <f>IF(ISBLANK(fixtures!$L345),"",fixtures!$L345)</f>
        <v>0</v>
      </c>
      <c r="HR46" s="34" t="str">
        <f>IF(ISBLANK(fixtures!$L345),"",IF(HO46&gt;HQ46,"W",IF(HO46=HQ46,"D","L")))</f>
        <v>W</v>
      </c>
      <c r="HS46" s="34"/>
      <c r="HT46" s="34"/>
      <c r="HU46" s="125">
        <v>6</v>
      </c>
      <c r="HV46" s="127" t="s">
        <v>107</v>
      </c>
      <c r="HW46" s="402">
        <f ca="1">IFERROR(INDIRECT("fixtures!" &amp; Dashboard!J1 &amp;342) - Dashboard!K1/24,"TBC")</f>
        <v>45052.708333333336</v>
      </c>
      <c r="HX46" s="36"/>
      <c r="HY46" s="36" t="s">
        <v>2</v>
      </c>
      <c r="HZ46" s="36" t="s">
        <v>108</v>
      </c>
      <c r="IA46" s="125">
        <f>IF(ISBLANK(fixtures!$K342),"",fixtures!$K342)</f>
        <v>1</v>
      </c>
      <c r="IB46" s="36" t="str">
        <f>IF(ISBLANK(fixtures!$L342),"",":")</f>
        <v>:</v>
      </c>
      <c r="IC46" s="127">
        <f>IF(ISBLANK(fixtures!$L342),"",fixtures!$L342)</f>
        <v>0</v>
      </c>
      <c r="ID46" s="36" t="str">
        <f>IF(ISBLANK(fixtures!$L342),"",IF(IA46&gt;IC46,"W",IF(IA46=IC46,"D","L")))</f>
        <v>W</v>
      </c>
      <c r="IE46" s="36"/>
      <c r="IF46" s="36"/>
    </row>
    <row r="47" spans="1:252" x14ac:dyDescent="0.4">
      <c r="A47" s="91">
        <v>14</v>
      </c>
      <c r="B47" s="93" t="s">
        <v>105</v>
      </c>
      <c r="C47" s="277">
        <f ca="1">IFERROR(INDIRECT("fixtures!" &amp; Dashboard!J1 &amp;357) - Dashboard!K1/24,"TBC")</f>
        <v>45060.770833333336</v>
      </c>
      <c r="D47" s="6"/>
      <c r="E47" s="6" t="s">
        <v>4</v>
      </c>
      <c r="F47" s="6" t="s">
        <v>108</v>
      </c>
      <c r="G47" s="91">
        <f>IF(ISBLANK(fixtures!$K357),"",fixtures!$K357)</f>
        <v>0</v>
      </c>
      <c r="H47" s="6" t="str">
        <f>IF(ISBLANK(fixtures!$L357),"",":")</f>
        <v>:</v>
      </c>
      <c r="I47" s="93">
        <f>IF(ISBLANK(fixtures!$L357),"",fixtures!$L357)</f>
        <v>3</v>
      </c>
      <c r="J47" s="6" t="str">
        <f>IF(ISBLANK(fixtures!$L357),"",IF(G47&gt;I47,"W",IF(G47=I47,"D","L")))</f>
        <v>L</v>
      </c>
      <c r="K47" s="6"/>
      <c r="L47" s="6"/>
      <c r="M47" s="282">
        <v>13</v>
      </c>
      <c r="N47" s="283" t="s">
        <v>107</v>
      </c>
      <c r="O47" s="284">
        <f ca="1">IFERROR(INDIRECT("fixtures!" &amp; Dashboard!J1 &amp;350) - Dashboard!K1/24,"TBC")</f>
        <v>45059.708333333336</v>
      </c>
      <c r="P47" s="9"/>
      <c r="Q47" s="9" t="s">
        <v>14</v>
      </c>
      <c r="R47" s="9" t="s">
        <v>108</v>
      </c>
      <c r="S47" s="282">
        <f>IF(ISBLANK(fixtures!$K350),"",fixtures!$K350)</f>
        <v>2</v>
      </c>
      <c r="T47" s="9" t="str">
        <f>IF(ISBLANK(fixtures!$L350),"",":")</f>
        <v>:</v>
      </c>
      <c r="U47" s="283">
        <f>IF(ISBLANK(fixtures!$L350),"",fixtures!$L350)</f>
        <v>1</v>
      </c>
      <c r="V47" s="9" t="str">
        <f>IF(ISBLANK(fixtures!$L350),"",IF(S47&gt;U47,"W",IF(S47=U47,"D","L")))</f>
        <v>W</v>
      </c>
      <c r="W47" s="9"/>
      <c r="X47" s="9"/>
      <c r="Y47" s="290">
        <v>13</v>
      </c>
      <c r="Z47" s="292" t="s">
        <v>107</v>
      </c>
      <c r="AA47" s="291">
        <f ca="1">IFERROR(INDIRECT("fixtures!" &amp; Dashboard!J1 &amp;352) - Dashboard!K1/24,"TBC")</f>
        <v>45059.708333333336</v>
      </c>
      <c r="AB47" s="262"/>
      <c r="AC47" s="262" t="s">
        <v>6</v>
      </c>
      <c r="AD47" s="262" t="s">
        <v>106</v>
      </c>
      <c r="AE47" s="290">
        <f>IF(ISBLANK(fixtures!$L352),"",fixtures!$L352)</f>
        <v>0</v>
      </c>
      <c r="AF47" s="262" t="str">
        <f>IF(ISBLANK(fixtures!$L352),"",":")</f>
        <v>:</v>
      </c>
      <c r="AG47" s="292">
        <f>IF(ISBLANK(fixtures!$K352),"",fixtures!$K352)</f>
        <v>2</v>
      </c>
      <c r="AH47" s="262" t="str">
        <f>IF(ISBLANK(fixtures!$L352),"",IF(AE47&gt;AG47,"W",IF(AE47=AG47,"D","L")))</f>
        <v>L</v>
      </c>
      <c r="AI47" s="262"/>
      <c r="AJ47" s="262"/>
      <c r="AK47" s="411">
        <v>14</v>
      </c>
      <c r="AL47" s="412" t="s">
        <v>105</v>
      </c>
      <c r="AM47" s="413">
        <f ca="1">IFERROR(INDIRECT("fixtures!" &amp; Dashboard!J1 &amp;355) - Dashboard!K1/24,"TBC")</f>
        <v>45060.666666666664</v>
      </c>
      <c r="AN47" s="410"/>
      <c r="AO47" s="410" t="s">
        <v>15</v>
      </c>
      <c r="AP47" s="410" t="s">
        <v>108</v>
      </c>
      <c r="AQ47" s="411">
        <f>IF(ISBLANK(fixtures!$K355),"",fixtures!$K355)</f>
        <v>2</v>
      </c>
      <c r="AR47" s="410" t="str">
        <f>IF(ISBLANK(fixtures!$L355),"",":")</f>
        <v>:</v>
      </c>
      <c r="AS47" s="412">
        <f>IF(ISBLANK(fixtures!$L355),"",fixtures!$L355)</f>
        <v>0</v>
      </c>
      <c r="AT47" s="410" t="str">
        <f>IF(ISBLANK(fixtures!$L355),"",IF(AQ47&gt;AS47,"W",IF(AQ47=AS47,"D","L")))</f>
        <v>W</v>
      </c>
      <c r="AU47" s="410"/>
      <c r="AV47" s="410"/>
      <c r="AW47" s="96">
        <v>21</v>
      </c>
      <c r="AX47" s="98" t="s">
        <v>105</v>
      </c>
      <c r="AY47" s="298">
        <f ca="1">IFERROR(INDIRECT("fixtures!" &amp; Dashboard!J1 &amp;367) - Dashboard!K1/24,"TBC")</f>
        <v>45067.666666666664</v>
      </c>
      <c r="AZ47" s="11"/>
      <c r="BA47" s="11" t="s">
        <v>13</v>
      </c>
      <c r="BB47" s="11" t="s">
        <v>108</v>
      </c>
      <c r="BC47" s="96">
        <f>IF(ISBLANK(fixtures!$K367),"",fixtures!$K367)</f>
        <v>3</v>
      </c>
      <c r="BD47" s="11" t="str">
        <f>IF(ISBLANK(fixtures!$L367),"",":")</f>
        <v>:</v>
      </c>
      <c r="BE47" s="98">
        <f>IF(ISBLANK(fixtures!$L367),"",fixtures!$L367)</f>
        <v>1</v>
      </c>
      <c r="BF47" s="11" t="str">
        <f>IF(ISBLANK(fixtures!$L367),"",IF(BC47&gt;BE47,"W",IF(BC47=BE47,"D","L")))</f>
        <v>W</v>
      </c>
      <c r="BG47" s="11"/>
      <c r="BH47" s="11"/>
      <c r="BI47" s="181">
        <v>21</v>
      </c>
      <c r="BJ47" s="183" t="s">
        <v>105</v>
      </c>
      <c r="BK47" s="304">
        <f ca="1">IFERROR(INDIRECT("fixtures!" &amp; Dashboard!J1 &amp;368) - Dashboard!K1/24,"TBC")</f>
        <v>45067.75</v>
      </c>
      <c r="BL47" s="15"/>
      <c r="BM47" s="15" t="s">
        <v>10</v>
      </c>
      <c r="BN47" s="15" t="s">
        <v>106</v>
      </c>
      <c r="BO47" s="181">
        <f>IF(ISBLANK(fixtures!$L368),"",fixtures!$L368)</f>
        <v>0</v>
      </c>
      <c r="BP47" s="15" t="str">
        <f>IF(ISBLANK(fixtures!$L368),"",":")</f>
        <v>:</v>
      </c>
      <c r="BQ47" s="183">
        <f>IF(ISBLANK(fixtures!$K368),"",fixtures!$K368)</f>
        <v>1</v>
      </c>
      <c r="BR47" s="15" t="str">
        <f>IF(ISBLANK(fixtures!$L368),"",IF(BO47&gt;BQ47,"W",IF(BO47=BQ47,"D","L")))</f>
        <v>L</v>
      </c>
      <c r="BS47" s="15"/>
      <c r="BT47" s="15"/>
      <c r="BU47" s="310">
        <v>13</v>
      </c>
      <c r="BV47" s="311" t="s">
        <v>107</v>
      </c>
      <c r="BW47" s="312">
        <f ca="1">IFERROR(INDIRECT("fixtures!" &amp; Dashboard!J1 &amp;352) - Dashboard!K1/24,"TBC")</f>
        <v>45059.708333333336</v>
      </c>
      <c r="BX47" s="16"/>
      <c r="BY47" s="16" t="s">
        <v>3</v>
      </c>
      <c r="BZ47" s="16" t="s">
        <v>108</v>
      </c>
      <c r="CA47" s="310">
        <f>IF(ISBLANK(fixtures!$K352),"",fixtures!$K352)</f>
        <v>2</v>
      </c>
      <c r="CB47" s="16" t="str">
        <f>IF(ISBLANK(fixtures!$L352),"",":")</f>
        <v>:</v>
      </c>
      <c r="CC47" s="311">
        <f>IF(ISBLANK(fixtures!$L352),"",fixtures!$L352)</f>
        <v>0</v>
      </c>
      <c r="CD47" s="16" t="str">
        <f>IF(ISBLANK(fixtures!$L352),"",IF(CA47&gt;CC47,"W",IF(CA47=CC47,"D","L")))</f>
        <v>W</v>
      </c>
      <c r="CE47" s="16"/>
      <c r="CF47" s="16"/>
      <c r="CG47" s="318">
        <v>14</v>
      </c>
      <c r="CH47" s="319" t="s">
        <v>105</v>
      </c>
      <c r="CI47" s="320">
        <f ca="1">IFERROR(INDIRECT("fixtures!" &amp; Dashboard!J1 &amp;356) - Dashboard!K1/24,"TBC")</f>
        <v>45060.666666666664</v>
      </c>
      <c r="CJ47" s="19"/>
      <c r="CK47" s="19" t="s">
        <v>10</v>
      </c>
      <c r="CL47" s="19" t="s">
        <v>108</v>
      </c>
      <c r="CM47" s="318">
        <f>IF(ISBLANK(fixtures!$K356),"",fixtures!$K356)</f>
        <v>0</v>
      </c>
      <c r="CN47" s="19" t="str">
        <f>IF(ISBLANK(fixtures!$L356),"",":")</f>
        <v>:</v>
      </c>
      <c r="CO47" s="319">
        <f>IF(ISBLANK(fixtures!$L356),"",fixtures!$L356)</f>
        <v>3</v>
      </c>
      <c r="CP47" s="19" t="str">
        <f>IF(ISBLANK(fixtures!$L356),"",IF(CM47&gt;CO47,"W",IF(CM47=CO47,"D","L")))</f>
        <v>L</v>
      </c>
      <c r="CQ47" s="19"/>
      <c r="CR47" s="19"/>
      <c r="CS47" s="326">
        <v>13</v>
      </c>
      <c r="CT47" s="327" t="s">
        <v>107</v>
      </c>
      <c r="CU47" s="328">
        <f ca="1">IFERROR(INDIRECT("fixtures!" &amp; Dashboard!J1 &amp;354) - Dashboard!K1/24,"TBC")</f>
        <v>45059.708333333336</v>
      </c>
      <c r="CV47" s="178"/>
      <c r="CW47" s="178" t="s">
        <v>13</v>
      </c>
      <c r="CX47" s="178" t="s">
        <v>106</v>
      </c>
      <c r="CY47" s="326">
        <f>IF(ISBLANK(fixtures!$L354),"",fixtures!$L354)</f>
        <v>2</v>
      </c>
      <c r="CZ47" s="178" t="str">
        <f>IF(ISBLANK(fixtures!$L354),"",":")</f>
        <v>:</v>
      </c>
      <c r="DA47" s="327">
        <f>IF(ISBLANK(fixtures!$K354),"",fixtures!$K354)</f>
        <v>0</v>
      </c>
      <c r="DB47" s="178" t="str">
        <f>IF(ISBLANK(fixtures!$L354),"",IF(CY47&gt;DA47,"W",IF(CY47=DA47,"D","L")))</f>
        <v>W</v>
      </c>
      <c r="DC47" s="178"/>
      <c r="DD47" s="178"/>
      <c r="DE47" s="334">
        <v>13</v>
      </c>
      <c r="DF47" s="335" t="s">
        <v>107</v>
      </c>
      <c r="DG47" s="336">
        <f ca="1">IFERROR(INDIRECT("fixtures!" &amp; Dashboard!J1 &amp;349) - Dashboard!K1/24,"TBC")</f>
        <v>45059.604166666664</v>
      </c>
      <c r="DH47" s="177"/>
      <c r="DI47" s="177" t="s">
        <v>12</v>
      </c>
      <c r="DJ47" s="177" t="s">
        <v>108</v>
      </c>
      <c r="DK47" s="334">
        <f>IF(ISBLANK(fixtures!$K349),"",fixtures!$K349)</f>
        <v>2</v>
      </c>
      <c r="DL47" s="177" t="str">
        <f>IF(ISBLANK(fixtures!$L349),"",":")</f>
        <v>:</v>
      </c>
      <c r="DM47" s="335">
        <f>IF(ISBLANK(fixtures!$L349),"",fixtures!$L349)</f>
        <v>2</v>
      </c>
      <c r="DN47" s="177" t="str">
        <f>IF(ISBLANK(fixtures!$L349),"",IF(DK47&gt;DM47,"W",IF(DK47=DM47,"D","L")))</f>
        <v>D</v>
      </c>
      <c r="DO47" s="177"/>
      <c r="DP47" s="177"/>
      <c r="DQ47" s="341">
        <v>15</v>
      </c>
      <c r="DR47" s="342" t="s">
        <v>109</v>
      </c>
      <c r="DS47" s="343">
        <f ca="1">IFERROR(INDIRECT("fixtures!" &amp; Dashboard!J1 &amp;358) - Dashboard!K1/24,"TBC")</f>
        <v>45061.916666666664</v>
      </c>
      <c r="DT47" s="21"/>
      <c r="DU47" s="21" t="s">
        <v>9</v>
      </c>
      <c r="DV47" s="21" t="s">
        <v>108</v>
      </c>
      <c r="DW47" s="341">
        <f>IF(ISBLANK(fixtures!$K358),"",fixtures!$K358)</f>
        <v>0</v>
      </c>
      <c r="DX47" s="21" t="str">
        <f>IF(ISBLANK(fixtures!$L358),"",":")</f>
        <v>:</v>
      </c>
      <c r="DY47" s="342">
        <f>IF(ISBLANK(fixtures!$L358),"",fixtures!$L358)</f>
        <v>3</v>
      </c>
      <c r="DZ47" s="21" t="str">
        <f>IF(ISBLANK(fixtures!$L358),"",IF(DW47&gt;DY47,"W",IF(DW47=DY47,"D","L")))</f>
        <v>L</v>
      </c>
      <c r="EA47" s="21"/>
      <c r="EB47" s="21"/>
      <c r="EC47" s="270">
        <v>15</v>
      </c>
      <c r="ED47" s="272" t="s">
        <v>109</v>
      </c>
      <c r="EE47" s="349">
        <f ca="1">IFERROR(INDIRECT("fixtures!" &amp; Dashboard!J1 &amp;358) - Dashboard!K1/24,"TBC")</f>
        <v>45061.916666666664</v>
      </c>
      <c r="EF47" s="23"/>
      <c r="EG47" s="23" t="s">
        <v>8</v>
      </c>
      <c r="EH47" s="23" t="s">
        <v>106</v>
      </c>
      <c r="EI47" s="270">
        <f>IF(ISBLANK(fixtures!$L358),"",fixtures!$L358)</f>
        <v>3</v>
      </c>
      <c r="EJ47" s="23" t="str">
        <f>IF(ISBLANK(fixtures!$L358),"",":")</f>
        <v>:</v>
      </c>
      <c r="EK47" s="272">
        <f>IF(ISBLANK(fixtures!$K358),"",fixtures!$K358)</f>
        <v>0</v>
      </c>
      <c r="EL47" s="23" t="str">
        <f>IF(ISBLANK(fixtures!$L358),"",IF(EI47&gt;EK47,"W",IF(EI47=EK47,"D","L")))</f>
        <v>W</v>
      </c>
      <c r="EM47" s="23"/>
      <c r="EN47" s="23"/>
      <c r="EO47" s="105">
        <v>21</v>
      </c>
      <c r="EP47" s="107" t="s">
        <v>105</v>
      </c>
      <c r="EQ47" s="355">
        <f ca="1">IFERROR(INDIRECT("fixtures!" &amp; Dashboard!J1 &amp;368) - Dashboard!K1/24,"TBC")</f>
        <v>45067.75</v>
      </c>
      <c r="ER47" s="25"/>
      <c r="ES47" s="25" t="s">
        <v>5</v>
      </c>
      <c r="ET47" s="25" t="s">
        <v>108</v>
      </c>
      <c r="EU47" s="105">
        <f>IF(ISBLANK(fixtures!$K368),"",fixtures!$K368)</f>
        <v>1</v>
      </c>
      <c r="EV47" s="25" t="str">
        <f>IF(ISBLANK(fixtures!$L368),"",":")</f>
        <v>:</v>
      </c>
      <c r="EW47" s="107">
        <f>IF(ISBLANK(fixtures!$L368),"",fixtures!$L368)</f>
        <v>0</v>
      </c>
      <c r="EX47" s="25" t="str">
        <f>IF(ISBLANK(fixtures!$L368),"",IF(EU47&gt;EW47,"W",IF(EU47=EW47,"D","L")))</f>
        <v>W</v>
      </c>
      <c r="EY47" s="25"/>
      <c r="EZ47" s="25"/>
      <c r="FA47" s="361">
        <v>20</v>
      </c>
      <c r="FB47" s="362" t="s">
        <v>107</v>
      </c>
      <c r="FC47" s="363">
        <f ca="1">IFERROR(INDIRECT("fixtures!" &amp; Dashboard!J1 &amp;361) - Dashboard!K1/24,"TBC")</f>
        <v>45066.708333333336</v>
      </c>
      <c r="FD47" s="27"/>
      <c r="FE47" s="27" t="s">
        <v>3</v>
      </c>
      <c r="FF47" s="27" t="s">
        <v>106</v>
      </c>
      <c r="FG47" s="361">
        <f>IF(ISBLANK(fixtures!$L361),"",fixtures!$L361)</f>
        <v>1</v>
      </c>
      <c r="FH47" s="27" t="str">
        <f>IF(ISBLANK(fixtures!$L361),"",":")</f>
        <v>:</v>
      </c>
      <c r="FI47" s="362">
        <f>IF(ISBLANK(fixtures!$K361),"",fixtures!$K361)</f>
        <v>0</v>
      </c>
      <c r="FJ47" s="27" t="str">
        <f>IF(ISBLANK(fixtures!$L361),"",IF(FG47&gt;FI47,"W",IF(FG47=FI47,"D","L")))</f>
        <v>W</v>
      </c>
      <c r="FK47" s="27"/>
      <c r="FL47" s="27"/>
      <c r="FM47" s="110">
        <v>18</v>
      </c>
      <c r="FN47" s="112" t="s">
        <v>582</v>
      </c>
      <c r="FO47" s="369">
        <f ca="1">IFERROR(INDIRECT("fixtures!" &amp; Dashboard!J1 &amp;359) - Dashboard!K1/24,"TBC")</f>
        <v>45064.895833333336</v>
      </c>
      <c r="FP47" s="29"/>
      <c r="FQ47" s="29" t="s">
        <v>4</v>
      </c>
      <c r="FR47" s="29" t="s">
        <v>108</v>
      </c>
      <c r="FS47" s="110">
        <f>IF(ISBLANK(fixtures!$K359),"",fixtures!$K359)</f>
        <v>4</v>
      </c>
      <c r="FT47" s="29" t="str">
        <f>IF(ISBLANK(fixtures!$L359),"",":")</f>
        <v>:</v>
      </c>
      <c r="FU47" s="112">
        <f>IF(ISBLANK(fixtures!$L359),"",fixtures!$L359)</f>
        <v>1</v>
      </c>
      <c r="FV47" s="29" t="str">
        <f>IF(ISBLANK(fixtures!$L359),"",IF(FS47&gt;FU47,"W",IF(FS47=FU47,"D","L")))</f>
        <v>W</v>
      </c>
      <c r="FW47" s="29"/>
      <c r="FX47" s="29"/>
      <c r="FY47" s="375">
        <v>13</v>
      </c>
      <c r="FZ47" s="376" t="s">
        <v>107</v>
      </c>
      <c r="GA47" s="377">
        <f ca="1">IFERROR(INDIRECT("fixtures!" &amp; Dashboard!J1 &amp;351) - Dashboard!K1/24,"TBC")</f>
        <v>45059.708333333336</v>
      </c>
      <c r="GB47" s="264"/>
      <c r="GC47" s="264" t="s">
        <v>5</v>
      </c>
      <c r="GD47" s="264" t="s">
        <v>106</v>
      </c>
      <c r="GE47" s="375">
        <f>IF(ISBLANK(fixtures!$L351),"",fixtures!$L351)</f>
        <v>2</v>
      </c>
      <c r="GF47" s="264" t="str">
        <f>IF(ISBLANK(fixtures!$L351),"",":")</f>
        <v>:</v>
      </c>
      <c r="GG47" s="376">
        <f>IF(ISBLANK(fixtures!$K351),"",fixtures!$K351)</f>
        <v>2</v>
      </c>
      <c r="GH47" s="264" t="str">
        <f>IF(ISBLANK(fixtures!$L351),"",IF(GE47&gt;GG47,"W",IF(GE47=GG47,"D","L")))</f>
        <v>D</v>
      </c>
      <c r="GI47" s="264"/>
      <c r="GJ47" s="264"/>
      <c r="GK47" s="382">
        <v>13</v>
      </c>
      <c r="GL47" s="383" t="s">
        <v>107</v>
      </c>
      <c r="GM47" s="384">
        <f ca="1">IFERROR(INDIRECT("fixtures!" &amp; Dashboard!J1 &amp;354) - Dashboard!K1/24,"TBC")</f>
        <v>45059.708333333336</v>
      </c>
      <c r="GN47" s="30"/>
      <c r="GO47" s="30" t="s">
        <v>126</v>
      </c>
      <c r="GP47" s="30" t="s">
        <v>108</v>
      </c>
      <c r="GQ47" s="382">
        <f>IF(ISBLANK(fixtures!$K354),"",fixtures!$K354)</f>
        <v>0</v>
      </c>
      <c r="GR47" s="30" t="str">
        <f>IF(ISBLANK(fixtures!$L354),"",":")</f>
        <v>:</v>
      </c>
      <c r="GS47" s="383">
        <f>IF(ISBLANK(fixtures!$L354),"",fixtures!$L354)</f>
        <v>2</v>
      </c>
      <c r="GT47" s="30" t="str">
        <f>IF(ISBLANK(fixtures!$L354),"",IF(GQ47&gt;GS47,"W",IF(GQ47=GS47,"D","L")))</f>
        <v>L</v>
      </c>
      <c r="GU47" s="30"/>
      <c r="GV47" s="30"/>
      <c r="GW47" s="115">
        <v>13</v>
      </c>
      <c r="GX47" s="117" t="s">
        <v>107</v>
      </c>
      <c r="GY47" s="390">
        <f ca="1">IFERROR(INDIRECT("fixtures!" &amp; Dashboard!J1 &amp;350) - Dashboard!K1/24,"TBC")</f>
        <v>45059.708333333336</v>
      </c>
      <c r="GZ47" s="32"/>
      <c r="HA47" s="32" t="s">
        <v>2</v>
      </c>
      <c r="HB47" s="32" t="s">
        <v>106</v>
      </c>
      <c r="HC47" s="115">
        <f>IF(ISBLANK(fixtures!$L350),"",fixtures!$L350)</f>
        <v>1</v>
      </c>
      <c r="HD47" s="32" t="str">
        <f>IF(ISBLANK(fixtures!$L350),"",":")</f>
        <v>:</v>
      </c>
      <c r="HE47" s="117">
        <f>IF(ISBLANK(fixtures!$K350),"",fixtures!$K350)</f>
        <v>2</v>
      </c>
      <c r="HF47" s="32" t="str">
        <f>IF(ISBLANK(fixtures!$L350),"",IF(HC47&gt;HE47,"W",IF(HC47=HE47,"D","L")))</f>
        <v>L</v>
      </c>
      <c r="HG47" s="32"/>
      <c r="HH47" s="32"/>
      <c r="HI47" s="120">
        <v>14</v>
      </c>
      <c r="HJ47" s="122" t="s">
        <v>105</v>
      </c>
      <c r="HK47" s="396">
        <f ca="1">IFERROR(INDIRECT("fixtures!" &amp; Dashboard!J1 &amp;355) - Dashboard!K1/24,"TBC")</f>
        <v>45060.666666666664</v>
      </c>
      <c r="HL47" s="34"/>
      <c r="HM47" s="34" t="s">
        <v>125</v>
      </c>
      <c r="HN47" s="34" t="s">
        <v>106</v>
      </c>
      <c r="HO47" s="120">
        <f>IF(ISBLANK(fixtures!$L355),"",fixtures!$L355)</f>
        <v>0</v>
      </c>
      <c r="HP47" s="34" t="str">
        <f>IF(ISBLANK(fixtures!$L355),"",":")</f>
        <v>:</v>
      </c>
      <c r="HQ47" s="122">
        <f>IF(ISBLANK(fixtures!$K355),"",fixtures!$K355)</f>
        <v>2</v>
      </c>
      <c r="HR47" s="34" t="str">
        <f>IF(ISBLANK(fixtures!$L355),"",IF(HO47&gt;HQ47,"W",IF(HO47=HQ47,"D","L")))</f>
        <v>L</v>
      </c>
      <c r="HS47" s="34"/>
      <c r="HT47" s="34"/>
      <c r="HU47" s="125">
        <v>13</v>
      </c>
      <c r="HV47" s="127" t="s">
        <v>107</v>
      </c>
      <c r="HW47" s="402">
        <f ca="1">IFERROR(INDIRECT("fixtures!" &amp; Dashboard!J1 &amp;353) - Dashboard!K1/24,"TBC")</f>
        <v>45059.708333333336</v>
      </c>
      <c r="HX47" s="36"/>
      <c r="HY47" s="36" t="s">
        <v>11</v>
      </c>
      <c r="HZ47" s="36" t="s">
        <v>106</v>
      </c>
      <c r="IA47" s="125">
        <f>IF(ISBLANK(fixtures!$L353),"",fixtures!$L353)</f>
        <v>0</v>
      </c>
      <c r="IB47" s="36" t="str">
        <f>IF(ISBLANK(fixtures!$L353),"",":")</f>
        <v>:</v>
      </c>
      <c r="IC47" s="127">
        <f>IF(ISBLANK(fixtures!$K353),"",fixtures!$K353)</f>
        <v>2</v>
      </c>
      <c r="ID47" s="36" t="str">
        <f>IF(ISBLANK(fixtures!$L353),"",IF(IA47&gt;IC47,"W",IF(IA47=IC47,"D","L")))</f>
        <v>L</v>
      </c>
      <c r="IE47" s="36"/>
      <c r="IF47" s="36"/>
    </row>
    <row r="48" spans="1:252" x14ac:dyDescent="0.4">
      <c r="A48" s="91">
        <v>20</v>
      </c>
      <c r="B48" s="93" t="s">
        <v>107</v>
      </c>
      <c r="C48" s="277">
        <f ca="1">IFERROR(INDIRECT("fixtures!" &amp; Dashboard!J1 &amp;365) - Dashboard!K1/24,"TBC")</f>
        <v>45066.8125</v>
      </c>
      <c r="D48" s="6"/>
      <c r="E48" s="6" t="s">
        <v>204</v>
      </c>
      <c r="F48" s="6" t="s">
        <v>106</v>
      </c>
      <c r="G48" s="91">
        <f>IF(ISBLANK(fixtures!$L365),"",fixtures!$L365)</f>
        <v>0</v>
      </c>
      <c r="H48" s="6" t="str">
        <f>IF(ISBLANK(fixtures!$L365),"",":")</f>
        <v>:</v>
      </c>
      <c r="I48" s="93">
        <f>IF(ISBLANK(fixtures!$K365),"",fixtures!$K365)</f>
        <v>1</v>
      </c>
      <c r="J48" s="6" t="str">
        <f>IF(ISBLANK(fixtures!$L365),"",IF(G48&gt;I48,"W",IF(G48=I48,"D","L")))</f>
        <v>L</v>
      </c>
      <c r="K48" s="6"/>
      <c r="L48" s="6"/>
      <c r="M48" s="282">
        <v>20</v>
      </c>
      <c r="N48" s="283" t="s">
        <v>107</v>
      </c>
      <c r="O48" s="284">
        <f ca="1">IFERROR(INDIRECT("fixtures!" &amp; Dashboard!J1 &amp;363) - Dashboard!K1/24,"TBC")</f>
        <v>45066.708333333336</v>
      </c>
      <c r="P48" s="9"/>
      <c r="Q48" s="9" t="s">
        <v>9</v>
      </c>
      <c r="R48" s="9" t="s">
        <v>106</v>
      </c>
      <c r="S48" s="282">
        <f>IF(ISBLANK(fixtures!$L363),"",fixtures!$L363)</f>
        <v>1</v>
      </c>
      <c r="T48" s="9" t="str">
        <f>IF(ISBLANK(fixtures!$L363),"",":")</f>
        <v>:</v>
      </c>
      <c r="U48" s="283">
        <f>IF(ISBLANK(fixtures!$K363),"",fixtures!$K363)</f>
        <v>1</v>
      </c>
      <c r="V48" s="9" t="str">
        <f>IF(ISBLANK(fixtures!$L363),"",IF(S48&gt;U48,"W",IF(S48=U48,"D","L")))</f>
        <v>D</v>
      </c>
      <c r="W48" s="9"/>
      <c r="X48" s="9"/>
      <c r="Y48" s="290">
        <v>20</v>
      </c>
      <c r="Z48" s="292" t="s">
        <v>107</v>
      </c>
      <c r="AA48" s="291">
        <f ca="1">IFERROR(INDIRECT("fixtures!" &amp; Dashboard!J1 &amp;361) - Dashboard!K1/24,"TBC")</f>
        <v>45066.708333333336</v>
      </c>
      <c r="AB48" s="262"/>
      <c r="AC48" s="262" t="s">
        <v>11</v>
      </c>
      <c r="AD48" s="262" t="s">
        <v>108</v>
      </c>
      <c r="AE48" s="290">
        <f>IF(ISBLANK(fixtures!$K361),"",fixtures!$K361)</f>
        <v>0</v>
      </c>
      <c r="AF48" s="262" t="str">
        <f>IF(ISBLANK(fixtures!$L361),"",":")</f>
        <v>:</v>
      </c>
      <c r="AG48" s="292">
        <f>IF(ISBLANK(fixtures!$L361),"",fixtures!$L361)</f>
        <v>1</v>
      </c>
      <c r="AH48" s="262" t="str">
        <f>IF(ISBLANK(fixtures!$L361),"",IF(AE48&gt;AG48,"W",IF(AE48=AG48,"D","L")))</f>
        <v>L</v>
      </c>
      <c r="AI48" s="262"/>
      <c r="AJ48" s="262"/>
      <c r="AK48" s="411">
        <v>20</v>
      </c>
      <c r="AL48" s="412" t="s">
        <v>107</v>
      </c>
      <c r="AM48" s="413">
        <f ca="1">IFERROR(INDIRECT("fixtures!" &amp; Dashboard!J1 &amp;360) - Dashboard!K1/24,"TBC")</f>
        <v>45066.604166666664</v>
      </c>
      <c r="AN48" s="410"/>
      <c r="AO48" s="410" t="s">
        <v>14</v>
      </c>
      <c r="AP48" s="410" t="s">
        <v>106</v>
      </c>
      <c r="AQ48" s="411">
        <f>IF(ISBLANK(fixtures!$L360),"",fixtures!$L360)</f>
        <v>3</v>
      </c>
      <c r="AR48" s="410" t="str">
        <f>IF(ISBLANK(fixtures!$L360),"",":")</f>
        <v>:</v>
      </c>
      <c r="AS48" s="412">
        <f>IF(ISBLANK(fixtures!$K360),"",fixtures!$K360)</f>
        <v>1</v>
      </c>
      <c r="AT48" s="410" t="str">
        <f>IF(ISBLANK(fixtures!$L360),"",IF(AQ48&gt;AS48,"W",IF(AQ48=AS48,"D","L")))</f>
        <v>W</v>
      </c>
      <c r="AU48" s="410"/>
      <c r="AV48" s="410"/>
      <c r="AW48" s="96">
        <v>24</v>
      </c>
      <c r="AX48" s="98" t="s">
        <v>110</v>
      </c>
      <c r="AY48" s="298">
        <f ca="1">IFERROR(INDIRECT("fixtures!" &amp; Dashboard!J1 &amp;370) - Dashboard!K1/24,"TBC")</f>
        <v>45070.916666666664</v>
      </c>
      <c r="AZ48" s="11"/>
      <c r="BA48" s="11" t="s">
        <v>10</v>
      </c>
      <c r="BB48" s="11" t="s">
        <v>108</v>
      </c>
      <c r="BC48" s="96">
        <f>IF(ISBLANK(fixtures!$K370),"",fixtures!$K370)</f>
        <v>1</v>
      </c>
      <c r="BD48" s="11" t="str">
        <f>IF(ISBLANK(fixtures!$L370),"",":")</f>
        <v>:</v>
      </c>
      <c r="BE48" s="98">
        <f>IF(ISBLANK(fixtures!$L370),"",fixtures!$L370)</f>
        <v>1</v>
      </c>
      <c r="BF48" s="11" t="str">
        <f>IF(ISBLANK(fixtures!$L370),"",IF(BC48&gt;BE48,"W",IF(BC48=BE48,"D","L")))</f>
        <v>D</v>
      </c>
      <c r="BG48" s="11"/>
      <c r="BH48" s="11"/>
      <c r="BI48" s="181">
        <v>25</v>
      </c>
      <c r="BJ48" s="183" t="s">
        <v>582</v>
      </c>
      <c r="BK48" s="304">
        <f ca="1">IFERROR(INDIRECT("fixtures!" &amp; Dashboard!J1 &amp;371) - Dashboard!K1/24,"TBC")</f>
        <v>45071.916666666664</v>
      </c>
      <c r="BL48" s="15"/>
      <c r="BM48" s="15" t="s">
        <v>11</v>
      </c>
      <c r="BN48" s="15" t="s">
        <v>106</v>
      </c>
      <c r="BO48" s="181">
        <f>IF(ISBLANK(fixtures!$L371),"",fixtures!$L371)</f>
        <v>1</v>
      </c>
      <c r="BP48" s="15" t="str">
        <f>IF(ISBLANK(fixtures!$L371),"",":")</f>
        <v>:</v>
      </c>
      <c r="BQ48" s="183">
        <f>IF(ISBLANK(fixtures!$K371),"",fixtures!$K371)</f>
        <v>4</v>
      </c>
      <c r="BR48" s="15" t="str">
        <f>IF(ISBLANK(fixtures!$L371),"",IF(BO48&gt;BQ48,"W",IF(BO48=BQ48,"D","L")))</f>
        <v>L</v>
      </c>
      <c r="BS48" s="15"/>
      <c r="BT48" s="15"/>
      <c r="BU48" s="310">
        <v>20</v>
      </c>
      <c r="BV48" s="311" t="s">
        <v>107</v>
      </c>
      <c r="BW48" s="312">
        <f ca="1">IFERROR(INDIRECT("fixtures!" &amp; Dashboard!J1 &amp;362) - Dashboard!K1/24,"TBC")</f>
        <v>45066.708333333336</v>
      </c>
      <c r="BX48" s="16"/>
      <c r="BY48" s="16" t="s">
        <v>126</v>
      </c>
      <c r="BZ48" s="16" t="s">
        <v>106</v>
      </c>
      <c r="CA48" s="310">
        <f>IF(ISBLANK(fixtures!$L362),"",fixtures!$L362)</f>
        <v>2</v>
      </c>
      <c r="CB48" s="16" t="str">
        <f>IF(ISBLANK(fixtures!$L362),"",":")</f>
        <v>:</v>
      </c>
      <c r="CC48" s="311">
        <f>IF(ISBLANK(fixtures!$K362),"",fixtures!$K362)</f>
        <v>2</v>
      </c>
      <c r="CD48" s="16" t="str">
        <f>IF(ISBLANK(fixtures!$L362),"",IF(CA48&gt;CC48,"W",IF(CA48=CC48,"D","L")))</f>
        <v>D</v>
      </c>
      <c r="CE48" s="16"/>
      <c r="CF48" s="16"/>
      <c r="CG48" s="318">
        <v>20</v>
      </c>
      <c r="CH48" s="319" t="s">
        <v>107</v>
      </c>
      <c r="CI48" s="320">
        <f ca="1">IFERROR(INDIRECT("fixtures!" &amp; Dashboard!J1 &amp;364) - Dashboard!K1/24,"TBC")</f>
        <v>45066.708333333336</v>
      </c>
      <c r="CJ48" s="19"/>
      <c r="CK48" s="19" t="s">
        <v>16</v>
      </c>
      <c r="CL48" s="19" t="s">
        <v>106</v>
      </c>
      <c r="CM48" s="318">
        <f>IF(ISBLANK(fixtures!$L364),"",fixtures!$L364)</f>
        <v>1</v>
      </c>
      <c r="CN48" s="19" t="str">
        <f>IF(ISBLANK(fixtures!$L364),"",":")</f>
        <v>:</v>
      </c>
      <c r="CO48" s="319">
        <f>IF(ISBLANK(fixtures!$K364),"",fixtures!$K364)</f>
        <v>1</v>
      </c>
      <c r="CP48" s="19" t="str">
        <f>IF(ISBLANK(fixtures!$L364),"",IF(CM48&gt;CO48,"W",IF(CM48=CO48,"D","L")))</f>
        <v>D</v>
      </c>
      <c r="CQ48" s="19"/>
      <c r="CR48" s="19"/>
      <c r="CS48" s="326">
        <v>20</v>
      </c>
      <c r="CT48" s="327" t="s">
        <v>107</v>
      </c>
      <c r="CU48" s="328">
        <f ca="1">IFERROR(INDIRECT("fixtures!" &amp; Dashboard!J1 &amp;362) - Dashboard!K1/24,"TBC")</f>
        <v>45066.708333333336</v>
      </c>
      <c r="CV48" s="178"/>
      <c r="CW48" s="178" t="s">
        <v>6</v>
      </c>
      <c r="CX48" s="178" t="s">
        <v>108</v>
      </c>
      <c r="CY48" s="326">
        <f>IF(ISBLANK(fixtures!$K362),"",fixtures!$K362)</f>
        <v>2</v>
      </c>
      <c r="CZ48" s="178" t="str">
        <f>IF(ISBLANK(fixtures!$L362),"",":")</f>
        <v>:</v>
      </c>
      <c r="DA48" s="327">
        <f>IF(ISBLANK(fixtures!$L362),"",fixtures!$L362)</f>
        <v>2</v>
      </c>
      <c r="DB48" s="178" t="str">
        <f>IF(ISBLANK(fixtures!$L362),"",IF(CY48&gt;DA48,"W",IF(CY48=DA48,"D","L")))</f>
        <v>D</v>
      </c>
      <c r="DC48" s="178"/>
      <c r="DD48" s="178"/>
      <c r="DE48" s="334">
        <v>21</v>
      </c>
      <c r="DF48" s="335" t="s">
        <v>105</v>
      </c>
      <c r="DG48" s="336">
        <f ca="1">IFERROR(INDIRECT("fixtures!" &amp; Dashboard!J1 &amp;366) - Dashboard!K1/24,"TBC")</f>
        <v>45067.645833333336</v>
      </c>
      <c r="DH48" s="177"/>
      <c r="DI48" s="177" t="s">
        <v>15</v>
      </c>
      <c r="DJ48" s="177" t="s">
        <v>106</v>
      </c>
      <c r="DK48" s="334">
        <f>IF(ISBLANK(fixtures!$L366),"",fixtures!$L366)</f>
        <v>1</v>
      </c>
      <c r="DL48" s="177" t="str">
        <f>IF(ISBLANK(fixtures!$L366),"",":")</f>
        <v>:</v>
      </c>
      <c r="DM48" s="335">
        <f>IF(ISBLANK(fixtures!$K366),"",fixtures!$K366)</f>
        <v>3</v>
      </c>
      <c r="DN48" s="177" t="str">
        <f>IF(ISBLANK(fixtures!$L366),"",IF(DK48&gt;DM48,"W",IF(DK48=DM48,"D","L")))</f>
        <v>L</v>
      </c>
      <c r="DO48" s="177"/>
      <c r="DP48" s="177"/>
      <c r="DQ48" s="341">
        <v>22</v>
      </c>
      <c r="DR48" s="342" t="s">
        <v>109</v>
      </c>
      <c r="DS48" s="343">
        <f ca="1">IFERROR(INDIRECT("fixtures!" &amp; Dashboard!J1 &amp;369) - Dashboard!K1/24,"TBC")</f>
        <v>45068.916666666664</v>
      </c>
      <c r="DT48" s="21"/>
      <c r="DU48" s="21" t="s">
        <v>12</v>
      </c>
      <c r="DV48" s="21" t="s">
        <v>106</v>
      </c>
      <c r="DW48" s="341">
        <f>IF(ISBLANK(fixtures!$L369),"",fixtures!$L369)</f>
        <v>0</v>
      </c>
      <c r="DX48" s="21" t="str">
        <f>IF(ISBLANK(fixtures!$L369),"",":")</f>
        <v>:</v>
      </c>
      <c r="DY48" s="342">
        <f>IF(ISBLANK(fixtures!$K369),"",fixtures!$K369)</f>
        <v>0</v>
      </c>
      <c r="DZ48" s="21" t="str">
        <f>IF(ISBLANK(fixtures!$L369),"",IF(DW48&gt;DY48,"W",IF(DW48=DY48,"D","L")))</f>
        <v>D</v>
      </c>
      <c r="EA48" s="21"/>
      <c r="EB48" s="21"/>
      <c r="EC48" s="270">
        <v>20</v>
      </c>
      <c r="ED48" s="272" t="s">
        <v>107</v>
      </c>
      <c r="EE48" s="349">
        <f ca="1">IFERROR(INDIRECT("fixtures!" &amp; Dashboard!J1 &amp;363) - Dashboard!K1/24,"TBC")</f>
        <v>45066.708333333336</v>
      </c>
      <c r="EF48" s="23"/>
      <c r="EG48" s="23" t="s">
        <v>2</v>
      </c>
      <c r="EH48" s="23" t="s">
        <v>108</v>
      </c>
      <c r="EI48" s="270">
        <f>IF(ISBLANK(fixtures!$K363),"",fixtures!$K363)</f>
        <v>1</v>
      </c>
      <c r="EJ48" s="23" t="str">
        <f>IF(ISBLANK(fixtures!$L363),"",":")</f>
        <v>:</v>
      </c>
      <c r="EK48" s="272">
        <f>IF(ISBLANK(fixtures!$L363),"",fixtures!$L363)</f>
        <v>1</v>
      </c>
      <c r="EL48" s="23" t="str">
        <f>IF(ISBLANK(fixtures!$L363),"",IF(EI48&gt;EK48,"W",IF(EI48=EK48,"D","L")))</f>
        <v>D</v>
      </c>
      <c r="EM48" s="23"/>
      <c r="EN48" s="23"/>
      <c r="EO48" s="105">
        <v>24</v>
      </c>
      <c r="EP48" s="107" t="s">
        <v>110</v>
      </c>
      <c r="EQ48" s="355">
        <f ca="1">IFERROR(INDIRECT("fixtures!" &amp; Dashboard!J1 &amp;370) - Dashboard!K1/24,"TBC")</f>
        <v>45070.916666666664</v>
      </c>
      <c r="ER48" s="25"/>
      <c r="ES48" s="25" t="s">
        <v>4</v>
      </c>
      <c r="ET48" s="25" t="s">
        <v>106</v>
      </c>
      <c r="EU48" s="105">
        <f>IF(ISBLANK(fixtures!$L370),"",fixtures!$L370)</f>
        <v>1</v>
      </c>
      <c r="EV48" s="25" t="str">
        <f>IF(ISBLANK(fixtures!$L370),"",":")</f>
        <v>:</v>
      </c>
      <c r="EW48" s="107">
        <f>IF(ISBLANK(fixtures!$K370),"",fixtures!$K370)</f>
        <v>1</v>
      </c>
      <c r="EX48" s="25" t="str">
        <f>IF(ISBLANK(fixtures!$L370),"",IF(EU48&gt;EW48,"W",IF(EU48=EW48,"D","L")))</f>
        <v>D</v>
      </c>
      <c r="EY48" s="25"/>
      <c r="EZ48" s="25"/>
      <c r="FA48" s="361">
        <v>25</v>
      </c>
      <c r="FB48" s="362" t="s">
        <v>582</v>
      </c>
      <c r="FC48" s="363">
        <f ca="1">IFERROR(INDIRECT("fixtures!" &amp; Dashboard!J1 &amp;371) - Dashboard!K1/24,"TBC")</f>
        <v>45071.916666666664</v>
      </c>
      <c r="FD48" s="27"/>
      <c r="FE48" s="27" t="s">
        <v>5</v>
      </c>
      <c r="FF48" s="27" t="s">
        <v>108</v>
      </c>
      <c r="FG48" s="361">
        <f>IF(ISBLANK(fixtures!$K371),"",fixtures!$K371)</f>
        <v>4</v>
      </c>
      <c r="FH48" s="27" t="str">
        <f>IF(ISBLANK(fixtures!$L371),"",":")</f>
        <v>:</v>
      </c>
      <c r="FI48" s="362">
        <f>IF(ISBLANK(fixtures!$L371),"",fixtures!$L371)</f>
        <v>1</v>
      </c>
      <c r="FJ48" s="27" t="str">
        <f>IF(ISBLANK(fixtures!$L371),"",IF(FG48&gt;FI48,"W",IF(FG48=FI48,"D","L")))</f>
        <v>W</v>
      </c>
      <c r="FK48" s="27"/>
      <c r="FL48" s="27"/>
      <c r="FM48" s="110">
        <v>22</v>
      </c>
      <c r="FN48" s="112" t="s">
        <v>109</v>
      </c>
      <c r="FO48" s="369">
        <f ca="1">IFERROR(INDIRECT("fixtures!" &amp; Dashboard!J1 &amp;369) - Dashboard!K1/24,"TBC")</f>
        <v>45068.916666666664</v>
      </c>
      <c r="FP48" s="29"/>
      <c r="FQ48" s="29" t="s">
        <v>8</v>
      </c>
      <c r="FR48" s="29" t="s">
        <v>108</v>
      </c>
      <c r="FS48" s="110">
        <f>IF(ISBLANK(fixtures!$K369),"",fixtures!$K369)</f>
        <v>0</v>
      </c>
      <c r="FT48" s="29" t="str">
        <f>IF(ISBLANK(fixtures!$L369),"",":")</f>
        <v>:</v>
      </c>
      <c r="FU48" s="112">
        <f>IF(ISBLANK(fixtures!$L369),"",fixtures!$L369)</f>
        <v>0</v>
      </c>
      <c r="FV48" s="29" t="str">
        <f>IF(ISBLANK(fixtures!$L369),"",IF(FS48&gt;FU48,"W",IF(FS48=FU48,"D","L")))</f>
        <v>D</v>
      </c>
      <c r="FW48" s="29"/>
      <c r="FX48" s="29"/>
      <c r="FY48" s="375">
        <v>20</v>
      </c>
      <c r="FZ48" s="376" t="s">
        <v>107</v>
      </c>
      <c r="GA48" s="377">
        <f ca="1">IFERROR(INDIRECT("fixtures!" &amp; Dashboard!J1 &amp;365) - Dashboard!K1/24,"TBC")</f>
        <v>45066.8125</v>
      </c>
      <c r="GB48" s="264"/>
      <c r="GC48" s="264" t="s">
        <v>1</v>
      </c>
      <c r="GD48" s="264" t="s">
        <v>108</v>
      </c>
      <c r="GE48" s="375">
        <f>IF(ISBLANK(fixtures!$K365),"",fixtures!$K365)</f>
        <v>1</v>
      </c>
      <c r="GF48" s="264" t="str">
        <f>IF(ISBLANK(fixtures!$L365),"",":")</f>
        <v>:</v>
      </c>
      <c r="GG48" s="376">
        <f>IF(ISBLANK(fixtures!$L365),"",fixtures!$L365)</f>
        <v>0</v>
      </c>
      <c r="GH48" s="264" t="str">
        <f>IF(ISBLANK(fixtures!$L365),"",IF(GE48&gt;GG48,"W",IF(GE48=GG48,"D","L")))</f>
        <v>W</v>
      </c>
      <c r="GI48" s="264"/>
      <c r="GJ48" s="264"/>
      <c r="GK48" s="382">
        <v>21</v>
      </c>
      <c r="GL48" s="383" t="s">
        <v>105</v>
      </c>
      <c r="GM48" s="384">
        <f ca="1">IFERROR(INDIRECT("fixtures!" &amp; Dashboard!J1 &amp;367) - Dashboard!K1/24,"TBC")</f>
        <v>45067.666666666664</v>
      </c>
      <c r="GN48" s="30"/>
      <c r="GO48" s="30" t="s">
        <v>4</v>
      </c>
      <c r="GP48" s="30" t="s">
        <v>106</v>
      </c>
      <c r="GQ48" s="382">
        <f>IF(ISBLANK(fixtures!$L367),"",fixtures!$L367)</f>
        <v>1</v>
      </c>
      <c r="GR48" s="30" t="str">
        <f>IF(ISBLANK(fixtures!$L367),"",":")</f>
        <v>:</v>
      </c>
      <c r="GS48" s="383">
        <f>IF(ISBLANK(fixtures!$K367),"",fixtures!$K367)</f>
        <v>3</v>
      </c>
      <c r="GT48" s="30" t="str">
        <f>IF(ISBLANK(fixtures!$L367),"",IF(GQ48&gt;GS48,"W",IF(GQ48=GS48,"D","L")))</f>
        <v>L</v>
      </c>
      <c r="GU48" s="30"/>
      <c r="GV48" s="30"/>
      <c r="GW48" s="115">
        <v>20</v>
      </c>
      <c r="GX48" s="117" t="s">
        <v>107</v>
      </c>
      <c r="GY48" s="390">
        <f ca="1">IFERROR(INDIRECT("fixtures!" &amp; Dashboard!J1 &amp;360) - Dashboard!K1/24,"TBC")</f>
        <v>45066.604166666664</v>
      </c>
      <c r="GZ48" s="32"/>
      <c r="HA48" s="32" t="s">
        <v>125</v>
      </c>
      <c r="HB48" s="32" t="s">
        <v>108</v>
      </c>
      <c r="HC48" s="115">
        <f>IF(ISBLANK(fixtures!$K360),"",fixtures!$K360)</f>
        <v>1</v>
      </c>
      <c r="HD48" s="32" t="str">
        <f>IF(ISBLANK(fixtures!$L360),"",":")</f>
        <v>:</v>
      </c>
      <c r="HE48" s="117">
        <f>IF(ISBLANK(fixtures!$L360),"",fixtures!$L360)</f>
        <v>3</v>
      </c>
      <c r="HF48" s="32" t="str">
        <f>IF(ISBLANK(fixtures!$L360),"",IF(HC48&gt;HE48,"W",IF(HC48=HE48,"D","L")))</f>
        <v>L</v>
      </c>
      <c r="HG48" s="32"/>
      <c r="HH48" s="32"/>
      <c r="HI48" s="120">
        <v>21</v>
      </c>
      <c r="HJ48" s="122" t="s">
        <v>105</v>
      </c>
      <c r="HK48" s="396">
        <f ca="1">IFERROR(INDIRECT("fixtures!" &amp; Dashboard!J1 &amp;366) - Dashboard!K1/24,"TBC")</f>
        <v>45067.645833333336</v>
      </c>
      <c r="HL48" s="34"/>
      <c r="HM48" s="34" t="s">
        <v>139</v>
      </c>
      <c r="HN48" s="34" t="s">
        <v>108</v>
      </c>
      <c r="HO48" s="120">
        <f>IF(ISBLANK(fixtures!$K366),"",fixtures!$K366)</f>
        <v>3</v>
      </c>
      <c r="HP48" s="34" t="str">
        <f>IF(ISBLANK(fixtures!$L366),"",":")</f>
        <v>:</v>
      </c>
      <c r="HQ48" s="122">
        <f>IF(ISBLANK(fixtures!$L366),"",fixtures!$L366)</f>
        <v>1</v>
      </c>
      <c r="HR48" s="34" t="str">
        <f>IF(ISBLANK(fixtures!$L366),"",IF(HO48&gt;HQ48,"W",IF(HO48=HQ48,"D","L")))</f>
        <v>W</v>
      </c>
      <c r="HS48" s="34"/>
      <c r="HT48" s="34"/>
      <c r="HU48" s="125">
        <v>20</v>
      </c>
      <c r="HV48" s="127" t="s">
        <v>107</v>
      </c>
      <c r="HW48" s="402">
        <f ca="1">IFERROR(INDIRECT("fixtures!" &amp; Dashboard!J1 &amp;364) - Dashboard!K1/24,"TBC")</f>
        <v>45066.708333333336</v>
      </c>
      <c r="HX48" s="36"/>
      <c r="HY48" s="36" t="s">
        <v>7</v>
      </c>
      <c r="HZ48" s="36" t="s">
        <v>108</v>
      </c>
      <c r="IA48" s="125">
        <f>IF(ISBLANK(fixtures!$K364),"",fixtures!$K364)</f>
        <v>1</v>
      </c>
      <c r="IB48" s="36" t="str">
        <f>IF(ISBLANK(fixtures!$L364),"",":")</f>
        <v>:</v>
      </c>
      <c r="IC48" s="127">
        <f>IF(ISBLANK(fixtures!$L364),"",fixtures!$L364)</f>
        <v>1</v>
      </c>
      <c r="ID48" s="36" t="str">
        <f>IF(ISBLANK(fixtures!$L364),"",IF(IA48&gt;IC48,"W",IF(IA48=IC48,"D","L")))</f>
        <v>D</v>
      </c>
      <c r="IE48" s="36"/>
      <c r="IF48" s="36"/>
    </row>
    <row r="49" spans="1:240" x14ac:dyDescent="0.4">
      <c r="A49" s="91">
        <v>28</v>
      </c>
      <c r="B49" s="93" t="s">
        <v>105</v>
      </c>
      <c r="C49" s="277">
        <f ca="1">IFERROR(INDIRECT("fixtures!" &amp; Dashboard!J1 &amp;372) - Dashboard!K1/24,"TBC")</f>
        <v>45074.770833333336</v>
      </c>
      <c r="D49" s="6"/>
      <c r="E49" s="6" t="s">
        <v>16</v>
      </c>
      <c r="F49" s="6" t="s">
        <v>108</v>
      </c>
      <c r="G49" s="91">
        <f>IF(ISBLANK(fixtures!$K372),"",fixtures!$K372)</f>
        <v>5</v>
      </c>
      <c r="H49" s="6" t="str">
        <f>IF(ISBLANK(fixtures!$L372),"",":")</f>
        <v>:</v>
      </c>
      <c r="I49" s="93">
        <f>IF(ISBLANK(fixtures!$L372),"",fixtures!$L372)</f>
        <v>0</v>
      </c>
      <c r="J49" s="6" t="str">
        <f>IF(ISBLANK(fixtures!$L372),"",IF(G49&gt;I49,"W",IF(G49=I49,"D","L")))</f>
        <v>W</v>
      </c>
      <c r="K49" s="6"/>
      <c r="L49" s="6"/>
      <c r="M49" s="282">
        <v>28</v>
      </c>
      <c r="N49" s="283" t="s">
        <v>105</v>
      </c>
      <c r="O49" s="284">
        <f ca="1">IFERROR(INDIRECT("fixtures!" &amp; Dashboard!J1 &amp;373) - Dashboard!K1/24,"TBC")</f>
        <v>45074.770833333336</v>
      </c>
      <c r="P49" s="9"/>
      <c r="Q49" s="9" t="s">
        <v>4</v>
      </c>
      <c r="R49" s="9" t="s">
        <v>108</v>
      </c>
      <c r="S49" s="282">
        <f>IF(ISBLANK(fixtures!$K373),"",fixtures!$K373)</f>
        <v>2</v>
      </c>
      <c r="T49" s="9" t="str">
        <f>IF(ISBLANK(fixtures!$L373),"",":")</f>
        <v>:</v>
      </c>
      <c r="U49" s="283">
        <f>IF(ISBLANK(fixtures!$L373),"",fixtures!$L373)</f>
        <v>1</v>
      </c>
      <c r="V49" s="9" t="str">
        <f>IF(ISBLANK(fixtures!$L373),"",IF(S49&gt;U49,"W",IF(S49=U49,"D","L")))</f>
        <v>W</v>
      </c>
      <c r="W49" s="9"/>
      <c r="X49" s="9"/>
      <c r="Y49" s="290">
        <v>28</v>
      </c>
      <c r="Z49" s="292" t="s">
        <v>105</v>
      </c>
      <c r="AA49" s="291">
        <f ca="1">IFERROR(INDIRECT("fixtures!" &amp; Dashboard!J1 &amp;377) - Dashboard!K1/24,"TBC")</f>
        <v>45074.770833333336</v>
      </c>
      <c r="AB49" s="262"/>
      <c r="AC49" s="262" t="s">
        <v>7</v>
      </c>
      <c r="AD49" s="262" t="s">
        <v>106</v>
      </c>
      <c r="AE49" s="290">
        <f>IF(ISBLANK(fixtures!$L377),"",fixtures!$L377)</f>
        <v>0</v>
      </c>
      <c r="AF49" s="262" t="str">
        <f>IF(ISBLANK(fixtures!$L377),"",":")</f>
        <v>:</v>
      </c>
      <c r="AG49" s="292">
        <f>IF(ISBLANK(fixtures!$K377),"",fixtures!$K377)</f>
        <v>1</v>
      </c>
      <c r="AH49" s="262" t="str">
        <f>IF(ISBLANK(fixtures!$L377),"",IF(AE49&gt;AG49,"W",IF(AE49=AG49,"D","L")))</f>
        <v>L</v>
      </c>
      <c r="AI49" s="262"/>
      <c r="AJ49" s="262"/>
      <c r="AK49" s="411">
        <v>28</v>
      </c>
      <c r="AL49" s="412" t="s">
        <v>105</v>
      </c>
      <c r="AM49" s="413">
        <f ca="1">IFERROR(INDIRECT("fixtures!" &amp; Dashboard!J1 &amp;374) - Dashboard!K1/24,"TBC")</f>
        <v>45074.770833333336</v>
      </c>
      <c r="AN49" s="410"/>
      <c r="AO49" s="410" t="s">
        <v>10</v>
      </c>
      <c r="AP49" s="410" t="s">
        <v>108</v>
      </c>
      <c r="AQ49" s="411">
        <f>IF(ISBLANK(fixtures!$K374),"",fixtures!$K374)</f>
        <v>1</v>
      </c>
      <c r="AR49" s="410" t="str">
        <f>IF(ISBLANK(fixtures!$L374),"",":")</f>
        <v>:</v>
      </c>
      <c r="AS49" s="412">
        <f>IF(ISBLANK(fixtures!$L374),"",fixtures!$L374)</f>
        <v>0</v>
      </c>
      <c r="AT49" s="410" t="str">
        <f>IF(ISBLANK(fixtures!$L374),"",IF(AQ49&gt;AS49,"W",IF(AQ49=AS49,"D","L")))</f>
        <v>W</v>
      </c>
      <c r="AU49" s="410"/>
      <c r="AV49" s="410"/>
      <c r="AW49" s="96">
        <v>28</v>
      </c>
      <c r="AX49" s="98" t="s">
        <v>105</v>
      </c>
      <c r="AY49" s="298">
        <f ca="1">IFERROR(INDIRECT("fixtures!" &amp; Dashboard!J1 &amp;373) - Dashboard!K1/24,"TBC")</f>
        <v>45074.770833333336</v>
      </c>
      <c r="AZ49" s="11"/>
      <c r="BA49" s="11" t="s">
        <v>2</v>
      </c>
      <c r="BB49" s="11" t="s">
        <v>106</v>
      </c>
      <c r="BC49" s="96">
        <f>IF(ISBLANK(fixtures!$L373),"",fixtures!$L373)</f>
        <v>1</v>
      </c>
      <c r="BD49" s="11" t="str">
        <f>IF(ISBLANK(fixtures!$L373),"",":")</f>
        <v>:</v>
      </c>
      <c r="BE49" s="98">
        <f>IF(ISBLANK(fixtures!$K373),"",fixtures!$K373)</f>
        <v>2</v>
      </c>
      <c r="BF49" s="11" t="str">
        <f>IF(ISBLANK(fixtures!$L373),"",IF(BC49&gt;BE49,"W",IF(BC49=BE49,"D","L")))</f>
        <v>L</v>
      </c>
      <c r="BG49" s="11"/>
      <c r="BH49" s="11"/>
      <c r="BI49" s="181">
        <v>28</v>
      </c>
      <c r="BJ49" s="183" t="s">
        <v>105</v>
      </c>
      <c r="BK49" s="304">
        <f ca="1">IFERROR(INDIRECT("fixtures!" &amp; Dashboard!J1 &amp;375) - Dashboard!K1/24,"TBC")</f>
        <v>45074.770833333336</v>
      </c>
      <c r="BL49" s="15"/>
      <c r="BM49" s="15" t="s">
        <v>12</v>
      </c>
      <c r="BN49" s="15" t="s">
        <v>108</v>
      </c>
      <c r="BO49" s="181">
        <f>IF(ISBLANK(fixtures!$K375),"",fixtures!$K375)</f>
        <v>1</v>
      </c>
      <c r="BP49" s="15" t="str">
        <f>IF(ISBLANK(fixtures!$L375),"",":")</f>
        <v>:</v>
      </c>
      <c r="BQ49" s="183">
        <f>IF(ISBLANK(fixtures!$L375),"",fixtures!$L375)</f>
        <v>1</v>
      </c>
      <c r="BR49" s="15" t="str">
        <f>IF(ISBLANK(fixtures!$L375),"",IF(BO49&gt;BQ49,"W",IF(BO49=BQ49,"D","L")))</f>
        <v>D</v>
      </c>
      <c r="BS49" s="15"/>
      <c r="BT49" s="15"/>
      <c r="BU49" s="310">
        <v>28</v>
      </c>
      <c r="BV49" s="311" t="s">
        <v>105</v>
      </c>
      <c r="BW49" s="312">
        <f ca="1">IFERROR(INDIRECT("fixtures!" &amp; Dashboard!J1 &amp;376) - Dashboard!K1/24,"TBC")</f>
        <v>45074.770833333336</v>
      </c>
      <c r="BX49" s="16"/>
      <c r="BY49" s="16" t="s">
        <v>204</v>
      </c>
      <c r="BZ49" s="16" t="s">
        <v>108</v>
      </c>
      <c r="CA49" s="310">
        <f>IF(ISBLANK(fixtures!$K376),"",fixtures!$K376)</f>
        <v>1</v>
      </c>
      <c r="CB49" s="16" t="str">
        <f>IF(ISBLANK(fixtures!$L376),"",":")</f>
        <v>:</v>
      </c>
      <c r="CC49" s="311">
        <f>IF(ISBLANK(fixtures!$L376),"",fixtures!$L376)</f>
        <v>1</v>
      </c>
      <c r="CD49" s="16" t="str">
        <f>IF(ISBLANK(fixtures!$L376),"",IF(CA49&gt;CC49,"W",IF(CA49=CC49,"D","L")))</f>
        <v>D</v>
      </c>
      <c r="CE49" s="16"/>
      <c r="CF49" s="16"/>
      <c r="CG49" s="318">
        <v>28</v>
      </c>
      <c r="CH49" s="319" t="s">
        <v>105</v>
      </c>
      <c r="CI49" s="320">
        <f ca="1">IFERROR(INDIRECT("fixtures!" &amp; Dashboard!J1 &amp;377) - Dashboard!K1/24,"TBC")</f>
        <v>45074.770833333336</v>
      </c>
      <c r="CJ49" s="19"/>
      <c r="CK49" s="19" t="s">
        <v>3</v>
      </c>
      <c r="CL49" s="19" t="s">
        <v>108</v>
      </c>
      <c r="CM49" s="318">
        <f>IF(ISBLANK(fixtures!$K377),"",fixtures!$K377)</f>
        <v>1</v>
      </c>
      <c r="CN49" s="19" t="str">
        <f>IF(ISBLANK(fixtures!$L377),"",":")</f>
        <v>:</v>
      </c>
      <c r="CO49" s="319">
        <f>IF(ISBLANK(fixtures!$L377),"",fixtures!$L377)</f>
        <v>0</v>
      </c>
      <c r="CP49" s="19" t="str">
        <f>IF(ISBLANK(fixtures!$L377),"",IF(CM49&gt;CO49,"W",IF(CM49=CO49,"D","L")))</f>
        <v>W</v>
      </c>
      <c r="CQ49" s="19"/>
      <c r="CR49" s="19"/>
      <c r="CS49" s="326">
        <v>28</v>
      </c>
      <c r="CT49" s="327" t="s">
        <v>105</v>
      </c>
      <c r="CU49" s="328">
        <f ca="1">IFERROR(INDIRECT("fixtures!" &amp; Dashboard!J1 &amp;380) - Dashboard!K1/24,"TBC")</f>
        <v>45074.770833333336</v>
      </c>
      <c r="CV49" s="178"/>
      <c r="CW49" s="178" t="s">
        <v>11</v>
      </c>
      <c r="CX49" s="178" t="s">
        <v>106</v>
      </c>
      <c r="CY49" s="326">
        <f>IF(ISBLANK(fixtures!$L380),"",fixtures!$L380)</f>
        <v>1</v>
      </c>
      <c r="CZ49" s="178" t="str">
        <f>IF(ISBLANK(fixtures!$L380),"",":")</f>
        <v>:</v>
      </c>
      <c r="DA49" s="327">
        <f>IF(ISBLANK(fixtures!$K380),"",fixtures!$K380)</f>
        <v>2</v>
      </c>
      <c r="DB49" s="178" t="str">
        <f>IF(ISBLANK(fixtures!$L380),"",IF(CY49&gt;DA49,"W",IF(CY49=DA49,"D","L")))</f>
        <v>L</v>
      </c>
      <c r="DC49" s="178"/>
      <c r="DD49" s="178"/>
      <c r="DE49" s="334">
        <v>28</v>
      </c>
      <c r="DF49" s="335" t="s">
        <v>105</v>
      </c>
      <c r="DG49" s="336">
        <f ca="1">IFERROR(INDIRECT("fixtures!" &amp; Dashboard!J1 &amp;378) - Dashboard!K1/24,"TBC")</f>
        <v>45074.770833333336</v>
      </c>
      <c r="DH49" s="177"/>
      <c r="DI49" s="177" t="s">
        <v>14</v>
      </c>
      <c r="DJ49" s="177" t="s">
        <v>108</v>
      </c>
      <c r="DK49" s="334">
        <f>IF(ISBLANK(fixtures!$K378),"",fixtures!$K378)</f>
        <v>1</v>
      </c>
      <c r="DL49" s="177" t="str">
        <f>IF(ISBLANK(fixtures!$L378),"",":")</f>
        <v>:</v>
      </c>
      <c r="DM49" s="335">
        <f>IF(ISBLANK(fixtures!$L378),"",fixtures!$L378)</f>
        <v>4</v>
      </c>
      <c r="DN49" s="177" t="str">
        <f>IF(ISBLANK(fixtures!$L378),"",IF(DK49&gt;DM49,"W",IF(DK49=DM49,"D","L")))</f>
        <v>L</v>
      </c>
      <c r="DO49" s="177"/>
      <c r="DP49" s="177"/>
      <c r="DQ49" s="341">
        <v>28</v>
      </c>
      <c r="DR49" s="342" t="s">
        <v>105</v>
      </c>
      <c r="DS49" s="343">
        <f ca="1">IFERROR(INDIRECT("fixtures!" &amp; Dashboard!J1 &amp;379) - Dashboard!K1/24,"TBC")</f>
        <v>45074.770833333336</v>
      </c>
      <c r="DT49" s="21"/>
      <c r="DU49" s="21" t="s">
        <v>15</v>
      </c>
      <c r="DV49" s="21" t="s">
        <v>108</v>
      </c>
      <c r="DW49" s="341">
        <f>IF(ISBLANK(fixtures!$K379),"",fixtures!$K379)</f>
        <v>2</v>
      </c>
      <c r="DX49" s="21" t="str">
        <f>IF(ISBLANK(fixtures!$L379),"",":")</f>
        <v>:</v>
      </c>
      <c r="DY49" s="342">
        <f>IF(ISBLANK(fixtures!$L379),"",fixtures!$L379)</f>
        <v>1</v>
      </c>
      <c r="DZ49" s="21" t="str">
        <f>IF(ISBLANK(fixtures!$L379),"",IF(DW49&gt;DY49,"W",IF(DW49=DY49,"D","L")))</f>
        <v>W</v>
      </c>
      <c r="EA49" s="21"/>
      <c r="EB49" s="21"/>
      <c r="EC49" s="270">
        <v>28</v>
      </c>
      <c r="ED49" s="272" t="s">
        <v>105</v>
      </c>
      <c r="EE49" s="349">
        <f ca="1">IFERROR(INDIRECT("fixtures!" &amp; Dashboard!J1 &amp;381) - Dashboard!K1/24,"TBC")</f>
        <v>45074.770833333336</v>
      </c>
      <c r="EF49" s="23"/>
      <c r="EG49" s="23" t="s">
        <v>13</v>
      </c>
      <c r="EH49" s="23" t="s">
        <v>106</v>
      </c>
      <c r="EI49" s="270">
        <f>IF(ISBLANK(fixtures!$L381),"",fixtures!$L381)</f>
        <v>4</v>
      </c>
      <c r="EJ49" s="23" t="str">
        <f>IF(ISBLANK(fixtures!$L381),"",":")</f>
        <v>:</v>
      </c>
      <c r="EK49" s="272">
        <f>IF(ISBLANK(fixtures!$K381),"",fixtures!$K381)</f>
        <v>4</v>
      </c>
      <c r="EL49" s="23" t="str">
        <f>IF(ISBLANK(fixtures!$L381),"",IF(EI49&gt;EK49,"W",IF(EI49=EK49,"D","L")))</f>
        <v>D</v>
      </c>
      <c r="EM49" s="23"/>
      <c r="EN49" s="23"/>
      <c r="EO49" s="105">
        <v>28</v>
      </c>
      <c r="EP49" s="107" t="s">
        <v>105</v>
      </c>
      <c r="EQ49" s="355">
        <f ca="1">IFERROR(INDIRECT("fixtures!" &amp; Dashboard!J1 &amp;374) - Dashboard!K1/24,"TBC")</f>
        <v>45074.770833333336</v>
      </c>
      <c r="ER49" s="25"/>
      <c r="ES49" s="25" t="s">
        <v>125</v>
      </c>
      <c r="ET49" s="25" t="s">
        <v>106</v>
      </c>
      <c r="EU49" s="105">
        <f>IF(ISBLANK(fixtures!$L374),"",fixtures!$L374)</f>
        <v>0</v>
      </c>
      <c r="EV49" s="25" t="str">
        <f>IF(ISBLANK(fixtures!$L374),"",":")</f>
        <v>:</v>
      </c>
      <c r="EW49" s="107">
        <f>IF(ISBLANK(fixtures!$K374),"",fixtures!$K374)</f>
        <v>1</v>
      </c>
      <c r="EX49" s="25" t="str">
        <f>IF(ISBLANK(fixtures!$L374),"",IF(EU49&gt;EW49,"W",IF(EU49=EW49,"D","L")))</f>
        <v>L</v>
      </c>
      <c r="EY49" s="25"/>
      <c r="EZ49" s="25"/>
      <c r="FA49" s="361">
        <v>28</v>
      </c>
      <c r="FB49" s="362" t="s">
        <v>105</v>
      </c>
      <c r="FC49" s="363">
        <f ca="1">IFERROR(INDIRECT("fixtures!" &amp; Dashboard!J1 &amp;380) - Dashboard!K1/24,"TBC")</f>
        <v>45074.770833333336</v>
      </c>
      <c r="FD49" s="27"/>
      <c r="FE49" s="27" t="s">
        <v>126</v>
      </c>
      <c r="FF49" s="27" t="s">
        <v>108</v>
      </c>
      <c r="FG49" s="361">
        <f>IF(ISBLANK(fixtures!$K380),"",fixtures!$K380)</f>
        <v>2</v>
      </c>
      <c r="FH49" s="27" t="str">
        <f>IF(ISBLANK(fixtures!$L380),"",":")</f>
        <v>:</v>
      </c>
      <c r="FI49" s="362">
        <f>IF(ISBLANK(fixtures!$L380),"",fixtures!$L380)</f>
        <v>1</v>
      </c>
      <c r="FJ49" s="27" t="str">
        <f>IF(ISBLANK(fixtures!$L380),"",IF(FG49&gt;FI49,"W",IF(FG49=FI49,"D","L")))</f>
        <v>W</v>
      </c>
      <c r="FK49" s="27"/>
      <c r="FL49" s="27"/>
      <c r="FM49" s="110">
        <v>28</v>
      </c>
      <c r="FN49" s="112" t="s">
        <v>105</v>
      </c>
      <c r="FO49" s="369">
        <f ca="1">IFERROR(INDIRECT("fixtures!" &amp; Dashboard!J1 &amp;375) - Dashboard!K1/24,"TBC")</f>
        <v>45074.770833333336</v>
      </c>
      <c r="FP49" s="29"/>
      <c r="FQ49" s="29" t="s">
        <v>5</v>
      </c>
      <c r="FR49" s="29" t="s">
        <v>106</v>
      </c>
      <c r="FS49" s="110">
        <f>IF(ISBLANK(fixtures!$L375),"",fixtures!$L375)</f>
        <v>1</v>
      </c>
      <c r="FT49" s="29" t="str">
        <f>IF(ISBLANK(fixtures!$L375),"",":")</f>
        <v>:</v>
      </c>
      <c r="FU49" s="112">
        <f>IF(ISBLANK(fixtures!$K375),"",fixtures!$K375)</f>
        <v>1</v>
      </c>
      <c r="FV49" s="29" t="str">
        <f>IF(ISBLANK(fixtures!$L375),"",IF(FS49&gt;FU49,"W",IF(FS49=FU49,"D","L")))</f>
        <v>D</v>
      </c>
      <c r="FW49" s="29"/>
      <c r="FX49" s="29"/>
      <c r="FY49" s="375">
        <v>28</v>
      </c>
      <c r="FZ49" s="376" t="s">
        <v>105</v>
      </c>
      <c r="GA49" s="377">
        <f ca="1">IFERROR(INDIRECT("fixtures!" &amp; Dashboard!J1 &amp;376) - Dashboard!K1/24,"TBC")</f>
        <v>45074.770833333336</v>
      </c>
      <c r="GB49" s="264"/>
      <c r="GC49" s="264" t="s">
        <v>6</v>
      </c>
      <c r="GD49" s="264" t="s">
        <v>106</v>
      </c>
      <c r="GE49" s="375">
        <f>IF(ISBLANK(fixtures!$L376),"",fixtures!$L376)</f>
        <v>1</v>
      </c>
      <c r="GF49" s="264" t="str">
        <f>IF(ISBLANK(fixtures!$L376),"",":")</f>
        <v>:</v>
      </c>
      <c r="GG49" s="376">
        <f>IF(ISBLANK(fixtures!$K376),"",fixtures!$K376)</f>
        <v>1</v>
      </c>
      <c r="GH49" s="264" t="str">
        <f>IF(ISBLANK(fixtures!$L376),"",IF(GE49&gt;GG49,"W",IF(GE49=GG49,"D","L")))</f>
        <v>D</v>
      </c>
      <c r="GI49" s="264"/>
      <c r="GJ49" s="264"/>
      <c r="GK49" s="382">
        <v>28</v>
      </c>
      <c r="GL49" s="383" t="s">
        <v>105</v>
      </c>
      <c r="GM49" s="384">
        <f ca="1">IFERROR(INDIRECT("fixtures!" &amp; Dashboard!J1 &amp;381) - Dashboard!K1/24,"TBC")</f>
        <v>45074.770833333336</v>
      </c>
      <c r="GN49" s="30"/>
      <c r="GO49" s="30" t="s">
        <v>9</v>
      </c>
      <c r="GP49" s="30" t="s">
        <v>108</v>
      </c>
      <c r="GQ49" s="382">
        <f>IF(ISBLANK(fixtures!$K381),"",fixtures!$K381)</f>
        <v>4</v>
      </c>
      <c r="GR49" s="30" t="str">
        <f>IF(ISBLANK(fixtures!$L381),"",":")</f>
        <v>:</v>
      </c>
      <c r="GS49" s="383">
        <f>IF(ISBLANK(fixtures!$L381),"",fixtures!$L381)</f>
        <v>4</v>
      </c>
      <c r="GT49" s="30" t="str">
        <f>IF(ISBLANK(fixtures!$L381),"",IF(GQ49&gt;GS49,"W",IF(GQ49=GS49,"D","L")))</f>
        <v>D</v>
      </c>
      <c r="GU49" s="30"/>
      <c r="GV49" s="30"/>
      <c r="GW49" s="115">
        <v>28</v>
      </c>
      <c r="GX49" s="117" t="s">
        <v>105</v>
      </c>
      <c r="GY49" s="390">
        <f ca="1">IFERROR(INDIRECT("fixtures!" &amp; Dashboard!J1 &amp;378) - Dashboard!K1/24,"TBC")</f>
        <v>45074.770833333336</v>
      </c>
      <c r="GZ49" s="32"/>
      <c r="HA49" s="32" t="s">
        <v>139</v>
      </c>
      <c r="HB49" s="32" t="s">
        <v>106</v>
      </c>
      <c r="HC49" s="115">
        <f>IF(ISBLANK(fixtures!$L378),"",fixtures!$L378)</f>
        <v>4</v>
      </c>
      <c r="HD49" s="32" t="str">
        <f>IF(ISBLANK(fixtures!$L378),"",":")</f>
        <v>:</v>
      </c>
      <c r="HE49" s="117">
        <f>IF(ISBLANK(fixtures!$K378),"",fixtures!$K378)</f>
        <v>1</v>
      </c>
      <c r="HF49" s="32" t="str">
        <f>IF(ISBLANK(fixtures!$L378),"",IF(HC49&gt;HE49,"W",IF(HC49=HE49,"D","L")))</f>
        <v>W</v>
      </c>
      <c r="HG49" s="32"/>
      <c r="HH49" s="32"/>
      <c r="HI49" s="120">
        <v>28</v>
      </c>
      <c r="HJ49" s="122" t="s">
        <v>105</v>
      </c>
      <c r="HK49" s="396">
        <f ca="1">IFERROR(INDIRECT("fixtures!" &amp; Dashboard!J1 &amp;379) - Dashboard!K1/24,"TBC")</f>
        <v>45074.770833333336</v>
      </c>
      <c r="HL49" s="34"/>
      <c r="HM49" s="34" t="s">
        <v>8</v>
      </c>
      <c r="HN49" s="34" t="s">
        <v>106</v>
      </c>
      <c r="HO49" s="120">
        <f>IF(ISBLANK(fixtures!$L379),"",fixtures!$L379)</f>
        <v>1</v>
      </c>
      <c r="HP49" s="34" t="str">
        <f>IF(ISBLANK(fixtures!$L379),"",":")</f>
        <v>:</v>
      </c>
      <c r="HQ49" s="122">
        <f>IF(ISBLANK(fixtures!$K379),"",fixtures!$K379)</f>
        <v>2</v>
      </c>
      <c r="HR49" s="34" t="str">
        <f>IF(ISBLANK(fixtures!$L379),"",IF(HO49&gt;HQ49,"W",IF(HO49=HQ49,"D","L")))</f>
        <v>L</v>
      </c>
      <c r="HS49" s="34"/>
      <c r="HT49" s="34"/>
      <c r="HU49" s="125">
        <v>28</v>
      </c>
      <c r="HV49" s="127" t="s">
        <v>105</v>
      </c>
      <c r="HW49" s="402">
        <f ca="1">IFERROR(INDIRECT("fixtures!" &amp; Dashboard!J1 &amp;372) - Dashboard!K1/24,"TBC")</f>
        <v>45074.770833333336</v>
      </c>
      <c r="HX49" s="36"/>
      <c r="HY49" s="36" t="s">
        <v>1</v>
      </c>
      <c r="HZ49" s="36" t="s">
        <v>106</v>
      </c>
      <c r="IA49" s="125">
        <f>IF(ISBLANK(fixtures!$L372),"",fixtures!$L372)</f>
        <v>0</v>
      </c>
      <c r="IB49" s="36" t="str">
        <f>IF(ISBLANK(fixtures!$L372),"",":")</f>
        <v>:</v>
      </c>
      <c r="IC49" s="127">
        <f>IF(ISBLANK(fixtures!$K372),"",fixtures!$K372)</f>
        <v>5</v>
      </c>
      <c r="ID49" s="36" t="str">
        <f>IF(ISBLANK(fixtures!$L372),"",IF(IA49&gt;IC49,"W",IF(IA49=IC49,"D","L")))</f>
        <v>L</v>
      </c>
      <c r="IE49" s="36"/>
      <c r="IF49" s="36"/>
    </row>
    <row r="50" spans="1:240" x14ac:dyDescent="0.4">
      <c r="A50" s="279"/>
      <c r="B50" s="93"/>
      <c r="C50" s="277"/>
      <c r="D50" s="6"/>
      <c r="E50" s="6"/>
      <c r="F50" s="6"/>
      <c r="G50" s="91"/>
      <c r="H50" s="6"/>
      <c r="I50" s="93"/>
      <c r="J50" s="6"/>
      <c r="K50" s="6"/>
      <c r="L50" s="6"/>
      <c r="M50" s="286"/>
      <c r="N50" s="283"/>
      <c r="O50" s="284"/>
      <c r="P50" s="9"/>
      <c r="Q50" s="9"/>
      <c r="R50" s="9"/>
      <c r="S50" s="282"/>
      <c r="T50" s="9"/>
      <c r="U50" s="283"/>
      <c r="V50" s="9"/>
      <c r="W50" s="9"/>
      <c r="X50" s="9"/>
      <c r="Y50" s="294"/>
      <c r="Z50" s="292"/>
      <c r="AA50" s="291"/>
      <c r="AB50" s="262"/>
      <c r="AC50" s="262"/>
      <c r="AD50" s="262"/>
      <c r="AE50" s="290"/>
      <c r="AF50" s="262"/>
      <c r="AG50" s="292"/>
      <c r="AH50" s="262"/>
      <c r="AI50" s="262"/>
      <c r="AJ50" s="262"/>
      <c r="AK50" s="415"/>
      <c r="AL50" s="412"/>
      <c r="AM50" s="413"/>
      <c r="AN50" s="410"/>
      <c r="AO50" s="410"/>
      <c r="AP50" s="410"/>
      <c r="AQ50" s="411"/>
      <c r="AR50" s="410"/>
      <c r="AS50" s="412"/>
      <c r="AT50" s="410"/>
      <c r="AU50" s="410"/>
      <c r="AV50" s="410"/>
      <c r="AW50" s="300"/>
      <c r="AX50" s="98"/>
      <c r="AY50" s="298"/>
      <c r="AZ50" s="11"/>
      <c r="BA50" s="11"/>
      <c r="BB50" s="11"/>
      <c r="BC50" s="96"/>
      <c r="BD50" s="11"/>
      <c r="BE50" s="98"/>
      <c r="BF50" s="11"/>
      <c r="BG50" s="11"/>
      <c r="BH50" s="11"/>
      <c r="BI50" s="306"/>
      <c r="BJ50" s="183"/>
      <c r="BK50" s="304"/>
      <c r="BL50" s="15"/>
      <c r="BM50" s="15"/>
      <c r="BN50" s="15"/>
      <c r="BO50" s="181"/>
      <c r="BP50" s="15"/>
      <c r="BQ50" s="183"/>
      <c r="BR50" s="15"/>
      <c r="BS50" s="15"/>
      <c r="BT50" s="15"/>
      <c r="BU50" s="314"/>
      <c r="BV50" s="311"/>
      <c r="BW50" s="312"/>
      <c r="BX50" s="16"/>
      <c r="BY50" s="16"/>
      <c r="BZ50" s="16"/>
      <c r="CA50" s="310"/>
      <c r="CB50" s="16"/>
      <c r="CC50" s="311"/>
      <c r="CD50" s="16"/>
      <c r="CE50" s="16"/>
      <c r="CF50" s="16"/>
      <c r="CG50" s="322"/>
      <c r="CH50" s="319"/>
      <c r="CI50" s="320"/>
      <c r="CJ50" s="19"/>
      <c r="CK50" s="19"/>
      <c r="CL50" s="19"/>
      <c r="CM50" s="318"/>
      <c r="CN50" s="19"/>
      <c r="CO50" s="319"/>
      <c r="CP50" s="19"/>
      <c r="CQ50" s="19"/>
      <c r="CR50" s="19"/>
      <c r="CS50" s="330"/>
      <c r="CT50" s="327"/>
      <c r="CU50" s="328"/>
      <c r="CV50" s="178"/>
      <c r="CW50" s="178"/>
      <c r="CX50" s="178"/>
      <c r="CY50" s="326"/>
      <c r="CZ50" s="178"/>
      <c r="DA50" s="327"/>
      <c r="DB50" s="178"/>
      <c r="DC50" s="178"/>
      <c r="DD50" s="178"/>
      <c r="DE50" s="338"/>
      <c r="DF50" s="335"/>
      <c r="DG50" s="336"/>
      <c r="DH50" s="177"/>
      <c r="DI50" s="177"/>
      <c r="DJ50" s="177"/>
      <c r="DK50" s="334"/>
      <c r="DL50" s="177"/>
      <c r="DM50" s="335"/>
      <c r="DN50" s="177"/>
      <c r="DO50" s="177"/>
      <c r="DP50" s="177"/>
      <c r="DQ50" s="345"/>
      <c r="DR50" s="342"/>
      <c r="DS50" s="343"/>
      <c r="DT50" s="21"/>
      <c r="DU50" s="21"/>
      <c r="DV50" s="21"/>
      <c r="DW50" s="341"/>
      <c r="DX50" s="21"/>
      <c r="DY50" s="342"/>
      <c r="DZ50" s="21"/>
      <c r="EA50" s="21"/>
      <c r="EB50" s="21"/>
      <c r="EC50" s="351"/>
      <c r="ED50" s="272"/>
      <c r="EE50" s="349"/>
      <c r="EF50" s="23"/>
      <c r="EG50" s="23"/>
      <c r="EH50" s="23"/>
      <c r="EI50" s="270"/>
      <c r="EJ50" s="23"/>
      <c r="EK50" s="272"/>
      <c r="EL50" s="23"/>
      <c r="EM50" s="23"/>
      <c r="EN50" s="23"/>
      <c r="EO50" s="357"/>
      <c r="EP50" s="107"/>
      <c r="EQ50" s="355"/>
      <c r="ER50" s="25"/>
      <c r="ES50" s="25"/>
      <c r="ET50" s="25"/>
      <c r="EU50" s="105"/>
      <c r="EV50" s="25"/>
      <c r="EW50" s="107"/>
      <c r="EX50" s="25"/>
      <c r="EY50" s="25"/>
      <c r="EZ50" s="25"/>
      <c r="FA50" s="365"/>
      <c r="FB50" s="362"/>
      <c r="FC50" s="363"/>
      <c r="FD50" s="27"/>
      <c r="FE50" s="27"/>
      <c r="FF50" s="27"/>
      <c r="FG50" s="361"/>
      <c r="FH50" s="27"/>
      <c r="FI50" s="362"/>
      <c r="FJ50" s="27"/>
      <c r="FK50" s="27"/>
      <c r="FL50" s="27"/>
      <c r="FM50" s="371"/>
      <c r="FN50" s="112"/>
      <c r="FO50" s="369"/>
      <c r="FP50" s="29"/>
      <c r="FQ50" s="29"/>
      <c r="FR50" s="29"/>
      <c r="FS50" s="110"/>
      <c r="FT50" s="29"/>
      <c r="FU50" s="112"/>
      <c r="FV50" s="29"/>
      <c r="FW50" s="29"/>
      <c r="FX50" s="29"/>
      <c r="FY50" s="379"/>
      <c r="FZ50" s="376"/>
      <c r="GA50" s="377"/>
      <c r="GB50" s="264"/>
      <c r="GC50" s="264"/>
      <c r="GD50" s="264"/>
      <c r="GE50" s="375"/>
      <c r="GF50" s="264"/>
      <c r="GG50" s="376"/>
      <c r="GH50" s="264"/>
      <c r="GI50" s="264"/>
      <c r="GJ50" s="264"/>
      <c r="GK50" s="386"/>
      <c r="GL50" s="383"/>
      <c r="GM50" s="384"/>
      <c r="GN50" s="30"/>
      <c r="GO50" s="30"/>
      <c r="GP50" s="30"/>
      <c r="GQ50" s="382"/>
      <c r="GR50" s="30"/>
      <c r="GS50" s="383"/>
      <c r="GT50" s="30"/>
      <c r="GU50" s="30"/>
      <c r="GV50" s="30"/>
      <c r="GW50" s="392"/>
      <c r="GX50" s="117"/>
      <c r="GY50" s="390"/>
      <c r="GZ50" s="32"/>
      <c r="HA50" s="32"/>
      <c r="HB50" s="32"/>
      <c r="HC50" s="115"/>
      <c r="HD50" s="32"/>
      <c r="HE50" s="117"/>
      <c r="HF50" s="32"/>
      <c r="HG50" s="32"/>
      <c r="HH50" s="32"/>
      <c r="HI50" s="398"/>
      <c r="HJ50" s="122"/>
      <c r="HK50" s="396"/>
      <c r="HL50" s="34"/>
      <c r="HM50" s="34"/>
      <c r="HN50" s="34"/>
      <c r="HO50" s="120"/>
      <c r="HP50" s="34"/>
      <c r="HQ50" s="122"/>
      <c r="HR50" s="34"/>
      <c r="HS50" s="34"/>
      <c r="HT50" s="34"/>
      <c r="HU50" s="404"/>
      <c r="HV50" s="127"/>
      <c r="HW50" s="402"/>
      <c r="HX50" s="36"/>
      <c r="HY50" s="36"/>
      <c r="HZ50" s="36"/>
      <c r="IA50" s="125"/>
      <c r="IB50" s="36"/>
      <c r="IC50" s="127"/>
      <c r="ID50" s="36"/>
      <c r="IE50" s="36"/>
      <c r="IF50" s="36"/>
    </row>
    <row r="51" spans="1:240" x14ac:dyDescent="0.4">
      <c r="A51" s="279"/>
      <c r="B51" s="93"/>
      <c r="C51" s="277"/>
      <c r="D51" s="6"/>
      <c r="E51" s="6"/>
      <c r="F51" s="6"/>
      <c r="G51" s="6"/>
      <c r="H51" s="6"/>
      <c r="I51" s="6"/>
      <c r="J51" s="6"/>
      <c r="K51" s="6"/>
      <c r="L51" s="6"/>
      <c r="M51" s="286"/>
      <c r="N51" s="9"/>
      <c r="O51" s="284"/>
      <c r="P51" s="9"/>
      <c r="Q51" s="9"/>
      <c r="R51" s="9"/>
      <c r="S51" s="9"/>
      <c r="T51" s="9"/>
      <c r="U51" s="9"/>
      <c r="V51" s="9"/>
      <c r="W51" s="9"/>
      <c r="X51" s="9"/>
      <c r="Y51" s="294"/>
      <c r="Z51" s="262"/>
      <c r="AA51" s="291"/>
      <c r="AB51" s="262"/>
      <c r="AC51" s="262"/>
      <c r="AD51" s="262"/>
      <c r="AE51" s="262"/>
      <c r="AF51" s="262"/>
      <c r="AG51" s="262"/>
      <c r="AH51" s="262"/>
      <c r="AI51" s="262"/>
      <c r="AJ51" s="262"/>
      <c r="AK51" s="415"/>
      <c r="AL51" s="410"/>
      <c r="AM51" s="413"/>
      <c r="AN51" s="410"/>
      <c r="AO51" s="410"/>
      <c r="AP51" s="410"/>
      <c r="AQ51" s="410"/>
      <c r="AR51" s="410"/>
      <c r="AS51" s="410"/>
      <c r="AT51" s="410"/>
      <c r="AU51" s="410"/>
      <c r="AV51" s="410"/>
      <c r="AW51" s="300"/>
      <c r="AX51" s="11"/>
      <c r="AY51" s="298"/>
      <c r="AZ51" s="11"/>
      <c r="BA51" s="11"/>
      <c r="BB51" s="11"/>
      <c r="BC51" s="11"/>
      <c r="BD51" s="11"/>
      <c r="BE51" s="11"/>
      <c r="BF51" s="11"/>
      <c r="BG51" s="11"/>
      <c r="BH51" s="11"/>
      <c r="BI51" s="306"/>
      <c r="BJ51" s="183"/>
      <c r="BK51" s="304"/>
      <c r="BL51" s="15"/>
      <c r="BM51" s="15"/>
      <c r="BN51" s="15"/>
      <c r="BO51" s="15"/>
      <c r="BP51" s="15"/>
      <c r="BQ51" s="15"/>
      <c r="BR51" s="15"/>
      <c r="BS51" s="15"/>
      <c r="BT51" s="15"/>
      <c r="BU51" s="314"/>
      <c r="BV51" s="16"/>
      <c r="BW51" s="312"/>
      <c r="BX51" s="16"/>
      <c r="BY51" s="16"/>
      <c r="BZ51" s="16"/>
      <c r="CA51" s="16"/>
      <c r="CB51" s="16"/>
      <c r="CC51" s="16"/>
      <c r="CD51" s="16"/>
      <c r="CE51" s="16"/>
      <c r="CF51" s="16"/>
      <c r="CG51" s="322"/>
      <c r="CH51" s="319"/>
      <c r="CI51" s="320"/>
      <c r="CJ51" s="19"/>
      <c r="CK51" s="19"/>
      <c r="CL51" s="19"/>
      <c r="CM51" s="19"/>
      <c r="CN51" s="19"/>
      <c r="CO51" s="19"/>
      <c r="CP51" s="19"/>
      <c r="CQ51" s="19"/>
      <c r="CR51" s="19"/>
      <c r="CS51" s="330"/>
      <c r="CT51" s="178"/>
      <c r="CU51" s="328"/>
      <c r="CV51" s="178"/>
      <c r="CW51" s="178"/>
      <c r="CX51" s="178"/>
      <c r="CY51" s="178"/>
      <c r="CZ51" s="178"/>
      <c r="DA51" s="178"/>
      <c r="DB51" s="178"/>
      <c r="DC51" s="178"/>
      <c r="DD51" s="178"/>
      <c r="DE51" s="338"/>
      <c r="DF51" s="177"/>
      <c r="DG51" s="336"/>
      <c r="DH51" s="177"/>
      <c r="DI51" s="177"/>
      <c r="DJ51" s="177"/>
      <c r="DK51" s="177"/>
      <c r="DL51" s="177"/>
      <c r="DM51" s="177"/>
      <c r="DN51" s="177"/>
      <c r="DO51" s="177"/>
      <c r="DP51" s="177"/>
      <c r="DQ51" s="345"/>
      <c r="DR51" s="21"/>
      <c r="DS51" s="343"/>
      <c r="DT51" s="21"/>
      <c r="DU51" s="21"/>
      <c r="DV51" s="21"/>
      <c r="DW51" s="21"/>
      <c r="DX51" s="21"/>
      <c r="DY51" s="21"/>
      <c r="DZ51" s="21"/>
      <c r="EA51" s="21"/>
      <c r="EB51" s="21"/>
      <c r="EC51" s="351"/>
      <c r="ED51" s="23"/>
      <c r="EE51" s="352"/>
      <c r="EF51" s="23"/>
      <c r="EG51" s="23"/>
      <c r="EH51" s="23"/>
      <c r="EI51" s="23"/>
      <c r="EJ51" s="23"/>
      <c r="EK51" s="23"/>
      <c r="EL51" s="23"/>
      <c r="EM51" s="23"/>
      <c r="EN51" s="23"/>
      <c r="EO51" s="357"/>
      <c r="EP51" s="107"/>
      <c r="EQ51" s="355"/>
      <c r="ER51" s="25"/>
      <c r="ES51" s="25"/>
      <c r="ET51" s="25"/>
      <c r="EU51" s="25"/>
      <c r="EV51" s="25"/>
      <c r="EW51" s="25"/>
      <c r="EX51" s="25"/>
      <c r="EY51" s="25"/>
      <c r="EZ51" s="25"/>
      <c r="FA51" s="365"/>
      <c r="FB51" s="362"/>
      <c r="FC51" s="366"/>
      <c r="FD51" s="27"/>
      <c r="FE51" s="27"/>
      <c r="FF51" s="27"/>
      <c r="FG51" s="27"/>
      <c r="FH51" s="27"/>
      <c r="FI51" s="27"/>
      <c r="FJ51" s="27"/>
      <c r="FK51" s="27"/>
      <c r="FL51" s="27"/>
      <c r="FM51" s="371"/>
      <c r="FN51" s="112"/>
      <c r="FO51" s="369"/>
      <c r="FP51" s="29"/>
      <c r="FQ51" s="29"/>
      <c r="FR51" s="29"/>
      <c r="FS51" s="29"/>
      <c r="FT51" s="29"/>
      <c r="FU51" s="29"/>
      <c r="FV51" s="29"/>
      <c r="FW51" s="29"/>
      <c r="FX51" s="29"/>
      <c r="FY51" s="379"/>
      <c r="FZ51" s="264"/>
      <c r="GA51" s="377"/>
      <c r="GB51" s="264"/>
      <c r="GC51" s="264"/>
      <c r="GD51" s="264"/>
      <c r="GE51" s="264"/>
      <c r="GF51" s="264"/>
      <c r="GG51" s="264"/>
      <c r="GH51" s="264"/>
      <c r="GI51" s="264"/>
      <c r="GJ51" s="264"/>
      <c r="GK51" s="386"/>
      <c r="GL51" s="383"/>
      <c r="GM51" s="384"/>
      <c r="GN51" s="30"/>
      <c r="GO51" s="30"/>
      <c r="GP51" s="30"/>
      <c r="GQ51" s="30"/>
      <c r="GR51" s="30"/>
      <c r="GS51" s="30"/>
      <c r="GT51" s="30"/>
      <c r="GU51" s="30"/>
      <c r="GV51" s="30"/>
      <c r="GW51" s="392"/>
      <c r="GX51" s="117"/>
      <c r="GY51" s="390"/>
      <c r="GZ51" s="32"/>
      <c r="HA51" s="32"/>
      <c r="HB51" s="32"/>
      <c r="HC51" s="32"/>
      <c r="HD51" s="32"/>
      <c r="HE51" s="32"/>
      <c r="HF51" s="32"/>
      <c r="HG51" s="32"/>
      <c r="HH51" s="32"/>
      <c r="HI51" s="398"/>
      <c r="HJ51" s="122"/>
      <c r="HK51" s="396"/>
      <c r="HL51" s="34"/>
      <c r="HM51" s="34"/>
      <c r="HN51" s="34"/>
      <c r="HO51" s="34"/>
      <c r="HP51" s="34"/>
      <c r="HQ51" s="34"/>
      <c r="HR51" s="34"/>
      <c r="HS51" s="34"/>
      <c r="HT51" s="34"/>
      <c r="HU51" s="404"/>
      <c r="HV51" s="127"/>
      <c r="HW51" s="402"/>
      <c r="HX51" s="36"/>
      <c r="HY51" s="36"/>
      <c r="HZ51" s="36"/>
      <c r="IA51" s="36"/>
      <c r="IB51" s="36"/>
      <c r="IC51" s="36"/>
      <c r="ID51" s="36"/>
      <c r="IE51" s="36"/>
      <c r="IF51" s="36"/>
    </row>
    <row r="52" spans="1:240" s="145" customFormat="1" x14ac:dyDescent="0.4">
      <c r="A52" s="278"/>
      <c r="B52" s="93"/>
      <c r="C52" s="465"/>
      <c r="D52" s="93"/>
      <c r="E52" s="93"/>
      <c r="F52" s="93"/>
      <c r="G52" s="91" t="s">
        <v>643</v>
      </c>
      <c r="H52" s="93"/>
      <c r="I52" s="93"/>
      <c r="J52" s="93"/>
      <c r="K52" s="91">
        <f>$B$54</f>
        <v>84</v>
      </c>
      <c r="L52" s="93"/>
      <c r="M52" s="285"/>
      <c r="N52" s="283"/>
      <c r="O52" s="466"/>
      <c r="P52" s="283"/>
      <c r="Q52" s="283"/>
      <c r="R52" s="283"/>
      <c r="S52" s="282" t="s">
        <v>643</v>
      </c>
      <c r="T52" s="283"/>
      <c r="U52" s="283"/>
      <c r="V52" s="283"/>
      <c r="W52" s="282">
        <f>$N$54</f>
        <v>61</v>
      </c>
      <c r="X52" s="283"/>
      <c r="Y52" s="293"/>
      <c r="Z52" s="292"/>
      <c r="AA52" s="467"/>
      <c r="AB52" s="292"/>
      <c r="AC52" s="292"/>
      <c r="AD52" s="292"/>
      <c r="AE52" s="290" t="s">
        <v>643</v>
      </c>
      <c r="AF52" s="292"/>
      <c r="AG52" s="292"/>
      <c r="AH52" s="292"/>
      <c r="AI52" s="290">
        <f>$Z$54</f>
        <v>39</v>
      </c>
      <c r="AJ52" s="292"/>
      <c r="AK52" s="414"/>
      <c r="AL52" s="412"/>
      <c r="AM52" s="468"/>
      <c r="AN52" s="412"/>
      <c r="AO52" s="412"/>
      <c r="AP52" s="412"/>
      <c r="AQ52" s="411" t="s">
        <v>643</v>
      </c>
      <c r="AR52" s="412"/>
      <c r="AS52" s="412"/>
      <c r="AT52" s="412"/>
      <c r="AU52" s="411">
        <f>$AL$54</f>
        <v>59</v>
      </c>
      <c r="AV52" s="412"/>
      <c r="AW52" s="299"/>
      <c r="AX52" s="98"/>
      <c r="AY52" s="469"/>
      <c r="AZ52" s="98"/>
      <c r="BA52" s="98"/>
      <c r="BB52" s="98"/>
      <c r="BC52" s="96" t="s">
        <v>643</v>
      </c>
      <c r="BD52" s="98"/>
      <c r="BE52" s="98"/>
      <c r="BF52" s="98"/>
      <c r="BG52" s="96">
        <f>$AX$54</f>
        <v>62</v>
      </c>
      <c r="BH52" s="98"/>
      <c r="BI52" s="305"/>
      <c r="BJ52" s="183"/>
      <c r="BK52" s="470"/>
      <c r="BL52" s="183"/>
      <c r="BM52" s="183"/>
      <c r="BN52" s="183"/>
      <c r="BO52" s="181" t="s">
        <v>643</v>
      </c>
      <c r="BP52" s="183"/>
      <c r="BQ52" s="183"/>
      <c r="BR52" s="183"/>
      <c r="BS52" s="181">
        <f>$BJ$54</f>
        <v>44</v>
      </c>
      <c r="BT52" s="183"/>
      <c r="BU52" s="313"/>
      <c r="BV52" s="311"/>
      <c r="BW52" s="471"/>
      <c r="BX52" s="311"/>
      <c r="BY52" s="311"/>
      <c r="BZ52" s="311"/>
      <c r="CA52" s="310" t="s">
        <v>643</v>
      </c>
      <c r="CB52" s="311"/>
      <c r="CC52" s="311"/>
      <c r="CD52" s="311"/>
      <c r="CE52" s="310">
        <f>$BV$54</f>
        <v>45</v>
      </c>
      <c r="CF52" s="311"/>
      <c r="CG52" s="321"/>
      <c r="CH52" s="319"/>
      <c r="CI52" s="472"/>
      <c r="CJ52" s="319"/>
      <c r="CK52" s="319"/>
      <c r="CL52" s="319"/>
      <c r="CM52" s="318" t="s">
        <v>643</v>
      </c>
      <c r="CN52" s="319"/>
      <c r="CO52" s="319"/>
      <c r="CP52" s="319"/>
      <c r="CQ52" s="318">
        <f>$CH$54</f>
        <v>36</v>
      </c>
      <c r="CR52" s="319"/>
      <c r="CS52" s="329"/>
      <c r="CT52" s="327"/>
      <c r="CU52" s="473"/>
      <c r="CV52" s="327"/>
      <c r="CW52" s="327"/>
      <c r="CX52" s="327"/>
      <c r="CY52" s="326" t="s">
        <v>643</v>
      </c>
      <c r="CZ52" s="327"/>
      <c r="DA52" s="327"/>
      <c r="DB52" s="327"/>
      <c r="DC52" s="326">
        <f>$CT$54</f>
        <v>52</v>
      </c>
      <c r="DD52" s="327"/>
      <c r="DE52" s="337"/>
      <c r="DF52" s="335"/>
      <c r="DG52" s="474"/>
      <c r="DH52" s="335"/>
      <c r="DI52" s="335"/>
      <c r="DJ52" s="335"/>
      <c r="DK52" s="334" t="s">
        <v>643</v>
      </c>
      <c r="DL52" s="335"/>
      <c r="DM52" s="335"/>
      <c r="DN52" s="335"/>
      <c r="DO52" s="334">
        <f>$DF$54</f>
        <v>31</v>
      </c>
      <c r="DP52" s="335"/>
      <c r="DQ52" s="344"/>
      <c r="DR52" s="342"/>
      <c r="DS52" s="475"/>
      <c r="DT52" s="342"/>
      <c r="DU52" s="342"/>
      <c r="DV52" s="342"/>
      <c r="DW52" s="341" t="s">
        <v>643</v>
      </c>
      <c r="DX52" s="342"/>
      <c r="DY52" s="342"/>
      <c r="DZ52" s="342"/>
      <c r="EA52" s="341">
        <f>$DR$54</f>
        <v>34</v>
      </c>
      <c r="EB52" s="342"/>
      <c r="EC52" s="350"/>
      <c r="ED52" s="272"/>
      <c r="EE52" s="476"/>
      <c r="EF52" s="272"/>
      <c r="EG52" s="272"/>
      <c r="EH52" s="272"/>
      <c r="EI52" s="270" t="s">
        <v>643</v>
      </c>
      <c r="EJ52" s="272"/>
      <c r="EK52" s="272"/>
      <c r="EL52" s="272"/>
      <c r="EM52" s="270">
        <f>$ED$54</f>
        <v>67</v>
      </c>
      <c r="EN52" s="272"/>
      <c r="EO52" s="356"/>
      <c r="EP52" s="107"/>
      <c r="EQ52" s="477"/>
      <c r="ER52" s="107"/>
      <c r="ES52" s="107"/>
      <c r="ET52" s="107"/>
      <c r="EU52" s="105" t="s">
        <v>643</v>
      </c>
      <c r="EV52" s="107"/>
      <c r="EW52" s="107"/>
      <c r="EX52" s="107"/>
      <c r="EY52" s="105">
        <f>$EP$54</f>
        <v>89</v>
      </c>
      <c r="EZ52" s="107"/>
      <c r="FA52" s="364"/>
      <c r="FB52" s="362"/>
      <c r="FC52" s="478"/>
      <c r="FD52" s="362"/>
      <c r="FE52" s="362"/>
      <c r="FF52" s="362"/>
      <c r="FG52" s="361" t="s">
        <v>643</v>
      </c>
      <c r="FH52" s="362"/>
      <c r="FI52" s="362"/>
      <c r="FJ52" s="362"/>
      <c r="FK52" s="361">
        <f>$FB$54</f>
        <v>75</v>
      </c>
      <c r="FL52" s="362"/>
      <c r="FM52" s="370"/>
      <c r="FN52" s="112"/>
      <c r="FO52" s="479"/>
      <c r="FP52" s="112"/>
      <c r="FQ52" s="112"/>
      <c r="FR52" s="112"/>
      <c r="FS52" s="110" t="s">
        <v>643</v>
      </c>
      <c r="FT52" s="112"/>
      <c r="FU52" s="112"/>
      <c r="FV52" s="112"/>
      <c r="FW52" s="110">
        <f>$FN$54</f>
        <v>71</v>
      </c>
      <c r="FX52" s="112"/>
      <c r="FY52" s="378"/>
      <c r="FZ52" s="376"/>
      <c r="GA52" s="480"/>
      <c r="GB52" s="376"/>
      <c r="GC52" s="376"/>
      <c r="GD52" s="376"/>
      <c r="GE52" s="375" t="s">
        <v>643</v>
      </c>
      <c r="GF52" s="376"/>
      <c r="GG52" s="376"/>
      <c r="GH52" s="376"/>
      <c r="GI52" s="375">
        <f>$FZ$54</f>
        <v>38</v>
      </c>
      <c r="GJ52" s="376"/>
      <c r="GK52" s="385"/>
      <c r="GL52" s="383"/>
      <c r="GM52" s="481"/>
      <c r="GN52" s="383"/>
      <c r="GO52" s="383"/>
      <c r="GP52" s="383"/>
      <c r="GQ52" s="382" t="s">
        <v>643</v>
      </c>
      <c r="GR52" s="383"/>
      <c r="GS52" s="383"/>
      <c r="GT52" s="383"/>
      <c r="GU52" s="382">
        <f>$GL$54</f>
        <v>25</v>
      </c>
      <c r="GV52" s="383"/>
      <c r="GW52" s="391"/>
      <c r="GX52" s="117"/>
      <c r="GY52" s="482"/>
      <c r="GZ52" s="117"/>
      <c r="HA52" s="117"/>
      <c r="HB52" s="117"/>
      <c r="HC52" s="115" t="s">
        <v>643</v>
      </c>
      <c r="HD52" s="117"/>
      <c r="HE52" s="117"/>
      <c r="HF52" s="117"/>
      <c r="HG52" s="115">
        <f>$GX$54</f>
        <v>60</v>
      </c>
      <c r="HH52" s="117"/>
      <c r="HI52" s="397"/>
      <c r="HJ52" s="122"/>
      <c r="HK52" s="483"/>
      <c r="HL52" s="122"/>
      <c r="HM52" s="122"/>
      <c r="HN52" s="122"/>
      <c r="HO52" s="120" t="s">
        <v>643</v>
      </c>
      <c r="HP52" s="122"/>
      <c r="HQ52" s="122"/>
      <c r="HR52" s="122"/>
      <c r="HS52" s="120">
        <f>$HJ$54</f>
        <v>40</v>
      </c>
      <c r="HT52" s="122"/>
      <c r="HU52" s="403"/>
      <c r="HV52" s="127"/>
      <c r="HW52" s="484"/>
      <c r="HX52" s="127"/>
      <c r="HY52" s="127"/>
      <c r="HZ52" s="127"/>
      <c r="IA52" s="125" t="s">
        <v>643</v>
      </c>
      <c r="IB52" s="127"/>
      <c r="IC52" s="127"/>
      <c r="ID52" s="127"/>
      <c r="IE52" s="125">
        <f>$HV$54</f>
        <v>41</v>
      </c>
      <c r="IF52" s="127"/>
    </row>
    <row r="53" spans="1:240" hidden="1" x14ac:dyDescent="0.4">
      <c r="A53" s="278" t="s">
        <v>112</v>
      </c>
      <c r="B53" s="276"/>
      <c r="C53" s="460"/>
      <c r="D53" s="278"/>
      <c r="E53" s="6"/>
      <c r="F53" s="6"/>
      <c r="G53" s="6"/>
      <c r="H53" s="6"/>
      <c r="I53" s="6"/>
      <c r="J53" s="6"/>
      <c r="K53" s="6"/>
      <c r="L53" s="6"/>
      <c r="M53" s="285" t="s">
        <v>112</v>
      </c>
      <c r="N53" s="9"/>
      <c r="O53" s="9"/>
      <c r="P53" s="285"/>
      <c r="Q53" s="9"/>
      <c r="R53" s="9"/>
      <c r="S53" s="9"/>
      <c r="T53" s="9"/>
      <c r="U53" s="9"/>
      <c r="V53" s="9"/>
      <c r="W53" s="9"/>
      <c r="X53" s="9"/>
      <c r="Y53" s="293" t="s">
        <v>112</v>
      </c>
      <c r="Z53" s="262"/>
      <c r="AA53" s="295"/>
      <c r="AB53" s="293"/>
      <c r="AC53" s="262"/>
      <c r="AD53" s="262"/>
      <c r="AE53" s="262"/>
      <c r="AF53" s="262"/>
      <c r="AG53" s="262"/>
      <c r="AH53" s="262"/>
      <c r="AI53" s="262"/>
      <c r="AJ53" s="262"/>
      <c r="AK53" s="414" t="s">
        <v>112</v>
      </c>
      <c r="AL53" s="410"/>
      <c r="AM53" s="458"/>
      <c r="AN53" s="414"/>
      <c r="AO53" s="410"/>
      <c r="AP53" s="410"/>
      <c r="AQ53" s="410"/>
      <c r="AR53" s="410"/>
      <c r="AS53" s="410"/>
      <c r="AT53" s="410"/>
      <c r="AU53" s="410"/>
      <c r="AV53" s="410"/>
      <c r="AW53" s="299" t="s">
        <v>112</v>
      </c>
      <c r="AX53" s="11"/>
      <c r="AY53" s="301"/>
      <c r="AZ53" s="299"/>
      <c r="BA53" s="11"/>
      <c r="BB53" s="11"/>
      <c r="BC53" s="11"/>
      <c r="BD53" s="11"/>
      <c r="BE53" s="11"/>
      <c r="BF53" s="11"/>
      <c r="BG53" s="11"/>
      <c r="BH53" s="11"/>
      <c r="BI53" s="305" t="s">
        <v>112</v>
      </c>
      <c r="BJ53" s="15"/>
      <c r="BK53" s="307"/>
      <c r="BL53" s="305"/>
      <c r="BM53" s="15"/>
      <c r="BN53" s="15"/>
      <c r="BO53" s="15"/>
      <c r="BP53" s="15"/>
      <c r="BQ53" s="15"/>
      <c r="BR53" s="15"/>
      <c r="BS53" s="15"/>
      <c r="BT53" s="15"/>
      <c r="BU53" s="313" t="s">
        <v>112</v>
      </c>
      <c r="BV53" s="16"/>
      <c r="BW53" s="315"/>
      <c r="BX53" s="313"/>
      <c r="BY53" s="16"/>
      <c r="BZ53" s="16"/>
      <c r="CA53" s="16"/>
      <c r="CB53" s="16"/>
      <c r="CC53" s="16"/>
      <c r="CD53" s="16"/>
      <c r="CE53" s="16"/>
      <c r="CF53" s="16"/>
      <c r="CG53" s="321" t="s">
        <v>112</v>
      </c>
      <c r="CH53" s="19"/>
      <c r="CI53" s="323"/>
      <c r="CJ53" s="321"/>
      <c r="CK53" s="19"/>
      <c r="CL53" s="19"/>
      <c r="CM53" s="19"/>
      <c r="CN53" s="19"/>
      <c r="CO53" s="19"/>
      <c r="CP53" s="19"/>
      <c r="CQ53" s="19"/>
      <c r="CR53" s="19"/>
      <c r="CS53" s="329" t="s">
        <v>112</v>
      </c>
      <c r="CT53" s="178"/>
      <c r="CU53" s="331"/>
      <c r="CV53" s="329"/>
      <c r="CW53" s="178"/>
      <c r="CX53" s="178"/>
      <c r="CY53" s="178"/>
      <c r="CZ53" s="178"/>
      <c r="DA53" s="178"/>
      <c r="DB53" s="178"/>
      <c r="DC53" s="178"/>
      <c r="DD53" s="178"/>
      <c r="DE53" s="337" t="s">
        <v>112</v>
      </c>
      <c r="DF53" s="177"/>
      <c r="DG53" s="459"/>
      <c r="DH53" s="337"/>
      <c r="DI53" s="177"/>
      <c r="DJ53" s="177"/>
      <c r="DK53" s="177"/>
      <c r="DL53" s="177"/>
      <c r="DM53" s="177"/>
      <c r="DN53" s="177"/>
      <c r="DO53" s="177"/>
      <c r="DP53" s="177"/>
      <c r="DQ53" s="344" t="s">
        <v>112</v>
      </c>
      <c r="DR53" s="21"/>
      <c r="DS53" s="346"/>
      <c r="DT53" s="344"/>
      <c r="DU53" s="21"/>
      <c r="DV53" s="21"/>
      <c r="DW53" s="21"/>
      <c r="DX53" s="21"/>
      <c r="DY53" s="21"/>
      <c r="DZ53" s="21"/>
      <c r="EA53" s="21"/>
      <c r="EB53" s="21"/>
      <c r="EC53" s="350" t="s">
        <v>112</v>
      </c>
      <c r="ED53" s="23"/>
      <c r="EE53" s="352"/>
      <c r="EF53" s="350"/>
      <c r="EG53" s="23"/>
      <c r="EH53" s="23"/>
      <c r="EI53" s="23"/>
      <c r="EJ53" s="23"/>
      <c r="EK53" s="23"/>
      <c r="EL53" s="23"/>
      <c r="EM53" s="23"/>
      <c r="EN53" s="23"/>
      <c r="EO53" s="356" t="s">
        <v>112</v>
      </c>
      <c r="EP53" s="25"/>
      <c r="EQ53" s="358"/>
      <c r="ER53" s="356"/>
      <c r="ES53" s="25"/>
      <c r="ET53" s="25"/>
      <c r="EU53" s="25"/>
      <c r="EV53" s="25"/>
      <c r="EW53" s="25"/>
      <c r="EX53" s="25"/>
      <c r="EY53" s="25"/>
      <c r="EZ53" s="25"/>
      <c r="FA53" s="364" t="s">
        <v>112</v>
      </c>
      <c r="FB53" s="27"/>
      <c r="FC53" s="366"/>
      <c r="FD53" s="364"/>
      <c r="FE53" s="27"/>
      <c r="FF53" s="27"/>
      <c r="FG53" s="27"/>
      <c r="FH53" s="27"/>
      <c r="FI53" s="27"/>
      <c r="FJ53" s="27"/>
      <c r="FK53" s="27"/>
      <c r="FL53" s="27"/>
      <c r="FM53" s="370" t="s">
        <v>112</v>
      </c>
      <c r="FN53" s="29"/>
      <c r="FO53" s="372"/>
      <c r="FP53" s="370"/>
      <c r="FQ53" s="29"/>
      <c r="FR53" s="29"/>
      <c r="FS53" s="29"/>
      <c r="FT53" s="29"/>
      <c r="FU53" s="29"/>
      <c r="FV53" s="29"/>
      <c r="FW53" s="29"/>
      <c r="FX53" s="29"/>
      <c r="FY53" s="378" t="s">
        <v>112</v>
      </c>
      <c r="FZ53" s="264"/>
      <c r="GA53" s="380"/>
      <c r="GB53" s="378"/>
      <c r="GC53" s="264"/>
      <c r="GD53" s="264"/>
      <c r="GE53" s="264"/>
      <c r="GF53" s="264"/>
      <c r="GG53" s="264"/>
      <c r="GH53" s="264"/>
      <c r="GI53" s="264"/>
      <c r="GJ53" s="264"/>
      <c r="GK53" s="385" t="s">
        <v>112</v>
      </c>
      <c r="GL53" s="30"/>
      <c r="GM53" s="387"/>
      <c r="GN53" s="385"/>
      <c r="GO53" s="30"/>
      <c r="GP53" s="30"/>
      <c r="GQ53" s="30"/>
      <c r="GR53" s="30"/>
      <c r="GS53" s="30"/>
      <c r="GT53" s="30"/>
      <c r="GU53" s="30"/>
      <c r="GV53" s="30"/>
      <c r="GW53" s="391" t="s">
        <v>112</v>
      </c>
      <c r="GX53" s="32"/>
      <c r="GY53" s="393"/>
      <c r="GZ53" s="391"/>
      <c r="HA53" s="32"/>
      <c r="HB53" s="32"/>
      <c r="HC53" s="32"/>
      <c r="HD53" s="32"/>
      <c r="HE53" s="32"/>
      <c r="HF53" s="32"/>
      <c r="HG53" s="32"/>
      <c r="HH53" s="32"/>
      <c r="HI53" s="397" t="s">
        <v>112</v>
      </c>
      <c r="HJ53" s="34"/>
      <c r="HK53" s="399"/>
      <c r="HL53" s="397"/>
      <c r="HM53" s="34"/>
      <c r="HN53" s="34"/>
      <c r="HO53" s="34"/>
      <c r="HP53" s="34"/>
      <c r="HQ53" s="34"/>
      <c r="HR53" s="34"/>
      <c r="HS53" s="34"/>
      <c r="HT53" s="34"/>
      <c r="HU53" s="403" t="s">
        <v>112</v>
      </c>
      <c r="HV53" s="36"/>
      <c r="HW53" s="405"/>
      <c r="HX53" s="403"/>
      <c r="HY53" s="36"/>
      <c r="HZ53" s="36"/>
      <c r="IA53" s="36"/>
      <c r="IB53" s="36"/>
      <c r="IC53" s="36"/>
      <c r="ID53" s="36"/>
      <c r="IE53" s="36"/>
      <c r="IF53" s="36"/>
    </row>
    <row r="54" spans="1:240" hidden="1" x14ac:dyDescent="0.4">
      <c r="A54" s="278" t="s">
        <v>611</v>
      </c>
      <c r="B54" s="93">
        <f>3*B56+B57</f>
        <v>84</v>
      </c>
      <c r="C54" s="276"/>
      <c r="D54" s="278" t="s">
        <v>119</v>
      </c>
      <c r="E54" s="93">
        <f>SUM(G2:G51)</f>
        <v>88</v>
      </c>
      <c r="F54" s="6"/>
      <c r="G54" s="6" t="str">
        <f ca="1">INDIRECT(A$61&amp;J54)</f>
        <v>W</v>
      </c>
      <c r="H54" s="6"/>
      <c r="I54" s="6"/>
      <c r="J54" s="6">
        <f>LOOKUP(2,1 / (J2:J50&lt;&gt; ""),ROW(J2:J50))</f>
        <v>49</v>
      </c>
      <c r="K54" s="6"/>
      <c r="L54" s="6"/>
      <c r="M54" s="285" t="s">
        <v>611</v>
      </c>
      <c r="N54" s="9">
        <f>3*N56+N57</f>
        <v>61</v>
      </c>
      <c r="O54" s="9"/>
      <c r="P54" s="285" t="s">
        <v>119</v>
      </c>
      <c r="Q54" s="9">
        <f>SUM(S2:S51)</f>
        <v>51</v>
      </c>
      <c r="R54" s="9"/>
      <c r="S54" s="9" t="str">
        <f ca="1">INDIRECT(M$61&amp;V54)</f>
        <v>W</v>
      </c>
      <c r="T54" s="9"/>
      <c r="U54" s="9"/>
      <c r="V54" s="9">
        <f>LOOKUP(2,1 / (V2:V50&lt;&gt; ""),ROW(V2:V50))</f>
        <v>49</v>
      </c>
      <c r="W54" s="9"/>
      <c r="X54" s="9"/>
      <c r="Y54" s="293" t="s">
        <v>611</v>
      </c>
      <c r="Z54" s="262">
        <f>3*Z56+Z57</f>
        <v>39</v>
      </c>
      <c r="AA54" s="295"/>
      <c r="AB54" s="293" t="s">
        <v>119</v>
      </c>
      <c r="AC54" s="262">
        <f>SUM(AE2:AE51)</f>
        <v>37</v>
      </c>
      <c r="AD54" s="262"/>
      <c r="AE54" s="262" t="str">
        <f ca="1">INDIRECT(Y$61&amp;AH54)</f>
        <v>L</v>
      </c>
      <c r="AF54" s="262"/>
      <c r="AG54" s="262"/>
      <c r="AH54" s="262">
        <f>LOOKUP(2,1 / (AH2:AH50&lt;&gt; ""),ROW(AH2:AH50))</f>
        <v>49</v>
      </c>
      <c r="AI54" s="262"/>
      <c r="AJ54" s="262"/>
      <c r="AK54" s="414" t="s">
        <v>611</v>
      </c>
      <c r="AL54" s="410">
        <f>3*AL56+AL57</f>
        <v>59</v>
      </c>
      <c r="AM54" s="458"/>
      <c r="AN54" s="414" t="s">
        <v>119</v>
      </c>
      <c r="AO54" s="410">
        <f>SUM(AQ2:AQ51)</f>
        <v>58</v>
      </c>
      <c r="AP54" s="410"/>
      <c r="AQ54" s="410" t="str">
        <f ca="1">INDIRECT(AK$61&amp;AT54)</f>
        <v>W</v>
      </c>
      <c r="AR54" s="410"/>
      <c r="AS54" s="410"/>
      <c r="AT54" s="410">
        <f>LOOKUP(2,1 / (AT2:AT50&lt;&gt; ""),ROW(AT2:AT50))</f>
        <v>49</v>
      </c>
      <c r="AU54" s="410"/>
      <c r="AV54" s="410"/>
      <c r="AW54" s="299" t="s">
        <v>611</v>
      </c>
      <c r="AX54" s="11">
        <f>3*AX56+AX57</f>
        <v>62</v>
      </c>
      <c r="AY54" s="301"/>
      <c r="AZ54" s="299" t="s">
        <v>119</v>
      </c>
      <c r="BA54" s="11">
        <f>SUM(BC2:BC51)</f>
        <v>72</v>
      </c>
      <c r="BB54" s="11"/>
      <c r="BC54" s="11" t="str">
        <f ca="1">INDIRECT(AW$61&amp;BF54)</f>
        <v>L</v>
      </c>
      <c r="BD54" s="11"/>
      <c r="BE54" s="11"/>
      <c r="BF54" s="11">
        <f>LOOKUP(2,1 / (BF2:BF50&lt;&gt; ""),ROW(BF2:BF50))</f>
        <v>49</v>
      </c>
      <c r="BG54" s="11"/>
      <c r="BH54" s="11"/>
      <c r="BI54" s="305" t="s">
        <v>611</v>
      </c>
      <c r="BJ54" s="15">
        <f>3*BJ56+BJ57</f>
        <v>44</v>
      </c>
      <c r="BK54" s="307"/>
      <c r="BL54" s="305" t="s">
        <v>119</v>
      </c>
      <c r="BM54" s="15">
        <f>SUM(BO2:BO51)</f>
        <v>38</v>
      </c>
      <c r="BN54" s="15"/>
      <c r="BO54" s="15" t="str">
        <f ca="1">INDIRECT(BI$61&amp;BR54)</f>
        <v>D</v>
      </c>
      <c r="BP54" s="15"/>
      <c r="BQ54" s="15"/>
      <c r="BR54" s="15">
        <f>LOOKUP(2,1 / (BR2:BR50&lt;&gt; ""),ROW(BR2:BR50))</f>
        <v>49</v>
      </c>
      <c r="BS54" s="15"/>
      <c r="BT54" s="15"/>
      <c r="BU54" s="313" t="s">
        <v>611</v>
      </c>
      <c r="BV54" s="16">
        <f>3*BV56+BV57</f>
        <v>45</v>
      </c>
      <c r="BW54" s="315"/>
      <c r="BX54" s="313" t="s">
        <v>119</v>
      </c>
      <c r="BY54" s="16">
        <f>SUM(CA2:CA51)</f>
        <v>40</v>
      </c>
      <c r="BZ54" s="16"/>
      <c r="CA54" s="16" t="str">
        <f ca="1">INDIRECT(BU$61&amp;CD54)</f>
        <v>D</v>
      </c>
      <c r="CB54" s="16"/>
      <c r="CC54" s="16"/>
      <c r="CD54" s="16">
        <f>LOOKUP(2,1 / (CD2:CD50&lt;&gt; ""),ROW(CD2:CD50))</f>
        <v>49</v>
      </c>
      <c r="CE54" s="16"/>
      <c r="CF54" s="16"/>
      <c r="CG54" s="321" t="s">
        <v>611</v>
      </c>
      <c r="CH54" s="19">
        <f>3*CH56+CH57</f>
        <v>36</v>
      </c>
      <c r="CI54" s="323"/>
      <c r="CJ54" s="321" t="s">
        <v>119</v>
      </c>
      <c r="CK54" s="19">
        <f>SUM(CM2:CM51)</f>
        <v>34</v>
      </c>
      <c r="CL54" s="19"/>
      <c r="CM54" s="19" t="str">
        <f ca="1">INDIRECT(CG$61&amp;CP54)</f>
        <v>W</v>
      </c>
      <c r="CN54" s="19"/>
      <c r="CO54" s="19"/>
      <c r="CP54" s="19">
        <f>LOOKUP(2,1 / (CP2:CP50&lt;&gt; ""),ROW(CP2:CP50))</f>
        <v>49</v>
      </c>
      <c r="CQ54" s="19"/>
      <c r="CR54" s="19"/>
      <c r="CS54" s="329" t="s">
        <v>611</v>
      </c>
      <c r="CT54" s="178">
        <f>3*CT56+CT57</f>
        <v>52</v>
      </c>
      <c r="CU54" s="331"/>
      <c r="CV54" s="329" t="s">
        <v>119</v>
      </c>
      <c r="CW54" s="178">
        <f>SUM(CY2:CY51)</f>
        <v>55</v>
      </c>
      <c r="CX54" s="178"/>
      <c r="CY54" s="178" t="str">
        <f ca="1">INDIRECT(CS$61&amp;DB54)</f>
        <v>L</v>
      </c>
      <c r="CZ54" s="178"/>
      <c r="DA54" s="178"/>
      <c r="DB54" s="178">
        <f>LOOKUP(2,1 / (DB2:DB50&lt;&gt; ""),ROW(DB2:DB50))</f>
        <v>49</v>
      </c>
      <c r="DC54" s="178"/>
      <c r="DD54" s="178"/>
      <c r="DE54" s="337" t="s">
        <v>611</v>
      </c>
      <c r="DF54" s="177">
        <f>3*DF56+DF57</f>
        <v>31</v>
      </c>
      <c r="DG54" s="459"/>
      <c r="DH54" s="337" t="s">
        <v>119</v>
      </c>
      <c r="DI54" s="177">
        <f>SUM(DK2:DK51)</f>
        <v>48</v>
      </c>
      <c r="DJ54" s="177"/>
      <c r="DK54" s="177" t="str">
        <f ca="1">INDIRECT(DE$61&amp;DN54)</f>
        <v>L</v>
      </c>
      <c r="DL54" s="177"/>
      <c r="DM54" s="177"/>
      <c r="DN54" s="177">
        <f>LOOKUP(2,1 / (DN2:DN50&lt;&gt; ""),ROW(DN2:DN50))</f>
        <v>49</v>
      </c>
      <c r="DO54" s="177"/>
      <c r="DP54" s="177"/>
      <c r="DQ54" s="344" t="s">
        <v>611</v>
      </c>
      <c r="DR54" s="21">
        <f>3*DR56+DR57</f>
        <v>34</v>
      </c>
      <c r="DS54" s="346"/>
      <c r="DT54" s="344" t="s">
        <v>119</v>
      </c>
      <c r="DU54" s="21">
        <f>SUM(DW2:DW51)</f>
        <v>51</v>
      </c>
      <c r="DV54" s="21"/>
      <c r="DW54" s="21" t="str">
        <f ca="1">INDIRECT(DQ$61&amp;DZ54)</f>
        <v>W</v>
      </c>
      <c r="DX54" s="21"/>
      <c r="DY54" s="21"/>
      <c r="DZ54" s="21">
        <f>LOOKUP(2,1 / (DZ2:DZ50&lt;&gt; ""),ROW(DZ2:DZ50))</f>
        <v>49</v>
      </c>
      <c r="EA54" s="21"/>
      <c r="EB54" s="21"/>
      <c r="EC54" s="350" t="s">
        <v>611</v>
      </c>
      <c r="ED54" s="23">
        <f>3*ED56+ED57</f>
        <v>67</v>
      </c>
      <c r="EE54" s="352"/>
      <c r="EF54" s="350" t="s">
        <v>119</v>
      </c>
      <c r="EG54" s="23">
        <f>SUM(EI2:EI51)</f>
        <v>75</v>
      </c>
      <c r="EH54" s="23"/>
      <c r="EI54" s="23" t="str">
        <f ca="1">INDIRECT(EC$61&amp;EL54)</f>
        <v>D</v>
      </c>
      <c r="EJ54" s="23"/>
      <c r="EK54" s="23"/>
      <c r="EL54" s="23">
        <f>LOOKUP(2,1 / (EL2:EL50&lt;&gt; ""),ROW(EL2:EL50))</f>
        <v>49</v>
      </c>
      <c r="EM54" s="23"/>
      <c r="EN54" s="23"/>
      <c r="EO54" s="356" t="s">
        <v>611</v>
      </c>
      <c r="EP54" s="25">
        <f>3*EP56+EP57</f>
        <v>89</v>
      </c>
      <c r="EQ54" s="358"/>
      <c r="ER54" s="356" t="s">
        <v>119</v>
      </c>
      <c r="ES54" s="25">
        <f>SUM(EU2:EU51)</f>
        <v>94</v>
      </c>
      <c r="ET54" s="25"/>
      <c r="EU54" s="25" t="str">
        <f ca="1">INDIRECT(EO$61&amp;EX54)</f>
        <v>L</v>
      </c>
      <c r="EV54" s="25"/>
      <c r="EW54" s="25"/>
      <c r="EX54" s="25">
        <f>LOOKUP(2,1 / (EX2:EX50&lt;&gt; ""),ROW(EX2:EX50))</f>
        <v>49</v>
      </c>
      <c r="EY54" s="25"/>
      <c r="EZ54" s="25"/>
      <c r="FA54" s="364" t="s">
        <v>611</v>
      </c>
      <c r="FB54" s="27">
        <f>3*FB56+FB57</f>
        <v>75</v>
      </c>
      <c r="FC54" s="366"/>
      <c r="FD54" s="364" t="s">
        <v>119</v>
      </c>
      <c r="FE54" s="27">
        <f>SUM(FG2:FG51)</f>
        <v>58</v>
      </c>
      <c r="FF54" s="27"/>
      <c r="FG54" s="27" t="str">
        <f ca="1">INDIRECT(FA$61&amp;FJ54)</f>
        <v>W</v>
      </c>
      <c r="FH54" s="27"/>
      <c r="FI54" s="27"/>
      <c r="FJ54" s="27">
        <f>LOOKUP(2,1 / (FJ2:FJ50&lt;&gt; ""),ROW(FJ2:FJ50))</f>
        <v>49</v>
      </c>
      <c r="FK54" s="27"/>
      <c r="FL54" s="27"/>
      <c r="FM54" s="370" t="s">
        <v>611</v>
      </c>
      <c r="FN54" s="29">
        <f>3*FN56+FN57</f>
        <v>71</v>
      </c>
      <c r="FO54" s="372"/>
      <c r="FP54" s="370" t="s">
        <v>119</v>
      </c>
      <c r="FQ54" s="29">
        <f>SUM(FS2:FS51)</f>
        <v>68</v>
      </c>
      <c r="FR54" s="29"/>
      <c r="FS54" s="29" t="str">
        <f ca="1">INDIRECT(FM$61&amp;FV54)</f>
        <v>D</v>
      </c>
      <c r="FT54" s="29"/>
      <c r="FU54" s="29"/>
      <c r="FV54" s="29">
        <f>LOOKUP(2,1 / (FV2:FV50&lt;&gt; ""),ROW(FV2:FV50))</f>
        <v>49</v>
      </c>
      <c r="FW54" s="29"/>
      <c r="FX54" s="29"/>
      <c r="FY54" s="378" t="s">
        <v>611</v>
      </c>
      <c r="FZ54" s="264">
        <f>3*FZ56+FZ57</f>
        <v>38</v>
      </c>
      <c r="GA54" s="380"/>
      <c r="GB54" s="378" t="s">
        <v>119</v>
      </c>
      <c r="GC54" s="264">
        <f>SUM(GE2:GE51)</f>
        <v>38</v>
      </c>
      <c r="GD54" s="264"/>
      <c r="GE54" s="264" t="str">
        <f ca="1">INDIRECT(FY$61&amp;GH54)</f>
        <v>D</v>
      </c>
      <c r="GF54" s="264"/>
      <c r="GG54" s="264"/>
      <c r="GH54" s="264">
        <f>LOOKUP(2,1 / (GH2:GH50&lt;&gt; ""),ROW(GH2:GH50))</f>
        <v>49</v>
      </c>
      <c r="GI54" s="264"/>
      <c r="GJ54" s="264"/>
      <c r="GK54" s="385" t="s">
        <v>611</v>
      </c>
      <c r="GL54" s="30">
        <f>3*GL56+GL57</f>
        <v>25</v>
      </c>
      <c r="GM54" s="387"/>
      <c r="GN54" s="385" t="s">
        <v>119</v>
      </c>
      <c r="GO54" s="30">
        <f>SUM(GQ2:GQ51)</f>
        <v>36</v>
      </c>
      <c r="GP54" s="30"/>
      <c r="GQ54" s="30" t="str">
        <f ca="1">INDIRECT(GK$61&amp;GT54)</f>
        <v>D</v>
      </c>
      <c r="GR54" s="30"/>
      <c r="GS54" s="30"/>
      <c r="GT54" s="30">
        <f>LOOKUP(2,1 / (GT2:GT50&lt;&gt; ""),ROW(GT2:GT50))</f>
        <v>49</v>
      </c>
      <c r="GU54" s="30"/>
      <c r="GV54" s="30"/>
      <c r="GW54" s="391" t="s">
        <v>611</v>
      </c>
      <c r="GX54" s="32">
        <f>3*GX56+GX57</f>
        <v>60</v>
      </c>
      <c r="GY54" s="393"/>
      <c r="GZ54" s="391" t="s">
        <v>119</v>
      </c>
      <c r="HA54" s="32">
        <f>SUM(HC2:HC51)</f>
        <v>70</v>
      </c>
      <c r="HB54" s="32"/>
      <c r="HC54" s="32" t="str">
        <f ca="1">INDIRECT(GW$61&amp;HF54)</f>
        <v>W</v>
      </c>
      <c r="HD54" s="32"/>
      <c r="HE54" s="32"/>
      <c r="HF54" s="32">
        <f>LOOKUP(2,1 / (HF2:HF50&lt;&gt; ""),ROW(HF2:HF50))</f>
        <v>49</v>
      </c>
      <c r="HG54" s="32"/>
      <c r="HH54" s="32"/>
      <c r="HI54" s="397" t="s">
        <v>611</v>
      </c>
      <c r="HJ54" s="34">
        <f>3*HJ56+HJ57</f>
        <v>40</v>
      </c>
      <c r="HK54" s="399"/>
      <c r="HL54" s="397" t="s">
        <v>119</v>
      </c>
      <c r="HM54" s="34">
        <f>SUM(HO2:HO51)</f>
        <v>42</v>
      </c>
      <c r="HN54" s="34"/>
      <c r="HO54" s="34" t="str">
        <f ca="1">INDIRECT(HI$61&amp;HR54)</f>
        <v>L</v>
      </c>
      <c r="HP54" s="34"/>
      <c r="HQ54" s="34"/>
      <c r="HR54" s="34">
        <f>LOOKUP(2,1 / (HR2:HR50&lt;&gt; ""),ROW(HR2:HR50))</f>
        <v>49</v>
      </c>
      <c r="HS54" s="34"/>
      <c r="HT54" s="34"/>
      <c r="HU54" s="403" t="s">
        <v>611</v>
      </c>
      <c r="HV54" s="36">
        <f>3*HV56+HV57</f>
        <v>41</v>
      </c>
      <c r="HW54" s="405"/>
      <c r="HX54" s="403" t="s">
        <v>119</v>
      </c>
      <c r="HY54" s="36">
        <f>SUM(IA2:IA51)</f>
        <v>31</v>
      </c>
      <c r="HZ54" s="36"/>
      <c r="IA54" s="36" t="str">
        <f ca="1">INDIRECT(HU$61&amp;ID54)</f>
        <v>L</v>
      </c>
      <c r="IB54" s="36"/>
      <c r="IC54" s="36"/>
      <c r="ID54" s="36">
        <f>LOOKUP(2,1 / (ID2:ID50&lt;&gt; ""),ROW(ID2:ID50))</f>
        <v>49</v>
      </c>
      <c r="IE54" s="36"/>
      <c r="IF54" s="36"/>
    </row>
    <row r="55" spans="1:240" hidden="1" x14ac:dyDescent="0.4">
      <c r="A55" s="278" t="s">
        <v>114</v>
      </c>
      <c r="B55" s="93">
        <f>SUM(B56:B59)</f>
        <v>38</v>
      </c>
      <c r="C55" s="276"/>
      <c r="D55" s="278" t="s">
        <v>118</v>
      </c>
      <c r="E55" s="93">
        <f>SUM(I2:I51)</f>
        <v>43</v>
      </c>
      <c r="F55" s="6"/>
      <c r="G55" s="6" t="str">
        <f ca="1">INDIRECT(A$61&amp;J55)</f>
        <v>L</v>
      </c>
      <c r="H55" s="6"/>
      <c r="I55" s="6"/>
      <c r="J55" s="6">
        <f ca="1">IF(ISBLANK(INDIRECT(A$61&amp;J54-1)), LOOKUP(2,1 / (J$2:(INDIRECT(A$61&amp;J54-2)) &lt;&gt; ""),ROW(J$2:(INDIRECT(A$61&amp;J54-2)))),LOOKUP(2,1 / (J$2:(INDIRECT(A$61&amp;J54-1)) &lt;&gt; ""),ROW(J$2:(INDIRECT(A$61&amp;J54-1)))))</f>
        <v>48</v>
      </c>
      <c r="K55" s="6"/>
      <c r="L55" s="6"/>
      <c r="M55" s="285" t="s">
        <v>114</v>
      </c>
      <c r="N55" s="9">
        <f>SUM(N56:N59)</f>
        <v>38</v>
      </c>
      <c r="O55" s="9"/>
      <c r="P55" s="285" t="s">
        <v>118</v>
      </c>
      <c r="Q55" s="9">
        <f>SUM(U2:U51)</f>
        <v>46</v>
      </c>
      <c r="R55" s="9"/>
      <c r="S55" s="9" t="str">
        <f ca="1">INDIRECT(M$61&amp;V55)</f>
        <v>D</v>
      </c>
      <c r="T55" s="9"/>
      <c r="U55" s="9"/>
      <c r="V55" s="9">
        <f ca="1">IF(ISBLANK(INDIRECT(M$61&amp;V54-1)), LOOKUP(2,1 / (V$2:(INDIRECT(M$61&amp;V54-2)) &lt;&gt; ""),ROW(V$2:(INDIRECT(M$61&amp;V54-2)))),LOOKUP(2,1 / (V$2:(INDIRECT(M$61&amp;V54-1)) &lt;&gt; ""),ROW(V$2:(INDIRECT(M$61&amp;V54-1)))))</f>
        <v>48</v>
      </c>
      <c r="W55" s="9"/>
      <c r="X55" s="9"/>
      <c r="Y55" s="293" t="s">
        <v>114</v>
      </c>
      <c r="Z55" s="262">
        <f>SUM(Z56:Z59)</f>
        <v>38</v>
      </c>
      <c r="AA55" s="262"/>
      <c r="AB55" s="293" t="s">
        <v>118</v>
      </c>
      <c r="AC55" s="262">
        <f>SUM(AG2:AG51)</f>
        <v>71</v>
      </c>
      <c r="AD55" s="262"/>
      <c r="AE55" s="262" t="str">
        <f ca="1">INDIRECT(Y$61&amp;AH55)</f>
        <v>L</v>
      </c>
      <c r="AF55" s="262"/>
      <c r="AG55" s="262"/>
      <c r="AH55" s="262">
        <f ca="1">IF(ISBLANK(INDIRECT(Y$61&amp;AH54-1)), LOOKUP(2,1 / (AH$2:(INDIRECT(Y$61&amp;AH54-2)) &lt;&gt; ""),ROW(AH$2:(INDIRECT(Y$61&amp;AH54-2)))),LOOKUP(2,1 / (AH$2:(INDIRECT(Y$61&amp;AH54-1)) &lt;&gt; ""),ROW(AH$2:(INDIRECT(Y$61&amp;AH54-1)))))</f>
        <v>48</v>
      </c>
      <c r="AI55" s="262"/>
      <c r="AJ55" s="262"/>
      <c r="AK55" s="414" t="s">
        <v>114</v>
      </c>
      <c r="AL55" s="410">
        <f>SUM(AL56:AL59)</f>
        <v>38</v>
      </c>
      <c r="AM55" s="410"/>
      <c r="AN55" s="414" t="s">
        <v>118</v>
      </c>
      <c r="AO55" s="410">
        <f>SUM(AS2:AS51)</f>
        <v>46</v>
      </c>
      <c r="AP55" s="410"/>
      <c r="AQ55" s="410" t="str">
        <f ca="1">INDIRECT(AK$61&amp;AT55)</f>
        <v>W</v>
      </c>
      <c r="AR55" s="410"/>
      <c r="AS55" s="410"/>
      <c r="AT55" s="410">
        <f ca="1">IF(ISBLANK(INDIRECT(AK$61&amp;AT54-1)), LOOKUP(2,1 / (AT$2:(INDIRECT(AK$61&amp;AT54-2)) &lt;&gt; ""),ROW(AT$2:(INDIRECT(AK$61&amp;AT54-2)))),LOOKUP(2,1 / (AT$2:(INDIRECT(AK$61&amp;AT54-1)) &lt;&gt; ""),ROW(AT$2:(INDIRECT(AK$61&amp;AT54-1)))))</f>
        <v>48</v>
      </c>
      <c r="AU55" s="410"/>
      <c r="AV55" s="410"/>
      <c r="AW55" s="299" t="s">
        <v>114</v>
      </c>
      <c r="AX55" s="11">
        <f>SUM(AX56:AX59)</f>
        <v>38</v>
      </c>
      <c r="AY55" s="11"/>
      <c r="AZ55" s="299" t="s">
        <v>118</v>
      </c>
      <c r="BA55" s="11">
        <f>SUM(BE2:BE51)</f>
        <v>53</v>
      </c>
      <c r="BB55" s="11"/>
      <c r="BC55" s="11" t="str">
        <f ca="1">INDIRECT(AW$61&amp;BF55)</f>
        <v>D</v>
      </c>
      <c r="BD55" s="11"/>
      <c r="BE55" s="11"/>
      <c r="BF55" s="11">
        <f ca="1">IF(ISBLANK(INDIRECT(AW$61&amp;BF54-1)), LOOKUP(2,1 / (BF$2:(INDIRECT(AW$61&amp;BF54-2)) &lt;&gt; ""),ROW(BF$2:(INDIRECT(AW$61&amp;BF54-2)))),LOOKUP(2,1 / (BF$2:(INDIRECT(AW$61&amp;BF54-1)) &lt;&gt; ""),ROW(BF$2:(INDIRECT(AW$61&amp;BF54-1)))))</f>
        <v>48</v>
      </c>
      <c r="BG55" s="11"/>
      <c r="BH55" s="11"/>
      <c r="BI55" s="305" t="s">
        <v>114</v>
      </c>
      <c r="BJ55" s="15">
        <f>SUM(BJ56:BJ59)</f>
        <v>38</v>
      </c>
      <c r="BK55" s="15"/>
      <c r="BL55" s="305" t="s">
        <v>118</v>
      </c>
      <c r="BM55" s="15">
        <f>SUM(BQ2:BQ51)</f>
        <v>47</v>
      </c>
      <c r="BN55" s="15"/>
      <c r="BO55" s="15" t="str">
        <f ca="1">INDIRECT(BI$61&amp;BR55)</f>
        <v>L</v>
      </c>
      <c r="BP55" s="15"/>
      <c r="BQ55" s="15"/>
      <c r="BR55" s="15">
        <f ca="1">IF(ISBLANK(INDIRECT(BI$61&amp;BR54-1)), LOOKUP(2,1 / (BR$2:(INDIRECT(BI$61&amp;BR54-2)) &lt;&gt; ""),ROW(BR$2:(INDIRECT(BI$61&amp;BR54-2)))),LOOKUP(2,1 / (BR$2:(INDIRECT(BI$61&amp;BR54-1)) &lt;&gt; ""),ROW(BR$2:(INDIRECT(BI$61&amp;BR54-1)))))</f>
        <v>48</v>
      </c>
      <c r="BS55" s="15"/>
      <c r="BT55" s="15"/>
      <c r="BU55" s="313" t="s">
        <v>114</v>
      </c>
      <c r="BV55" s="16">
        <f>SUM(BV56:BV59)</f>
        <v>38</v>
      </c>
      <c r="BW55" s="16"/>
      <c r="BX55" s="313" t="s">
        <v>118</v>
      </c>
      <c r="BY55" s="16">
        <f>SUM(CC2:CC51)</f>
        <v>49</v>
      </c>
      <c r="BZ55" s="16"/>
      <c r="CA55" s="16" t="str">
        <f ca="1">INDIRECT(BU$61&amp;CD55)</f>
        <v>D</v>
      </c>
      <c r="CB55" s="16"/>
      <c r="CC55" s="16"/>
      <c r="CD55" s="16">
        <f ca="1">IF(ISBLANK(INDIRECT(BU$61&amp;CD54-1)), LOOKUP(2,1 / (CD$2:(INDIRECT(BU$61&amp;CD54-2)) &lt;&gt; ""),ROW(CD$2:(INDIRECT(BU$61&amp;CD54-2)))),LOOKUP(2,1 / (CD$2:(INDIRECT(BU$61&amp;CD54-1)) &lt;&gt; ""),ROW(CD$2:(INDIRECT(BU$61&amp;CD54-1)))))</f>
        <v>48</v>
      </c>
      <c r="CE55" s="16"/>
      <c r="CF55" s="16"/>
      <c r="CG55" s="321" t="s">
        <v>114</v>
      </c>
      <c r="CH55" s="19">
        <f>SUM(CH56:CH59)</f>
        <v>38</v>
      </c>
      <c r="CI55" s="19"/>
      <c r="CJ55" s="321" t="s">
        <v>118</v>
      </c>
      <c r="CK55" s="19">
        <f>SUM(CO2:CO51)</f>
        <v>57</v>
      </c>
      <c r="CL55" s="19"/>
      <c r="CM55" s="19" t="str">
        <f ca="1">INDIRECT(CG$61&amp;CP55)</f>
        <v>D</v>
      </c>
      <c r="CN55" s="19"/>
      <c r="CO55" s="19"/>
      <c r="CP55" s="19">
        <f ca="1">IF(ISBLANK(INDIRECT(CG$61&amp;CP54-1)), LOOKUP(2,1 / (CP$2:(INDIRECT(CG$61&amp;CP54-2)) &lt;&gt; ""),ROW(CP$2:(INDIRECT(CG$61&amp;CP54-2)))),LOOKUP(2,1 / (CP$2:(INDIRECT(CG$61&amp;CP54-1)) &lt;&gt; ""),ROW(CP$2:(INDIRECT(CG$61&amp;CP54-1)))))</f>
        <v>48</v>
      </c>
      <c r="CQ55" s="19"/>
      <c r="CR55" s="19"/>
      <c r="CS55" s="329" t="s">
        <v>114</v>
      </c>
      <c r="CT55" s="178">
        <f>SUM(CT56:CT59)</f>
        <v>38</v>
      </c>
      <c r="CU55" s="178"/>
      <c r="CV55" s="329" t="s">
        <v>118</v>
      </c>
      <c r="CW55" s="178">
        <f>SUM(DA2:DA51)</f>
        <v>53</v>
      </c>
      <c r="CX55" s="178"/>
      <c r="CY55" s="178" t="str">
        <f ca="1">INDIRECT(CS$61&amp;DB55)</f>
        <v>D</v>
      </c>
      <c r="CZ55" s="178"/>
      <c r="DA55" s="178"/>
      <c r="DB55" s="178">
        <f ca="1">IF(ISBLANK(INDIRECT(CS$61&amp;DB54-1)), LOOKUP(2,1 / (DB$2:(INDIRECT(CS$61&amp;DB54-2)) &lt;&gt; ""),ROW(DB$2:(INDIRECT(CS$61&amp;DB54-2)))),LOOKUP(2,1 / (DB$2:(INDIRECT(CS$61&amp;DB54-1)) &lt;&gt; ""),ROW(DB$2:(INDIRECT(CS$61&amp;DB54-1)))))</f>
        <v>48</v>
      </c>
      <c r="DC55" s="178"/>
      <c r="DD55" s="178"/>
      <c r="DE55" s="337" t="s">
        <v>114</v>
      </c>
      <c r="DF55" s="177">
        <f>SUM(DF56:DF59)</f>
        <v>38</v>
      </c>
      <c r="DG55" s="177"/>
      <c r="DH55" s="337" t="s">
        <v>118</v>
      </c>
      <c r="DI55" s="177">
        <f>SUM(DM2:DM51)</f>
        <v>78</v>
      </c>
      <c r="DJ55" s="177"/>
      <c r="DK55" s="177" t="str">
        <f ca="1">INDIRECT(DE$61&amp;DN55)</f>
        <v>L</v>
      </c>
      <c r="DL55" s="177"/>
      <c r="DM55" s="177"/>
      <c r="DN55" s="177">
        <f ca="1">IF(ISBLANK(INDIRECT(DE$61&amp;DN54-1)), LOOKUP(2,1 / (DN$2:(INDIRECT(DE$61&amp;DN54-2)) &lt;&gt; ""),ROW(DN$2:(INDIRECT(DE$61&amp;DN54-2)))),LOOKUP(2,1 / (DN$2:(INDIRECT(DE$61&amp;DN54-1)) &lt;&gt; ""),ROW(DN$2:(INDIRECT(DE$61&amp;DN54-1)))))</f>
        <v>48</v>
      </c>
      <c r="DO55" s="177"/>
      <c r="DP55" s="177"/>
      <c r="DQ55" s="344" t="s">
        <v>114</v>
      </c>
      <c r="DR55" s="21">
        <f>SUM(DR56:DR59)</f>
        <v>38</v>
      </c>
      <c r="DS55" s="21"/>
      <c r="DT55" s="344" t="s">
        <v>118</v>
      </c>
      <c r="DU55" s="21">
        <f>SUM(DY2:DY51)</f>
        <v>68</v>
      </c>
      <c r="DV55" s="21"/>
      <c r="DW55" s="21" t="str">
        <f ca="1">INDIRECT(DQ$61&amp;DZ55)</f>
        <v>D</v>
      </c>
      <c r="DX55" s="21"/>
      <c r="DY55" s="21"/>
      <c r="DZ55" s="21">
        <f ca="1">IF(ISBLANK(INDIRECT(DQ$61&amp;DZ54-1)), LOOKUP(2,1 / (DZ$2:(INDIRECT(DQ$61&amp;DZ54-2)) &lt;&gt; ""),ROW(DZ$2:(INDIRECT(DQ$61&amp;DZ54-2)))),LOOKUP(2,1 / (DZ$2:(INDIRECT(DQ$61&amp;DZ54-1)) &lt;&gt; ""),ROW(DZ$2:(INDIRECT(DQ$61&amp;DZ54-1)))))</f>
        <v>48</v>
      </c>
      <c r="EA55" s="21"/>
      <c r="EB55" s="21"/>
      <c r="EC55" s="350" t="s">
        <v>114</v>
      </c>
      <c r="ED55" s="23">
        <f>SUM(ED56:ED59)</f>
        <v>38</v>
      </c>
      <c r="EE55" s="23"/>
      <c r="EF55" s="350" t="s">
        <v>118</v>
      </c>
      <c r="EG55" s="23">
        <f>SUM(EK2:EK51)</f>
        <v>47</v>
      </c>
      <c r="EH55" s="23"/>
      <c r="EI55" s="23" t="str">
        <f ca="1">INDIRECT(EC$61&amp;EL55)</f>
        <v>D</v>
      </c>
      <c r="EJ55" s="23"/>
      <c r="EK55" s="23"/>
      <c r="EL55" s="23">
        <f ca="1">IF(ISBLANK(INDIRECT(EC$61&amp;EL54-1)), LOOKUP(2,1 / (EL$2:(INDIRECT(EC$61&amp;EL54-2)) &lt;&gt; ""),ROW(EL$2:(INDIRECT(EC$61&amp;EL54-2)))),LOOKUP(2,1 / (EL$2:(INDIRECT(EC$61&amp;EL54-1)) &lt;&gt; ""),ROW(EL$2:(INDIRECT(EC$61&amp;EL54-1)))))</f>
        <v>48</v>
      </c>
      <c r="EM55" s="23"/>
      <c r="EN55" s="23"/>
      <c r="EO55" s="356" t="s">
        <v>114</v>
      </c>
      <c r="EP55" s="25">
        <f>SUM(EP56:EP59)</f>
        <v>38</v>
      </c>
      <c r="EQ55" s="25"/>
      <c r="ER55" s="356" t="s">
        <v>118</v>
      </c>
      <c r="ES55" s="25">
        <f>SUM(EW2:EW51)</f>
        <v>33</v>
      </c>
      <c r="ET55" s="25"/>
      <c r="EU55" s="25" t="str">
        <f ca="1">INDIRECT(EO$61&amp;EX55)</f>
        <v>D</v>
      </c>
      <c r="EV55" s="25"/>
      <c r="EW55" s="25"/>
      <c r="EX55" s="25">
        <f ca="1">IF(ISBLANK(INDIRECT(EO$61&amp;EX54-1)), LOOKUP(2,1 / (EX$2:(INDIRECT(EO$61&amp;EX54-2)) &lt;&gt; ""),ROW(EX$2:(INDIRECT(EO$61&amp;EX54-2)))),LOOKUP(2,1 / (EX$2:(INDIRECT(EO$61&amp;EX54-1)) &lt;&gt; ""),ROW(EX$2:(INDIRECT(EO$61&amp;EX54-1)))))</f>
        <v>48</v>
      </c>
      <c r="EY55" s="25"/>
      <c r="EZ55" s="25"/>
      <c r="FA55" s="364" t="s">
        <v>114</v>
      </c>
      <c r="FB55" s="27">
        <f>SUM(FB56:FB59)</f>
        <v>38</v>
      </c>
      <c r="FC55" s="27"/>
      <c r="FD55" s="364" t="s">
        <v>118</v>
      </c>
      <c r="FE55" s="27">
        <f>SUM(FI2:FI51)</f>
        <v>43</v>
      </c>
      <c r="FF55" s="27"/>
      <c r="FG55" s="27" t="str">
        <f ca="1">INDIRECT(FA$61&amp;FJ55)</f>
        <v>W</v>
      </c>
      <c r="FH55" s="27"/>
      <c r="FI55" s="27"/>
      <c r="FJ55" s="27">
        <f ca="1">IF(ISBLANK(INDIRECT(FA$61&amp;FJ54-1)), LOOKUP(2,1 / (FJ$2:(INDIRECT(FA$61&amp;FJ54-2)) &lt;&gt; ""),ROW(FJ$2:(INDIRECT(FA$61&amp;FJ54-2)))),LOOKUP(2,1 / (FJ$2:(INDIRECT(FA$61&amp;FJ54-1)) &lt;&gt; ""),ROW(FJ$2:(INDIRECT(FA$61&amp;FJ54-1)))))</f>
        <v>48</v>
      </c>
      <c r="FK55" s="27"/>
      <c r="FL55" s="27"/>
      <c r="FM55" s="370" t="s">
        <v>114</v>
      </c>
      <c r="FN55" s="29">
        <f>SUM(FN56:FN59)</f>
        <v>38</v>
      </c>
      <c r="FO55" s="29"/>
      <c r="FP55" s="370" t="s">
        <v>118</v>
      </c>
      <c r="FQ55" s="29">
        <f>SUM(FU2:FU51)</f>
        <v>33</v>
      </c>
      <c r="FR55" s="29"/>
      <c r="FS55" s="29" t="str">
        <f ca="1">INDIRECT(FM$61&amp;FV55)</f>
        <v>D</v>
      </c>
      <c r="FT55" s="29"/>
      <c r="FU55" s="29"/>
      <c r="FV55" s="29">
        <f ca="1">IF(ISBLANK(INDIRECT(FM$61&amp;FV54-1)), LOOKUP(2,1 / (FV$2:(INDIRECT(FM$61&amp;FV54-2)) &lt;&gt; ""),ROW(FV$2:(INDIRECT(FM$61&amp;FV54-2)))),LOOKUP(2,1 / (FV$2:(INDIRECT(FM$61&amp;FV54-1)) &lt;&gt; ""),ROW(FV$2:(INDIRECT(FM$61&amp;FV54-1)))))</f>
        <v>48</v>
      </c>
      <c r="FW55" s="29"/>
      <c r="FX55" s="29"/>
      <c r="FY55" s="378" t="s">
        <v>114</v>
      </c>
      <c r="FZ55" s="264">
        <f>SUM(FZ56:FZ59)</f>
        <v>38</v>
      </c>
      <c r="GA55" s="264"/>
      <c r="GB55" s="378" t="s">
        <v>118</v>
      </c>
      <c r="GC55" s="264">
        <f>SUM(GG2:GG51)</f>
        <v>68</v>
      </c>
      <c r="GD55" s="264"/>
      <c r="GE55" s="264" t="str">
        <f ca="1">INDIRECT(FY$61&amp;GH55)</f>
        <v>W</v>
      </c>
      <c r="GF55" s="264"/>
      <c r="GG55" s="264"/>
      <c r="GH55" s="264">
        <f ca="1">IF(ISBLANK(INDIRECT(FY$61&amp;GH54-1)), LOOKUP(2,1 / (GH$2:(INDIRECT(FY$61&amp;GH54-2)) &lt;&gt; ""),ROW(GH$2:(INDIRECT(FY$61&amp;GH54-2)))),LOOKUP(2,1 / (GH$2:(INDIRECT(FY$61&amp;GH54-1)) &lt;&gt; ""),ROW(GH$2:(INDIRECT(FY$61&amp;GH54-1)))))</f>
        <v>48</v>
      </c>
      <c r="GI55" s="264"/>
      <c r="GJ55" s="264"/>
      <c r="GK55" s="385" t="s">
        <v>114</v>
      </c>
      <c r="GL55" s="30">
        <f>SUM(GL56:GL59)</f>
        <v>38</v>
      </c>
      <c r="GM55" s="30"/>
      <c r="GN55" s="385" t="s">
        <v>118</v>
      </c>
      <c r="GO55" s="30">
        <f>SUM(GS2:GS51)</f>
        <v>73</v>
      </c>
      <c r="GP55" s="30"/>
      <c r="GQ55" s="30" t="str">
        <f ca="1">INDIRECT(GK$61&amp;GT55)</f>
        <v>L</v>
      </c>
      <c r="GR55" s="30"/>
      <c r="GS55" s="30"/>
      <c r="GT55" s="30">
        <f ca="1">IF(ISBLANK(INDIRECT(GK$61&amp;GT54-1)), LOOKUP(2,1 / (GT$2:(INDIRECT(GK$61&amp;GT54-2)) &lt;&gt; ""),ROW(GT$2:(INDIRECT(GK$61&amp;GT54-2)))),LOOKUP(2,1 / (GT$2:(INDIRECT(GK$61&amp;GT54-1)) &lt;&gt; ""),ROW(GT$2:(INDIRECT(GK$61&amp;GT54-1)))))</f>
        <v>48</v>
      </c>
      <c r="GU55" s="30"/>
      <c r="GV55" s="30"/>
      <c r="GW55" s="391" t="s">
        <v>114</v>
      </c>
      <c r="GX55" s="32">
        <f>SUM(GX56:GX59)</f>
        <v>38</v>
      </c>
      <c r="GY55" s="32"/>
      <c r="GZ55" s="391" t="s">
        <v>118</v>
      </c>
      <c r="HA55" s="32">
        <f>SUM(HE2:HE51)</f>
        <v>63</v>
      </c>
      <c r="HB55" s="32"/>
      <c r="HC55" s="32" t="str">
        <f ca="1">INDIRECT(GW$61&amp;HF55)</f>
        <v>L</v>
      </c>
      <c r="HD55" s="32"/>
      <c r="HE55" s="32"/>
      <c r="HF55" s="32">
        <f ca="1">IF(ISBLANK(INDIRECT(GW$61&amp;HF54-1)), LOOKUP(2,1 / (HF$2:(INDIRECT(GW$61&amp;HF54-2)) &lt;&gt; ""),ROW(HF$2:(INDIRECT(GW$61&amp;HF54-2)))),LOOKUP(2,1 / (HF$2:(INDIRECT(GW$61&amp;HF54-1)) &lt;&gt; ""),ROW(HF$2:(INDIRECT(GW$61&amp;HF54-1)))))</f>
        <v>48</v>
      </c>
      <c r="HG55" s="32"/>
      <c r="HH55" s="32"/>
      <c r="HI55" s="397" t="s">
        <v>114</v>
      </c>
      <c r="HJ55" s="34">
        <f>SUM(HJ56:HJ59)</f>
        <v>38</v>
      </c>
      <c r="HK55" s="34"/>
      <c r="HL55" s="397" t="s">
        <v>118</v>
      </c>
      <c r="HM55" s="34">
        <f>SUM(HQ2:HQ51)</f>
        <v>55</v>
      </c>
      <c r="HN55" s="34"/>
      <c r="HO55" s="34" t="str">
        <f ca="1">INDIRECT(HI$61&amp;HR55)</f>
        <v>W</v>
      </c>
      <c r="HP55" s="34"/>
      <c r="HQ55" s="34"/>
      <c r="HR55" s="34">
        <f ca="1">IF(ISBLANK(INDIRECT(HI$61&amp;HR54-1)), LOOKUP(2,1 / (HR$2:(INDIRECT(HI$61&amp;HR54-2)) &lt;&gt; ""),ROW(HR$2:(INDIRECT(HI$61&amp;HR54-2)))),LOOKUP(2,1 / (HR$2:(INDIRECT(HI$61&amp;HR54-1)) &lt;&gt; ""),ROW(HR$2:(INDIRECT(HI$61&amp;HR54-1)))))</f>
        <v>48</v>
      </c>
      <c r="HS55" s="34"/>
      <c r="HT55" s="34"/>
      <c r="HU55" s="403" t="s">
        <v>114</v>
      </c>
      <c r="HV55" s="36">
        <f>SUM(HV56:HV59)</f>
        <v>38</v>
      </c>
      <c r="HW55" s="36"/>
      <c r="HX55" s="403" t="s">
        <v>118</v>
      </c>
      <c r="HY55" s="36">
        <f>SUM(IC2:IC51)</f>
        <v>58</v>
      </c>
      <c r="HZ55" s="36"/>
      <c r="IA55" s="36" t="str">
        <f ca="1">INDIRECT(HU$61&amp;ID55)</f>
        <v>D</v>
      </c>
      <c r="IB55" s="36"/>
      <c r="IC55" s="36"/>
      <c r="ID55" s="36">
        <f ca="1">IF(ISBLANK(INDIRECT(HU$61&amp;ID54-1)), LOOKUP(2,1 / (ID$2:(INDIRECT(HU$61&amp;ID54-2)) &lt;&gt; ""),ROW(ID$2:(INDIRECT(HU$61&amp;ID54-2)))),LOOKUP(2,1 / (ID$2:(INDIRECT(HU$61&amp;ID54-1)) &lt;&gt; ""),ROW(ID$2:(INDIRECT(HU$61&amp;ID54-1)))))</f>
        <v>48</v>
      </c>
      <c r="IE55" s="36"/>
      <c r="IF55" s="36"/>
    </row>
    <row r="56" spans="1:240" hidden="1" x14ac:dyDescent="0.4">
      <c r="A56" s="278" t="s">
        <v>604</v>
      </c>
      <c r="B56" s="93">
        <f>COUNTIF(J2:J51,"W")</f>
        <v>26</v>
      </c>
      <c r="C56" s="460"/>
      <c r="D56" s="278" t="s">
        <v>120</v>
      </c>
      <c r="E56" s="463">
        <f>E54 - E55</f>
        <v>45</v>
      </c>
      <c r="F56" s="6"/>
      <c r="G56" s="6" t="str">
        <f ca="1">INDIRECT(A$61&amp;J56)</f>
        <v>L</v>
      </c>
      <c r="H56" s="6"/>
      <c r="I56" s="6"/>
      <c r="J56" s="6">
        <f ca="1">IF(ISBLANK(INDIRECT(A$61&amp;J55-1)), LOOKUP(2,1 / (J$2:(INDIRECT(A$61&amp;J55-2)) &lt;&gt; ""),ROW(J$2:(INDIRECT(A$61&amp;J55-2)))),LOOKUP(2,1 / (J$2:(INDIRECT(A$61&amp;J55-1)) &lt;&gt; ""),ROW(J$2:(INDIRECT(A$61&amp;J55-1)))))</f>
        <v>47</v>
      </c>
      <c r="K56" s="6"/>
      <c r="L56" s="6"/>
      <c r="M56" s="285" t="s">
        <v>604</v>
      </c>
      <c r="N56" s="9">
        <f>COUNTIF(V2:V51,"W")</f>
        <v>18</v>
      </c>
      <c r="O56" s="9"/>
      <c r="P56" s="285" t="s">
        <v>120</v>
      </c>
      <c r="Q56" s="9">
        <f>Q54 - Q55</f>
        <v>5</v>
      </c>
      <c r="R56" s="9"/>
      <c r="S56" s="9" t="str">
        <f ca="1">INDIRECT(M$61&amp;V56)</f>
        <v>W</v>
      </c>
      <c r="T56" s="9"/>
      <c r="U56" s="9"/>
      <c r="V56" s="9">
        <f ca="1">IF(ISBLANK(INDIRECT(M$61&amp;V55-1)), LOOKUP(2,1 / (V$2:(INDIRECT(M$61&amp;V55-2)) &lt;&gt; ""),ROW(V$2:(INDIRECT(M$61&amp;V55-2)))),LOOKUP(2,1 / (V$2:(INDIRECT(M$61&amp;V55-1)) &lt;&gt; ""),ROW(V$2:(INDIRECT(M$61&amp;V55-1)))))</f>
        <v>47</v>
      </c>
      <c r="W56" s="9"/>
      <c r="X56" s="9"/>
      <c r="Y56" s="293" t="s">
        <v>604</v>
      </c>
      <c r="Z56" s="262">
        <f>COUNTIF(AH2:AH51,"W")</f>
        <v>11</v>
      </c>
      <c r="AA56" s="295"/>
      <c r="AB56" s="293" t="s">
        <v>120</v>
      </c>
      <c r="AC56" s="262">
        <f>AC54 - AC55</f>
        <v>-34</v>
      </c>
      <c r="AD56" s="262"/>
      <c r="AE56" s="262" t="str">
        <f ca="1">INDIRECT(Y$61&amp;AH56)</f>
        <v>L</v>
      </c>
      <c r="AF56" s="262"/>
      <c r="AG56" s="262"/>
      <c r="AH56" s="262">
        <f ca="1">IF(ISBLANK(INDIRECT(Y$61&amp;AH55-1)), LOOKUP(2,1 / (AH$2:(INDIRECT(Y$61&amp;AH55-2)) &lt;&gt; ""),ROW(AH$2:(INDIRECT(Y$61&amp;AH55-2)))),LOOKUP(2,1 / (AH$2:(INDIRECT(Y$61&amp;AH55-1)) &lt;&gt; ""),ROW(AH$2:(INDIRECT(Y$61&amp;AH55-1)))))</f>
        <v>47</v>
      </c>
      <c r="AI56" s="262"/>
      <c r="AJ56" s="262"/>
      <c r="AK56" s="414" t="s">
        <v>604</v>
      </c>
      <c r="AL56" s="410">
        <f>COUNTIF(AT2:AT51,"W")</f>
        <v>15</v>
      </c>
      <c r="AM56" s="458"/>
      <c r="AN56" s="414" t="s">
        <v>120</v>
      </c>
      <c r="AO56" s="410">
        <f>AO54 - AO55</f>
        <v>12</v>
      </c>
      <c r="AP56" s="410"/>
      <c r="AQ56" s="410" t="str">
        <f ca="1">INDIRECT(AK$61&amp;AT56)</f>
        <v>W</v>
      </c>
      <c r="AR56" s="410"/>
      <c r="AS56" s="410"/>
      <c r="AT56" s="410">
        <f ca="1">IF(ISBLANK(INDIRECT(AK$61&amp;AT55-1)), LOOKUP(2,1 / (AT$2:(INDIRECT(AK$61&amp;AT55-2)) &lt;&gt; ""),ROW(AT$2:(INDIRECT(AK$61&amp;AT55-2)))),LOOKUP(2,1 / (AT$2:(INDIRECT(AK$61&amp;AT55-1)) &lt;&gt; ""),ROW(AT$2:(INDIRECT(AK$61&amp;AT55-1)))))</f>
        <v>47</v>
      </c>
      <c r="AU56" s="410"/>
      <c r="AV56" s="410"/>
      <c r="AW56" s="299" t="s">
        <v>604</v>
      </c>
      <c r="AX56" s="11">
        <f>COUNTIF(BF2:BF51,"W")</f>
        <v>18</v>
      </c>
      <c r="AY56" s="301"/>
      <c r="AZ56" s="299" t="s">
        <v>120</v>
      </c>
      <c r="BA56" s="11">
        <f>BA54 - BA55</f>
        <v>19</v>
      </c>
      <c r="BB56" s="11"/>
      <c r="BC56" s="11" t="str">
        <f ca="1">INDIRECT(AW$61&amp;BF56)</f>
        <v>W</v>
      </c>
      <c r="BD56" s="11"/>
      <c r="BE56" s="11"/>
      <c r="BF56" s="11">
        <f ca="1">IF(ISBLANK(INDIRECT(AW$61&amp;BF55-1)), LOOKUP(2,1 / (BF$2:(INDIRECT(AW$61&amp;BF55-2)) &lt;&gt; ""),ROW(BF$2:(INDIRECT(AW$61&amp;BF55-2)))),LOOKUP(2,1 / (BF$2:(INDIRECT(AW$61&amp;BF55-1)) &lt;&gt; ""),ROW(BF$2:(INDIRECT(AW$61&amp;BF55-1)))))</f>
        <v>47</v>
      </c>
      <c r="BG56" s="11"/>
      <c r="BH56" s="11"/>
      <c r="BI56" s="305" t="s">
        <v>604</v>
      </c>
      <c r="BJ56" s="15">
        <f>COUNTIF(BR2:BR51,"W")</f>
        <v>11</v>
      </c>
      <c r="BK56" s="307"/>
      <c r="BL56" s="305" t="s">
        <v>120</v>
      </c>
      <c r="BM56" s="15">
        <f>BM54 - BM55</f>
        <v>-9</v>
      </c>
      <c r="BN56" s="15"/>
      <c r="BO56" s="15" t="str">
        <f ca="1">INDIRECT(BI$61&amp;BR56)</f>
        <v>L</v>
      </c>
      <c r="BP56" s="15"/>
      <c r="BQ56" s="15"/>
      <c r="BR56" s="15">
        <f ca="1">IF(ISBLANK(INDIRECT(BI$61&amp;BR55-1)), LOOKUP(2,1 / (BR$2:(INDIRECT(BI$61&amp;BR55-2)) &lt;&gt; ""),ROW(BR$2:(INDIRECT(BI$61&amp;BR55-2)))),LOOKUP(2,1 / (BR$2:(INDIRECT(BI$61&amp;BR55-1)) &lt;&gt; ""),ROW(BR$2:(INDIRECT(BI$61&amp;BR55-1)))))</f>
        <v>47</v>
      </c>
      <c r="BS56" s="15"/>
      <c r="BT56" s="15"/>
      <c r="BU56" s="313" t="s">
        <v>604</v>
      </c>
      <c r="BV56" s="16">
        <f>COUNTIF(CD2:CD51,"W")</f>
        <v>11</v>
      </c>
      <c r="BW56" s="315"/>
      <c r="BX56" s="313" t="s">
        <v>120</v>
      </c>
      <c r="BY56" s="16">
        <f>BY54 - BY55</f>
        <v>-9</v>
      </c>
      <c r="BZ56" s="16"/>
      <c r="CA56" s="16" t="str">
        <f ca="1">INDIRECT(BU$61&amp;CD56)</f>
        <v>W</v>
      </c>
      <c r="CB56" s="16"/>
      <c r="CC56" s="16"/>
      <c r="CD56" s="16">
        <f ca="1">IF(ISBLANK(INDIRECT(BU$61&amp;CD55-1)), LOOKUP(2,1 / (CD$2:(INDIRECT(BU$61&amp;CD55-2)) &lt;&gt; ""),ROW(CD$2:(INDIRECT(BU$61&amp;CD55-2)))),LOOKUP(2,1 / (CD$2:(INDIRECT(BU$61&amp;CD55-1)) &lt;&gt; ""),ROW(CD$2:(INDIRECT(BU$61&amp;CD55-1)))))</f>
        <v>47</v>
      </c>
      <c r="CE56" s="16"/>
      <c r="CF56" s="16"/>
      <c r="CG56" s="321" t="s">
        <v>604</v>
      </c>
      <c r="CH56" s="19">
        <f>COUNTIF(CP2:CP51,"W")</f>
        <v>8</v>
      </c>
      <c r="CI56" s="323"/>
      <c r="CJ56" s="321" t="s">
        <v>120</v>
      </c>
      <c r="CK56" s="19">
        <f>CK54 - CK55</f>
        <v>-23</v>
      </c>
      <c r="CL56" s="19"/>
      <c r="CM56" s="19" t="str">
        <f ca="1">INDIRECT(CG$61&amp;CP56)</f>
        <v>L</v>
      </c>
      <c r="CN56" s="19"/>
      <c r="CO56" s="19"/>
      <c r="CP56" s="19">
        <f ca="1">IF(ISBLANK(INDIRECT(CG$61&amp;CP55-1)), LOOKUP(2,1 / (CP$2:(INDIRECT(CG$61&amp;CP55-2)) &lt;&gt; ""),ROW(CP$2:(INDIRECT(CG$61&amp;CP55-2)))),LOOKUP(2,1 / (CP$2:(INDIRECT(CG$61&amp;CP55-1)) &lt;&gt; ""),ROW(CP$2:(INDIRECT(CG$61&amp;CP55-1)))))</f>
        <v>47</v>
      </c>
      <c r="CQ56" s="19"/>
      <c r="CR56" s="19"/>
      <c r="CS56" s="329" t="s">
        <v>604</v>
      </c>
      <c r="CT56" s="178">
        <f>COUNTIF(DB2:DB51,"W")</f>
        <v>15</v>
      </c>
      <c r="CU56" s="331"/>
      <c r="CV56" s="329" t="s">
        <v>120</v>
      </c>
      <c r="CW56" s="178">
        <f>CW54 - CW55</f>
        <v>2</v>
      </c>
      <c r="CX56" s="178"/>
      <c r="CY56" s="178" t="str">
        <f ca="1">INDIRECT(CS$61&amp;DB56)</f>
        <v>W</v>
      </c>
      <c r="CZ56" s="178"/>
      <c r="DA56" s="178"/>
      <c r="DB56" s="178">
        <f ca="1">IF(ISBLANK(INDIRECT(CS$61&amp;DB55-1)), LOOKUP(2,1 / (DB$2:(INDIRECT(CS$61&amp;DB55-2)) &lt;&gt; ""),ROW(DB$2:(INDIRECT(CS$61&amp;DB55-2)))),LOOKUP(2,1 / (DB$2:(INDIRECT(CS$61&amp;DB55-1)) &lt;&gt; ""),ROW(DB$2:(INDIRECT(CS$61&amp;DB55-1)))))</f>
        <v>47</v>
      </c>
      <c r="DC56" s="178"/>
      <c r="DD56" s="178"/>
      <c r="DE56" s="337" t="s">
        <v>604</v>
      </c>
      <c r="DF56" s="177">
        <f>COUNTIF(DN2:DN51,"W")</f>
        <v>7</v>
      </c>
      <c r="DG56" s="459"/>
      <c r="DH56" s="337" t="s">
        <v>120</v>
      </c>
      <c r="DI56" s="177">
        <f>DI54 - DI55</f>
        <v>-30</v>
      </c>
      <c r="DJ56" s="177"/>
      <c r="DK56" s="177" t="str">
        <f ca="1">INDIRECT(DE$61&amp;DN56)</f>
        <v>D</v>
      </c>
      <c r="DL56" s="177"/>
      <c r="DM56" s="177"/>
      <c r="DN56" s="177">
        <f ca="1">IF(ISBLANK(INDIRECT(DE$61&amp;DN55-1)), LOOKUP(2,1 / (DN$2:(INDIRECT(DE$61&amp;DN55-2)) &lt;&gt; ""),ROW(DN$2:(INDIRECT(DE$61&amp;DN55-2)))),LOOKUP(2,1 / (DN$2:(INDIRECT(DE$61&amp;DN55-1)) &lt;&gt; ""),ROW(DN$2:(INDIRECT(DE$61&amp;DN55-1)))))</f>
        <v>47</v>
      </c>
      <c r="DO56" s="177"/>
      <c r="DP56" s="177"/>
      <c r="DQ56" s="344" t="s">
        <v>604</v>
      </c>
      <c r="DR56" s="21">
        <f>COUNTIF(DZ2:DZ51,"W")</f>
        <v>9</v>
      </c>
      <c r="DS56" s="346"/>
      <c r="DT56" s="344" t="s">
        <v>120</v>
      </c>
      <c r="DU56" s="21">
        <f>DU54 - DU55</f>
        <v>-17</v>
      </c>
      <c r="DV56" s="21"/>
      <c r="DW56" s="21" t="str">
        <f ca="1">INDIRECT(DQ$61&amp;DZ56)</f>
        <v>L</v>
      </c>
      <c r="DX56" s="21"/>
      <c r="DY56" s="21"/>
      <c r="DZ56" s="21">
        <f ca="1">IF(ISBLANK(INDIRECT(DQ$61&amp;DZ55-1)), LOOKUP(2,1 / (DZ$2:(INDIRECT(DQ$61&amp;DZ55-2)) &lt;&gt; ""),ROW(DZ$2:(INDIRECT(DQ$61&amp;DZ55-2)))),LOOKUP(2,1 / (DZ$2:(INDIRECT(DQ$61&amp;DZ55-1)) &lt;&gt; ""),ROW(DZ$2:(INDIRECT(DQ$61&amp;DZ55-1)))))</f>
        <v>47</v>
      </c>
      <c r="EA56" s="21"/>
      <c r="EB56" s="21"/>
      <c r="EC56" s="350" t="s">
        <v>604</v>
      </c>
      <c r="ED56" s="23">
        <f>COUNTIF(EL2:EL51,"W")</f>
        <v>19</v>
      </c>
      <c r="EE56" s="352"/>
      <c r="EF56" s="350" t="s">
        <v>120</v>
      </c>
      <c r="EG56" s="23">
        <f>EG54 - EG55</f>
        <v>28</v>
      </c>
      <c r="EH56" s="23"/>
      <c r="EI56" s="23" t="str">
        <f ca="1">INDIRECT(EC$61&amp;EL56)</f>
        <v>W</v>
      </c>
      <c r="EJ56" s="23"/>
      <c r="EK56" s="23"/>
      <c r="EL56" s="23">
        <f ca="1">IF(ISBLANK(INDIRECT(EC$61&amp;EL55-1)), LOOKUP(2,1 / (EL$2:(INDIRECT(EC$61&amp;EL55-2)) &lt;&gt; ""),ROW(EL$2:(INDIRECT(EC$61&amp;EL55-2)))),LOOKUP(2,1 / (EL$2:(INDIRECT(EC$61&amp;EL55-1)) &lt;&gt; ""),ROW(EL$2:(INDIRECT(EC$61&amp;EL55-1)))))</f>
        <v>47</v>
      </c>
      <c r="EM56" s="23"/>
      <c r="EN56" s="23"/>
      <c r="EO56" s="356" t="s">
        <v>604</v>
      </c>
      <c r="EP56" s="25">
        <f>COUNTIF(EX2:EX51,"W")</f>
        <v>28</v>
      </c>
      <c r="EQ56" s="358"/>
      <c r="ER56" s="356" t="s">
        <v>120</v>
      </c>
      <c r="ES56" s="25">
        <f>ES54 - ES55</f>
        <v>61</v>
      </c>
      <c r="ET56" s="25"/>
      <c r="EU56" s="25" t="str">
        <f ca="1">INDIRECT(EO$61&amp;EX56)</f>
        <v>W</v>
      </c>
      <c r="EV56" s="25"/>
      <c r="EW56" s="25"/>
      <c r="EX56" s="25">
        <f ca="1">IF(ISBLANK(INDIRECT(EO$61&amp;EX55-1)), LOOKUP(2,1 / (EX$2:(INDIRECT(EO$61&amp;EX55-2)) &lt;&gt; ""),ROW(EX$2:(INDIRECT(EO$61&amp;EX55-2)))),LOOKUP(2,1 / (EX$2:(INDIRECT(EO$61&amp;EX55-1)) &lt;&gt; ""),ROW(EX$2:(INDIRECT(EO$61&amp;EX55-1)))))</f>
        <v>47</v>
      </c>
      <c r="EY56" s="25"/>
      <c r="EZ56" s="25"/>
      <c r="FA56" s="364" t="s">
        <v>604</v>
      </c>
      <c r="FB56" s="27">
        <f>COUNTIF(FJ2:FJ51,"W")</f>
        <v>23</v>
      </c>
      <c r="FC56" s="366"/>
      <c r="FD56" s="364" t="s">
        <v>120</v>
      </c>
      <c r="FE56" s="27">
        <f>FE54 - FE55</f>
        <v>15</v>
      </c>
      <c r="FF56" s="27"/>
      <c r="FG56" s="27" t="str">
        <f ca="1">INDIRECT(FA$61&amp;FJ56)</f>
        <v>W</v>
      </c>
      <c r="FH56" s="27"/>
      <c r="FI56" s="27"/>
      <c r="FJ56" s="27">
        <f ca="1">IF(ISBLANK(INDIRECT(FA$61&amp;FJ55-1)), LOOKUP(2,1 / (FJ$2:(INDIRECT(FA$61&amp;FJ55-2)) &lt;&gt; ""),ROW(FJ$2:(INDIRECT(FA$61&amp;FJ55-2)))),LOOKUP(2,1 / (FJ$2:(INDIRECT(FA$61&amp;FJ55-1)) &lt;&gt; ""),ROW(FJ$2:(INDIRECT(FA$61&amp;FJ55-1)))))</f>
        <v>47</v>
      </c>
      <c r="FK56" s="27"/>
      <c r="FL56" s="27"/>
      <c r="FM56" s="370" t="s">
        <v>604</v>
      </c>
      <c r="FN56" s="29">
        <f>COUNTIF(FV2:FV51,"W")</f>
        <v>19</v>
      </c>
      <c r="FO56" s="372"/>
      <c r="FP56" s="370" t="s">
        <v>120</v>
      </c>
      <c r="FQ56" s="29">
        <f>FQ54 - FQ55</f>
        <v>35</v>
      </c>
      <c r="FR56" s="29"/>
      <c r="FS56" s="29" t="str">
        <f ca="1">INDIRECT(FM$61&amp;FV56)</f>
        <v>W</v>
      </c>
      <c r="FT56" s="29"/>
      <c r="FU56" s="29"/>
      <c r="FV56" s="29">
        <f ca="1">IF(ISBLANK(INDIRECT(FM$61&amp;FV55-1)), LOOKUP(2,1 / (FV$2:(INDIRECT(FM$61&amp;FV55-2)) &lt;&gt; ""),ROW(FV$2:(INDIRECT(FM$61&amp;FV55-2)))),LOOKUP(2,1 / (FV$2:(INDIRECT(FM$61&amp;FV55-1)) &lt;&gt; ""),ROW(FV$2:(INDIRECT(FM$61&amp;FV55-1)))))</f>
        <v>47</v>
      </c>
      <c r="FW56" s="29"/>
      <c r="FX56" s="29"/>
      <c r="FY56" s="378" t="s">
        <v>604</v>
      </c>
      <c r="FZ56" s="264">
        <f>COUNTIF(GH2:GH51,"W")</f>
        <v>9</v>
      </c>
      <c r="GA56" s="380"/>
      <c r="GB56" s="378" t="s">
        <v>120</v>
      </c>
      <c r="GC56" s="264">
        <f>GC54 - GC55</f>
        <v>-30</v>
      </c>
      <c r="GD56" s="264"/>
      <c r="GE56" s="264" t="str">
        <f ca="1">INDIRECT(FY$61&amp;GH56)</f>
        <v>D</v>
      </c>
      <c r="GF56" s="264"/>
      <c r="GG56" s="264"/>
      <c r="GH56" s="264">
        <f ca="1">IF(ISBLANK(INDIRECT(FY$61&amp;GH55-1)), LOOKUP(2,1 / (GH$2:(INDIRECT(FY$61&amp;GH55-2)) &lt;&gt; ""),ROW(GH$2:(INDIRECT(FY$61&amp;GH55-2)))),LOOKUP(2,1 / (GH$2:(INDIRECT(FY$61&amp;GH55-1)) &lt;&gt; ""),ROW(GH$2:(INDIRECT(FY$61&amp;GH55-1)))))</f>
        <v>47</v>
      </c>
      <c r="GI56" s="264"/>
      <c r="GJ56" s="264"/>
      <c r="GK56" s="385" t="s">
        <v>604</v>
      </c>
      <c r="GL56" s="30">
        <f>COUNTIF(GT2:GT51,"W")</f>
        <v>6</v>
      </c>
      <c r="GM56" s="387"/>
      <c r="GN56" s="385" t="s">
        <v>120</v>
      </c>
      <c r="GO56" s="30">
        <f>GO54 - GO55</f>
        <v>-37</v>
      </c>
      <c r="GP56" s="30"/>
      <c r="GQ56" s="30" t="str">
        <f ca="1">INDIRECT(GK$61&amp;GT56)</f>
        <v>L</v>
      </c>
      <c r="GR56" s="30"/>
      <c r="GS56" s="30"/>
      <c r="GT56" s="30">
        <f ca="1">IF(ISBLANK(INDIRECT(GK$61&amp;GT55-1)), LOOKUP(2,1 / (GT$2:(INDIRECT(GK$61&amp;GT55-2)) &lt;&gt; ""),ROW(GT$2:(INDIRECT(GK$61&amp;GT55-2)))),LOOKUP(2,1 / (GT$2:(INDIRECT(GK$61&amp;GT55-1)) &lt;&gt; ""),ROW(GT$2:(INDIRECT(GK$61&amp;GT55-1)))))</f>
        <v>47</v>
      </c>
      <c r="GU56" s="30"/>
      <c r="GV56" s="30"/>
      <c r="GW56" s="391" t="s">
        <v>604</v>
      </c>
      <c r="GX56" s="32">
        <f>COUNTIF(HF2:HF51,"W")</f>
        <v>18</v>
      </c>
      <c r="GY56" s="393"/>
      <c r="GZ56" s="391" t="s">
        <v>120</v>
      </c>
      <c r="HA56" s="32">
        <f>HA54 - HA55</f>
        <v>7</v>
      </c>
      <c r="HB56" s="32"/>
      <c r="HC56" s="32" t="str">
        <f ca="1">INDIRECT(GW$61&amp;HF56)</f>
        <v>L</v>
      </c>
      <c r="HD56" s="32"/>
      <c r="HE56" s="32"/>
      <c r="HF56" s="32">
        <f ca="1">IF(ISBLANK(INDIRECT(GW$61&amp;HF55-1)), LOOKUP(2,1 / (HF$2:(INDIRECT(GW$61&amp;HF55-2)) &lt;&gt; ""),ROW(HF$2:(INDIRECT(GW$61&amp;HF55-2)))),LOOKUP(2,1 / (HF$2:(INDIRECT(GW$61&amp;HF55-1)) &lt;&gt; ""),ROW(HF$2:(INDIRECT(GW$61&amp;HF55-1)))))</f>
        <v>47</v>
      </c>
      <c r="HG56" s="32"/>
      <c r="HH56" s="32"/>
      <c r="HI56" s="397" t="s">
        <v>604</v>
      </c>
      <c r="HJ56" s="34">
        <f>COUNTIF(HR2:HR51,"W")</f>
        <v>11</v>
      </c>
      <c r="HK56" s="399"/>
      <c r="HL56" s="397" t="s">
        <v>120</v>
      </c>
      <c r="HM56" s="34">
        <f>HM54 - HM55</f>
        <v>-13</v>
      </c>
      <c r="HN56" s="34"/>
      <c r="HO56" s="34" t="str">
        <f ca="1">INDIRECT(HI$61&amp;HR56)</f>
        <v>L</v>
      </c>
      <c r="HP56" s="34"/>
      <c r="HQ56" s="34"/>
      <c r="HR56" s="34">
        <f ca="1">IF(ISBLANK(INDIRECT(HI$61&amp;HR55-1)), LOOKUP(2,1 / (HR$2:(INDIRECT(HI$61&amp;HR55-2)) &lt;&gt; ""),ROW(HR$2:(INDIRECT(HI$61&amp;HR55-2)))),LOOKUP(2,1 / (HR$2:(INDIRECT(HI$61&amp;HR55-1)) &lt;&gt; ""),ROW(HR$2:(INDIRECT(HI$61&amp;HR55-1)))))</f>
        <v>47</v>
      </c>
      <c r="HS56" s="34"/>
      <c r="HT56" s="34"/>
      <c r="HU56" s="403" t="s">
        <v>604</v>
      </c>
      <c r="HV56" s="36">
        <f>COUNTIF(ID2:ID51,"W")</f>
        <v>11</v>
      </c>
      <c r="HW56" s="405"/>
      <c r="HX56" s="403" t="s">
        <v>120</v>
      </c>
      <c r="HY56" s="36">
        <f>HY54 - HY55</f>
        <v>-27</v>
      </c>
      <c r="HZ56" s="36"/>
      <c r="IA56" s="36" t="str">
        <f ca="1">INDIRECT(HU$61&amp;ID56)</f>
        <v>L</v>
      </c>
      <c r="IB56" s="36"/>
      <c r="IC56" s="36"/>
      <c r="ID56" s="36">
        <f ca="1">IF(ISBLANK(INDIRECT(HU$61&amp;ID55-1)), LOOKUP(2,1 / (ID$2:(INDIRECT(HU$61&amp;ID55-2)) &lt;&gt; ""),ROW(ID$2:(INDIRECT(HU$61&amp;ID55-2)))),LOOKUP(2,1 / (ID$2:(INDIRECT(HU$61&amp;ID55-1)) &lt;&gt; ""),ROW(ID$2:(INDIRECT(HU$61&amp;ID55-1)))))</f>
        <v>47</v>
      </c>
      <c r="IE56" s="36"/>
      <c r="IF56" s="36"/>
    </row>
    <row r="57" spans="1:240" hidden="1" x14ac:dyDescent="0.4">
      <c r="A57" s="278" t="s">
        <v>607</v>
      </c>
      <c r="B57" s="93">
        <f>COUNTIF(J2:J51,"D")</f>
        <v>6</v>
      </c>
      <c r="C57" s="460"/>
      <c r="D57" s="278" t="s">
        <v>122</v>
      </c>
      <c r="E57" s="93" t="str">
        <f ca="1">G54&amp;G55&amp;G56&amp;G57&amp;G58</f>
        <v>WLLWW</v>
      </c>
      <c r="F57" s="6"/>
      <c r="G57" s="6" t="str">
        <f ca="1">INDIRECT(A$61&amp;J57)</f>
        <v>W</v>
      </c>
      <c r="H57" s="6"/>
      <c r="I57" s="6"/>
      <c r="J57" s="6">
        <f ca="1">IF(ISBLANK(INDIRECT(A$61&amp;J56-1)), LOOKUP(2,1 / (J$2:(INDIRECT(A$61&amp;J56-2)) &lt;&gt; ""),ROW(J$2:(INDIRECT(A$61&amp;J56-2)))),LOOKUP(2,1 / (J$2:(INDIRECT(A$61&amp;J56-1)) &lt;&gt; ""),ROW(J$2:(INDIRECT(A$61&amp;J56-1)))))</f>
        <v>46</v>
      </c>
      <c r="K57" s="6"/>
      <c r="L57" s="6"/>
      <c r="M57" s="285" t="s">
        <v>607</v>
      </c>
      <c r="N57" s="9">
        <f>COUNTIF(V2:V51,"D")</f>
        <v>7</v>
      </c>
      <c r="O57" s="9"/>
      <c r="P57" s="285" t="s">
        <v>122</v>
      </c>
      <c r="Q57" s="9" t="str">
        <f ca="1">S54&amp;S55&amp;S56&amp;S57&amp;S58</f>
        <v>WDWLL</v>
      </c>
      <c r="R57" s="9"/>
      <c r="S57" s="9" t="str">
        <f ca="1">INDIRECT(M$61&amp;V57)</f>
        <v>L</v>
      </c>
      <c r="T57" s="9"/>
      <c r="U57" s="9"/>
      <c r="V57" s="9">
        <f ca="1">IF(ISBLANK(INDIRECT(M$61&amp;V56-1)), LOOKUP(2,1 / (V$2:(INDIRECT(M$61&amp;V56-2)) &lt;&gt; ""),ROW(V$2:(INDIRECT(M$61&amp;V56-2)))),LOOKUP(2,1 / (V$2:(INDIRECT(M$61&amp;V56-1)) &lt;&gt; ""),ROW(V$2:(INDIRECT(M$61&amp;V56-1)))))</f>
        <v>46</v>
      </c>
      <c r="W57" s="9"/>
      <c r="X57" s="9"/>
      <c r="Y57" s="293" t="s">
        <v>607</v>
      </c>
      <c r="Z57" s="262">
        <f>COUNTIF(AH2:AH51,"D")</f>
        <v>6</v>
      </c>
      <c r="AA57" s="295"/>
      <c r="AB57" s="293" t="s">
        <v>122</v>
      </c>
      <c r="AC57" s="262" t="str">
        <f ca="1">AE54&amp;AE55&amp;AE56&amp;AE57&amp;AE58</f>
        <v>LLLLW</v>
      </c>
      <c r="AD57" s="262"/>
      <c r="AE57" s="262" t="str">
        <f ca="1">INDIRECT(Y$61&amp;AH57)</f>
        <v>L</v>
      </c>
      <c r="AF57" s="262"/>
      <c r="AG57" s="262"/>
      <c r="AH57" s="262">
        <f ca="1">IF(ISBLANK(INDIRECT(Y$61&amp;AH56-1)), LOOKUP(2,1 / (AH$2:(INDIRECT(Y$61&amp;AH56-2)) &lt;&gt; ""),ROW(AH$2:(INDIRECT(Y$61&amp;AH56-2)))),LOOKUP(2,1 / (AH$2:(INDIRECT(Y$61&amp;AH56-1)) &lt;&gt; ""),ROW(AH$2:(INDIRECT(Y$61&amp;AH56-1)))))</f>
        <v>46</v>
      </c>
      <c r="AI57" s="262"/>
      <c r="AJ57" s="262"/>
      <c r="AK57" s="414" t="s">
        <v>607</v>
      </c>
      <c r="AL57" s="410">
        <f>COUNTIF(AT2:AT51,"D")</f>
        <v>14</v>
      </c>
      <c r="AM57" s="458"/>
      <c r="AN57" s="414" t="s">
        <v>122</v>
      </c>
      <c r="AO57" s="410" t="str">
        <f ca="1">AQ54&amp;AQ55&amp;AQ56&amp;AQ57&amp;AQ58</f>
        <v>WWWLW</v>
      </c>
      <c r="AP57" s="410"/>
      <c r="AQ57" s="410" t="str">
        <f ca="1">INDIRECT(AK$61&amp;AT57)</f>
        <v>L</v>
      </c>
      <c r="AR57" s="410"/>
      <c r="AS57" s="410"/>
      <c r="AT57" s="410">
        <f ca="1">IF(ISBLANK(INDIRECT(AK$61&amp;AT56-1)), LOOKUP(2,1 / (AT$2:(INDIRECT(AK$61&amp;AT56-2)) &lt;&gt; ""),ROW(AT$2:(INDIRECT(AK$61&amp;AT56-2)))),LOOKUP(2,1 / (AT$2:(INDIRECT(AK$61&amp;AT56-1)) &lt;&gt; ""),ROW(AT$2:(INDIRECT(AK$61&amp;AT56-1)))))</f>
        <v>46</v>
      </c>
      <c r="AU57" s="410"/>
      <c r="AV57" s="410"/>
      <c r="AW57" s="299" t="s">
        <v>607</v>
      </c>
      <c r="AX57" s="11">
        <f>COUNTIF(BF2:BF51,"D")</f>
        <v>8</v>
      </c>
      <c r="AY57" s="301"/>
      <c r="AZ57" s="299" t="s">
        <v>122</v>
      </c>
      <c r="BA57" s="11" t="str">
        <f ca="1">BC54&amp;BC55&amp;BC56&amp;BC57&amp;BC58</f>
        <v>LDWLW</v>
      </c>
      <c r="BB57" s="11"/>
      <c r="BC57" s="11" t="str">
        <f ca="1">INDIRECT(AW$61&amp;BF57)</f>
        <v>L</v>
      </c>
      <c r="BD57" s="11"/>
      <c r="BE57" s="11"/>
      <c r="BF57" s="11">
        <f ca="1">IF(ISBLANK(INDIRECT(AW$61&amp;BF56-1)), LOOKUP(2,1 / (BF$2:(INDIRECT(AW$61&amp;BF56-2)) &lt;&gt; ""),ROW(BF$2:(INDIRECT(AW$61&amp;BF56-2)))),LOOKUP(2,1 / (BF$2:(INDIRECT(AW$61&amp;BF56-1)) &lt;&gt; ""),ROW(BF$2:(INDIRECT(AW$61&amp;BF56-1)))))</f>
        <v>46</v>
      </c>
      <c r="BG57" s="11"/>
      <c r="BH57" s="11"/>
      <c r="BI57" s="305" t="s">
        <v>607</v>
      </c>
      <c r="BJ57" s="15">
        <f>COUNTIF(BR2:BR51,"D")</f>
        <v>11</v>
      </c>
      <c r="BK57" s="307"/>
      <c r="BL57" s="305" t="s">
        <v>122</v>
      </c>
      <c r="BM57" s="15" t="str">
        <f ca="1">BO54&amp;BO55&amp;BO56&amp;BO57&amp;BO58</f>
        <v>DLLDW</v>
      </c>
      <c r="BN57" s="15"/>
      <c r="BO57" s="15" t="str">
        <f ca="1">INDIRECT(BI$61&amp;BR57)</f>
        <v>D</v>
      </c>
      <c r="BP57" s="15"/>
      <c r="BQ57" s="15"/>
      <c r="BR57" s="15">
        <f ca="1">IF(ISBLANK(INDIRECT(BI$61&amp;BR56-1)), LOOKUP(2,1 / (BR$2:(INDIRECT(BI$61&amp;BR56-2)) &lt;&gt; ""),ROW(BR$2:(INDIRECT(BI$61&amp;BR56-2)))),LOOKUP(2,1 / (BR$2:(INDIRECT(BI$61&amp;BR56-1)) &lt;&gt; ""),ROW(BR$2:(INDIRECT(BI$61&amp;BR56-1)))))</f>
        <v>46</v>
      </c>
      <c r="BS57" s="15"/>
      <c r="BT57" s="15"/>
      <c r="BU57" s="313" t="s">
        <v>607</v>
      </c>
      <c r="BV57" s="16">
        <f>COUNTIF(CD2:CD51,"D")</f>
        <v>12</v>
      </c>
      <c r="BW57" s="315"/>
      <c r="BX57" s="313" t="s">
        <v>122</v>
      </c>
      <c r="BY57" s="16" t="str">
        <f ca="1">CA54&amp;CA55&amp;CA56&amp;CA57&amp;CA58</f>
        <v>DDWLW</v>
      </c>
      <c r="BZ57" s="16"/>
      <c r="CA57" s="16" t="str">
        <f ca="1">INDIRECT(BU$61&amp;CD57)</f>
        <v>L</v>
      </c>
      <c r="CB57" s="16"/>
      <c r="CC57" s="16"/>
      <c r="CD57" s="16">
        <f ca="1">IF(ISBLANK(INDIRECT(BU$61&amp;CD56-1)), LOOKUP(2,1 / (CD$2:(INDIRECT(BU$61&amp;CD56-2)) &lt;&gt; ""),ROW(CD$2:(INDIRECT(BU$61&amp;CD56-2)))),LOOKUP(2,1 / (CD$2:(INDIRECT(BU$61&amp;CD56-1)) &lt;&gt; ""),ROW(CD$2:(INDIRECT(BU$61&amp;CD56-1)))))</f>
        <v>46</v>
      </c>
      <c r="CE57" s="16"/>
      <c r="CF57" s="16"/>
      <c r="CG57" s="321" t="s">
        <v>607</v>
      </c>
      <c r="CH57" s="19">
        <f>COUNTIF(CP2:CP51,"D")</f>
        <v>12</v>
      </c>
      <c r="CI57" s="323"/>
      <c r="CJ57" s="321" t="s">
        <v>122</v>
      </c>
      <c r="CK57" s="19" t="str">
        <f ca="1">CM54&amp;CM55&amp;CM56&amp;CM57&amp;CM58</f>
        <v>WDLWD</v>
      </c>
      <c r="CL57" s="19"/>
      <c r="CM57" s="19" t="str">
        <f ca="1">INDIRECT(CG$61&amp;CP57)</f>
        <v>W</v>
      </c>
      <c r="CN57" s="19"/>
      <c r="CO57" s="19"/>
      <c r="CP57" s="19">
        <f ca="1">IF(ISBLANK(INDIRECT(CG$61&amp;CP56-1)), LOOKUP(2,1 / (CP$2:(INDIRECT(CG$61&amp;CP56-2)) &lt;&gt; ""),ROW(CP$2:(INDIRECT(CG$61&amp;CP56-2)))),LOOKUP(2,1 / (CP$2:(INDIRECT(CG$61&amp;CP56-1)) &lt;&gt; ""),ROW(CP$2:(INDIRECT(CG$61&amp;CP56-1)))))</f>
        <v>46</v>
      </c>
      <c r="CQ57" s="19"/>
      <c r="CR57" s="19"/>
      <c r="CS57" s="329" t="s">
        <v>607</v>
      </c>
      <c r="CT57" s="178">
        <f>COUNTIF(DB2:DB51,"D")</f>
        <v>7</v>
      </c>
      <c r="CU57" s="331"/>
      <c r="CV57" s="329" t="s">
        <v>122</v>
      </c>
      <c r="CW57" s="178" t="str">
        <f ca="1">CY54&amp;CY55&amp;CY56&amp;CY57&amp;CY58</f>
        <v>LDWWL</v>
      </c>
      <c r="CX57" s="178"/>
      <c r="CY57" s="178" t="str">
        <f ca="1">INDIRECT(CS$61&amp;DB57)</f>
        <v>W</v>
      </c>
      <c r="CZ57" s="178"/>
      <c r="DA57" s="178"/>
      <c r="DB57" s="178">
        <f ca="1">IF(ISBLANK(INDIRECT(CS$61&amp;DB56-1)), LOOKUP(2,1 / (DB$2:(INDIRECT(CS$61&amp;DB56-2)) &lt;&gt; ""),ROW(DB$2:(INDIRECT(CS$61&amp;DB56-2)))),LOOKUP(2,1 / (DB$2:(INDIRECT(CS$61&amp;DB56-1)) &lt;&gt; ""),ROW(DB$2:(INDIRECT(CS$61&amp;DB56-1)))))</f>
        <v>46</v>
      </c>
      <c r="DC57" s="178"/>
      <c r="DD57" s="178"/>
      <c r="DE57" s="337" t="s">
        <v>607</v>
      </c>
      <c r="DF57" s="177">
        <f>COUNTIF(DN2:DN51,"D")</f>
        <v>10</v>
      </c>
      <c r="DG57" s="459"/>
      <c r="DH57" s="337" t="s">
        <v>122</v>
      </c>
      <c r="DI57" s="177" t="str">
        <f ca="1">DK54&amp;DK55&amp;DK56&amp;DK57&amp;DK58</f>
        <v>LLDLL</v>
      </c>
      <c r="DJ57" s="177"/>
      <c r="DK57" s="177" t="str">
        <f ca="1">INDIRECT(DE$61&amp;DN57)</f>
        <v>L</v>
      </c>
      <c r="DL57" s="177"/>
      <c r="DM57" s="177"/>
      <c r="DN57" s="177">
        <f ca="1">IF(ISBLANK(INDIRECT(DE$61&amp;DN56-1)), LOOKUP(2,1 / (DN$2:(INDIRECT(DE$61&amp;DN56-2)) &lt;&gt; ""),ROW(DN$2:(INDIRECT(DE$61&amp;DN56-2)))),LOOKUP(2,1 / (DN$2:(INDIRECT(DE$61&amp;DN56-1)) &lt;&gt; ""),ROW(DN$2:(INDIRECT(DE$61&amp;DN56-1)))))</f>
        <v>46</v>
      </c>
      <c r="DO57" s="177"/>
      <c r="DP57" s="177"/>
      <c r="DQ57" s="344" t="s">
        <v>607</v>
      </c>
      <c r="DR57" s="21">
        <f>COUNTIF(DZ2:DZ51,"D")</f>
        <v>7</v>
      </c>
      <c r="DS57" s="346"/>
      <c r="DT57" s="344" t="s">
        <v>122</v>
      </c>
      <c r="DU57" s="21" t="str">
        <f ca="1">DW54&amp;DW55&amp;DW56&amp;DW57&amp;DW58</f>
        <v>WDLLD</v>
      </c>
      <c r="DV57" s="21"/>
      <c r="DW57" s="21" t="str">
        <f ca="1">INDIRECT(DQ$61&amp;DZ57)</f>
        <v>L</v>
      </c>
      <c r="DX57" s="21"/>
      <c r="DY57" s="21"/>
      <c r="DZ57" s="21">
        <f ca="1">IF(ISBLANK(INDIRECT(DQ$61&amp;DZ56-1)), LOOKUP(2,1 / (DZ$2:(INDIRECT(DQ$61&amp;DZ56-2)) &lt;&gt; ""),ROW(DZ$2:(INDIRECT(DQ$61&amp;DZ56-2)))),LOOKUP(2,1 / (DZ$2:(INDIRECT(DQ$61&amp;DZ56-1)) &lt;&gt; ""),ROW(DZ$2:(INDIRECT(DQ$61&amp;DZ56-1)))))</f>
        <v>46</v>
      </c>
      <c r="EA57" s="21"/>
      <c r="EB57" s="21"/>
      <c r="EC57" s="350" t="s">
        <v>607</v>
      </c>
      <c r="ED57" s="23">
        <f>COUNTIF(EL2:EL51,"D")</f>
        <v>10</v>
      </c>
      <c r="EE57" s="352"/>
      <c r="EF57" s="350" t="s">
        <v>122</v>
      </c>
      <c r="EG57" s="23" t="str">
        <f ca="1">EI54&amp;EI55&amp;EI56&amp;EI57&amp;EI58</f>
        <v>DDWWW</v>
      </c>
      <c r="EH57" s="23"/>
      <c r="EI57" s="23" t="str">
        <f ca="1">INDIRECT(EC$61&amp;EL57)</f>
        <v>W</v>
      </c>
      <c r="EJ57" s="23"/>
      <c r="EK57" s="23"/>
      <c r="EL57" s="23">
        <f ca="1">IF(ISBLANK(INDIRECT(EC$61&amp;EL56-1)), LOOKUP(2,1 / (EL$2:(INDIRECT(EC$61&amp;EL56-2)) &lt;&gt; ""),ROW(EL$2:(INDIRECT(EC$61&amp;EL56-2)))),LOOKUP(2,1 / (EL$2:(INDIRECT(EC$61&amp;EL56-1)) &lt;&gt; ""),ROW(EL$2:(INDIRECT(EC$61&amp;EL56-1)))))</f>
        <v>46</v>
      </c>
      <c r="EM57" s="23"/>
      <c r="EN57" s="23"/>
      <c r="EO57" s="356" t="s">
        <v>607</v>
      </c>
      <c r="EP57" s="25">
        <f>COUNTIF(EX2:EX51,"D")</f>
        <v>5</v>
      </c>
      <c r="EQ57" s="358"/>
      <c r="ER57" s="356" t="s">
        <v>122</v>
      </c>
      <c r="ES57" s="25" t="str">
        <f ca="1">EU54&amp;EU55&amp;EU56&amp;EU57&amp;EU58</f>
        <v>LDWWW</v>
      </c>
      <c r="ET57" s="25"/>
      <c r="EU57" s="25" t="str">
        <f ca="1">INDIRECT(EO$61&amp;EX57)</f>
        <v>W</v>
      </c>
      <c r="EV57" s="25"/>
      <c r="EW57" s="25"/>
      <c r="EX57" s="25">
        <f ca="1">IF(ISBLANK(INDIRECT(EO$61&amp;EX56-1)), LOOKUP(2,1 / (EX$2:(INDIRECT(EO$61&amp;EX56-2)) &lt;&gt; ""),ROW(EX$2:(INDIRECT(EO$61&amp;EX56-2)))),LOOKUP(2,1 / (EX$2:(INDIRECT(EO$61&amp;EX56-1)) &lt;&gt; ""),ROW(EX$2:(INDIRECT(EO$61&amp;EX56-1)))))</f>
        <v>46</v>
      </c>
      <c r="EY57" s="25"/>
      <c r="EZ57" s="25"/>
      <c r="FA57" s="364" t="s">
        <v>607</v>
      </c>
      <c r="FB57" s="27">
        <f>COUNTIF(FJ2:FJ51,"D")</f>
        <v>6</v>
      </c>
      <c r="FC57" s="366"/>
      <c r="FD57" s="364" t="s">
        <v>122</v>
      </c>
      <c r="FE57" s="27" t="str">
        <f ca="1">FG54&amp;FG55&amp;FG56&amp;FG57&amp;FG58</f>
        <v>WWWWL</v>
      </c>
      <c r="FF57" s="27"/>
      <c r="FG57" s="27" t="str">
        <f ca="1">INDIRECT(FA$61&amp;FJ57)</f>
        <v>W</v>
      </c>
      <c r="FH57" s="27"/>
      <c r="FI57" s="27"/>
      <c r="FJ57" s="27">
        <f ca="1">IF(ISBLANK(INDIRECT(FA$61&amp;FJ56-1)), LOOKUP(2,1 / (FJ$2:(INDIRECT(FA$61&amp;FJ56-2)) &lt;&gt; ""),ROW(FJ$2:(INDIRECT(FA$61&amp;FJ56-2)))),LOOKUP(2,1 / (FJ$2:(INDIRECT(FA$61&amp;FJ56-1)) &lt;&gt; ""),ROW(FJ$2:(INDIRECT(FA$61&amp;FJ56-1)))))</f>
        <v>46</v>
      </c>
      <c r="FK57" s="27"/>
      <c r="FL57" s="27"/>
      <c r="FM57" s="370" t="s">
        <v>607</v>
      </c>
      <c r="FN57" s="29">
        <f>COUNTIF(FV2:FV51,"D")</f>
        <v>14</v>
      </c>
      <c r="FO57" s="372"/>
      <c r="FP57" s="370" t="s">
        <v>122</v>
      </c>
      <c r="FQ57" s="29" t="str">
        <f ca="1">FS54&amp;FS55&amp;FS56&amp;FS57&amp;FS58</f>
        <v>DDWDL</v>
      </c>
      <c r="FR57" s="29"/>
      <c r="FS57" s="29" t="str">
        <f ca="1">INDIRECT(FM$61&amp;FV57)</f>
        <v>D</v>
      </c>
      <c r="FT57" s="29"/>
      <c r="FU57" s="29"/>
      <c r="FV57" s="29">
        <f ca="1">IF(ISBLANK(INDIRECT(FM$61&amp;FV56-1)), LOOKUP(2,1 / (FV$2:(INDIRECT(FM$61&amp;FV56-2)) &lt;&gt; ""),ROW(FV$2:(INDIRECT(FM$61&amp;FV56-2)))),LOOKUP(2,1 / (FV$2:(INDIRECT(FM$61&amp;FV56-1)) &lt;&gt; ""),ROW(FV$2:(INDIRECT(FM$61&amp;FV56-1)))))</f>
        <v>46</v>
      </c>
      <c r="FW57" s="29"/>
      <c r="FX57" s="29"/>
      <c r="FY57" s="378" t="s">
        <v>607</v>
      </c>
      <c r="FZ57" s="264">
        <f>COUNTIF(GH2:GH51,"D")</f>
        <v>11</v>
      </c>
      <c r="GA57" s="380"/>
      <c r="GB57" s="378" t="s">
        <v>122</v>
      </c>
      <c r="GC57" s="264" t="str">
        <f ca="1">GE54&amp;GE55&amp;GE56&amp;GE57&amp;GE58</f>
        <v>DWDWL</v>
      </c>
      <c r="GD57" s="264"/>
      <c r="GE57" s="264" t="str">
        <f ca="1">INDIRECT(FY$61&amp;GH57)</f>
        <v>W</v>
      </c>
      <c r="GF57" s="264"/>
      <c r="GG57" s="264"/>
      <c r="GH57" s="264">
        <f ca="1">IF(ISBLANK(INDIRECT(FY$61&amp;GH56-1)), LOOKUP(2,1 / (GH$2:(INDIRECT(FY$61&amp;GH56-2)) &lt;&gt; ""),ROW(GH$2:(INDIRECT(FY$61&amp;GH56-2)))),LOOKUP(2,1 / (GH$2:(INDIRECT(FY$61&amp;GH56-1)) &lt;&gt; ""),ROW(GH$2:(INDIRECT(FY$61&amp;GH56-1)))))</f>
        <v>46</v>
      </c>
      <c r="GI57" s="264"/>
      <c r="GJ57" s="264"/>
      <c r="GK57" s="385" t="s">
        <v>607</v>
      </c>
      <c r="GL57" s="30">
        <f>COUNTIF(GT2:GT51,"D")</f>
        <v>7</v>
      </c>
      <c r="GM57" s="387"/>
      <c r="GN57" s="385" t="s">
        <v>122</v>
      </c>
      <c r="GO57" s="30" t="str">
        <f ca="1">GQ54&amp;GQ55&amp;GQ56&amp;GQ57&amp;GQ58</f>
        <v>DLLLL</v>
      </c>
      <c r="GP57" s="30"/>
      <c r="GQ57" s="30" t="str">
        <f ca="1">INDIRECT(GK$61&amp;GT57)</f>
        <v>L</v>
      </c>
      <c r="GR57" s="30"/>
      <c r="GS57" s="30"/>
      <c r="GT57" s="30">
        <f ca="1">IF(ISBLANK(INDIRECT(GK$61&amp;GT56-1)), LOOKUP(2,1 / (GT$2:(INDIRECT(GK$61&amp;GT56-2)) &lt;&gt; ""),ROW(GT$2:(INDIRECT(GK$61&amp;GT56-2)))),LOOKUP(2,1 / (GT$2:(INDIRECT(GK$61&amp;GT56-1)) &lt;&gt; ""),ROW(GT$2:(INDIRECT(GK$61&amp;GT56-1)))))</f>
        <v>46</v>
      </c>
      <c r="GU57" s="30"/>
      <c r="GV57" s="30"/>
      <c r="GW57" s="391" t="s">
        <v>607</v>
      </c>
      <c r="GX57" s="32">
        <f>COUNTIF(HF2:HF51,"D")</f>
        <v>6</v>
      </c>
      <c r="GY57" s="393"/>
      <c r="GZ57" s="391" t="s">
        <v>122</v>
      </c>
      <c r="HA57" s="32" t="str">
        <f ca="1">HC54&amp;HC55&amp;HC56&amp;HC57&amp;HC58</f>
        <v>WLLWL</v>
      </c>
      <c r="HB57" s="32"/>
      <c r="HC57" s="32" t="str">
        <f ca="1">INDIRECT(GW$61&amp;HF57)</f>
        <v>W</v>
      </c>
      <c r="HD57" s="32"/>
      <c r="HE57" s="32"/>
      <c r="HF57" s="32">
        <f ca="1">IF(ISBLANK(INDIRECT(GW$61&amp;HF56-1)), LOOKUP(2,1 / (HF$2:(INDIRECT(GW$61&amp;HF56-2)) &lt;&gt; ""),ROW(HF$2:(INDIRECT(GW$61&amp;HF56-2)))),LOOKUP(2,1 / (HF$2:(INDIRECT(GW$61&amp;HF56-1)) &lt;&gt; ""),ROW(HF$2:(INDIRECT(GW$61&amp;HF56-1)))))</f>
        <v>46</v>
      </c>
      <c r="HG57" s="32"/>
      <c r="HH57" s="32"/>
      <c r="HI57" s="397" t="s">
        <v>607</v>
      </c>
      <c r="HJ57" s="34">
        <f>COUNTIF(HR2:HR51,"D")</f>
        <v>7</v>
      </c>
      <c r="HK57" s="399"/>
      <c r="HL57" s="397" t="s">
        <v>122</v>
      </c>
      <c r="HM57" s="34" t="str">
        <f ca="1">HO54&amp;HO55&amp;HO56&amp;HO57&amp;HO58</f>
        <v>LWLWL</v>
      </c>
      <c r="HN57" s="34"/>
      <c r="HO57" s="34" t="str">
        <f ca="1">INDIRECT(HI$61&amp;HR57)</f>
        <v>W</v>
      </c>
      <c r="HP57" s="34"/>
      <c r="HQ57" s="34"/>
      <c r="HR57" s="34">
        <f ca="1">IF(ISBLANK(INDIRECT(HI$61&amp;HR56-1)), LOOKUP(2,1 / (HR$2:(INDIRECT(HI$61&amp;HR56-2)) &lt;&gt; ""),ROW(HR$2:(INDIRECT(HI$61&amp;HR56-2)))),LOOKUP(2,1 / (HR$2:(INDIRECT(HI$61&amp;HR56-1)) &lt;&gt; ""),ROW(HR$2:(INDIRECT(HI$61&amp;HR56-1)))))</f>
        <v>46</v>
      </c>
      <c r="HS57" s="34"/>
      <c r="HT57" s="34"/>
      <c r="HU57" s="403" t="s">
        <v>607</v>
      </c>
      <c r="HV57" s="36">
        <f>COUNTIF(ID2:ID51,"D")</f>
        <v>8</v>
      </c>
      <c r="HW57" s="405"/>
      <c r="HX57" s="403" t="s">
        <v>122</v>
      </c>
      <c r="HY57" s="36" t="str">
        <f ca="1">IA54&amp;IA55&amp;IA56&amp;IA57&amp;IA58</f>
        <v>LDLWL</v>
      </c>
      <c r="HZ57" s="36"/>
      <c r="IA57" s="36" t="str">
        <f ca="1">INDIRECT(HU$61&amp;ID57)</f>
        <v>W</v>
      </c>
      <c r="IB57" s="36"/>
      <c r="IC57" s="36"/>
      <c r="ID57" s="36">
        <f ca="1">IF(ISBLANK(INDIRECT(HU$61&amp;ID56-1)), LOOKUP(2,1 / (ID$2:(INDIRECT(HU$61&amp;ID56-2)) &lt;&gt; ""),ROW(ID$2:(INDIRECT(HU$61&amp;ID56-2)))),LOOKUP(2,1 / (ID$2:(INDIRECT(HU$61&amp;ID56-1)) &lt;&gt; ""),ROW(ID$2:(INDIRECT(HU$61&amp;ID56-1)))))</f>
        <v>46</v>
      </c>
      <c r="IE57" s="36"/>
      <c r="IF57" s="36"/>
    </row>
    <row r="58" spans="1:240" hidden="1" x14ac:dyDescent="0.4">
      <c r="A58" s="278" t="s">
        <v>605</v>
      </c>
      <c r="B58" s="93">
        <f>COUNTIF(J2:J51,"L")</f>
        <v>6</v>
      </c>
      <c r="C58" s="460"/>
      <c r="D58" s="278" t="s">
        <v>610</v>
      </c>
      <c r="E58" s="93" t="str">
        <f ca="1">INDIRECT(B61&amp;J59)</f>
        <v>Wolves</v>
      </c>
      <c r="F58" s="6"/>
      <c r="G58" s="6" t="str">
        <f ca="1">INDIRECT(A$61&amp;J58)</f>
        <v>W</v>
      </c>
      <c r="H58" s="6"/>
      <c r="I58" s="6"/>
      <c r="J58" s="6">
        <f ca="1">IF(ISBLANK(INDIRECT(A$61&amp;J57-1)), LOOKUP(2,1 / (J$2:(INDIRECT(A$61&amp;J57-2)) &lt;&gt; ""),ROW(J$2:(INDIRECT(A$61&amp;J57-2)))),LOOKUP(2,1 / (J$2:(INDIRECT(A$61&amp;J57-1)) &lt;&gt; ""),ROW(J$2:(INDIRECT(A$61&amp;J57-1)))))</f>
        <v>45</v>
      </c>
      <c r="K58" s="6"/>
      <c r="L58" s="6"/>
      <c r="M58" s="285" t="s">
        <v>605</v>
      </c>
      <c r="N58" s="9">
        <f>COUNTIF(V2:V51,"L")</f>
        <v>13</v>
      </c>
      <c r="O58" s="9"/>
      <c r="P58" s="285" t="s">
        <v>610</v>
      </c>
      <c r="Q58" s="9" t="str">
        <f ca="1">INDIRECT(N61&amp;V59)</f>
        <v>Brighton</v>
      </c>
      <c r="R58" s="9"/>
      <c r="S58" s="9" t="str">
        <f ca="1">INDIRECT(M$61&amp;V58)</f>
        <v>L</v>
      </c>
      <c r="T58" s="9"/>
      <c r="U58" s="9"/>
      <c r="V58" s="9">
        <f ca="1">IF(ISBLANK(INDIRECT(M$61&amp;V57-1)), LOOKUP(2,1 / (V$2:(INDIRECT(M$61&amp;V57-2)) &lt;&gt; ""),ROW(V$2:(INDIRECT(M$61&amp;V57-2)))),LOOKUP(2,1 / (V$2:(INDIRECT(M$61&amp;V57-1)) &lt;&gt; ""),ROW(V$2:(INDIRECT(M$61&amp;V57-1)))))</f>
        <v>44</v>
      </c>
      <c r="W58" s="9"/>
      <c r="X58" s="9"/>
      <c r="Y58" s="293" t="s">
        <v>605</v>
      </c>
      <c r="Z58" s="262">
        <f>COUNTIF(AH2:AH51,"L")</f>
        <v>21</v>
      </c>
      <c r="AA58" s="295"/>
      <c r="AB58" s="293" t="s">
        <v>610</v>
      </c>
      <c r="AC58" s="262" t="str">
        <f ca="1">INDIRECT(Z61&amp;AH59)</f>
        <v>Everton</v>
      </c>
      <c r="AD58" s="262"/>
      <c r="AE58" s="262" t="str">
        <f ca="1">INDIRECT(Y$61&amp;AH58)</f>
        <v>W</v>
      </c>
      <c r="AF58" s="262"/>
      <c r="AG58" s="262"/>
      <c r="AH58" s="262">
        <f ca="1">IF(ISBLANK(INDIRECT(Y$61&amp;AH57-1)), LOOKUP(2,1 / (AH$2:(INDIRECT(Y$61&amp;AH57-2)) &lt;&gt; ""),ROW(AH$2:(INDIRECT(Y$61&amp;AH57-2)))),LOOKUP(2,1 / (AH$2:(INDIRECT(Y$61&amp;AH57-1)) &lt;&gt; ""),ROW(AH$2:(INDIRECT(Y$61&amp;AH57-1)))))</f>
        <v>44</v>
      </c>
      <c r="AI58" s="262"/>
      <c r="AJ58" s="262"/>
      <c r="AK58" s="414" t="s">
        <v>605</v>
      </c>
      <c r="AL58" s="410">
        <f>COUNTIF(AT2:AT51,"L")</f>
        <v>9</v>
      </c>
      <c r="AM58" s="410"/>
      <c r="AN58" s="414" t="s">
        <v>610</v>
      </c>
      <c r="AO58" s="410" t="str">
        <f ca="1">INDIRECT(AL61&amp;AT59)</f>
        <v>Man City</v>
      </c>
      <c r="AP58" s="410"/>
      <c r="AQ58" s="410" t="str">
        <f ca="1">INDIRECT(AK$61&amp;AT58)</f>
        <v>W</v>
      </c>
      <c r="AR58" s="410"/>
      <c r="AS58" s="410"/>
      <c r="AT58" s="410">
        <f ca="1">IF(ISBLANK(INDIRECT(AK$61&amp;AT57-1)), LOOKUP(2,1 / (AT$2:(INDIRECT(AK$61&amp;AT57-2)) &lt;&gt; ""),ROW(AT$2:(INDIRECT(AK$61&amp;AT57-2)))),LOOKUP(2,1 / (AT$2:(INDIRECT(AK$61&amp;AT57-1)) &lt;&gt; ""),ROW(AT$2:(INDIRECT(AK$61&amp;AT57-1)))))</f>
        <v>44</v>
      </c>
      <c r="AU58" s="410"/>
      <c r="AV58" s="410"/>
      <c r="AW58" s="299" t="s">
        <v>605</v>
      </c>
      <c r="AX58" s="11">
        <f>COUNTIF(BF2:BF51,"L")</f>
        <v>12</v>
      </c>
      <c r="AY58" s="301"/>
      <c r="AZ58" s="299" t="s">
        <v>610</v>
      </c>
      <c r="BA58" s="11" t="str">
        <f ca="1">INDIRECT(AX61&amp;BF59)</f>
        <v>Aston Villa</v>
      </c>
      <c r="BB58" s="11"/>
      <c r="BC58" s="11" t="str">
        <f ca="1">INDIRECT(AW$61&amp;BF58)</f>
        <v>W</v>
      </c>
      <c r="BD58" s="11"/>
      <c r="BE58" s="11"/>
      <c r="BF58" s="11">
        <f ca="1">IF(ISBLANK(INDIRECT(AW$61&amp;BF57-1)), LOOKUP(2,1 / (BF$2:(INDIRECT(AW$61&amp;BF57-2)) &lt;&gt; ""),ROW(BF$2:(INDIRECT(AW$61&amp;BF57-2)))),LOOKUP(2,1 / (BF$2:(INDIRECT(AW$61&amp;BF57-1)) &lt;&gt; ""),ROW(BF$2:(INDIRECT(AW$61&amp;BF57-1)))))</f>
        <v>45</v>
      </c>
      <c r="BG58" s="11"/>
      <c r="BH58" s="11"/>
      <c r="BI58" s="305" t="s">
        <v>605</v>
      </c>
      <c r="BJ58" s="15">
        <f>COUNTIF(BR2:BR51,"L")</f>
        <v>16</v>
      </c>
      <c r="BK58" s="15"/>
      <c r="BL58" s="305" t="s">
        <v>610</v>
      </c>
      <c r="BM58" s="15" t="str">
        <f ca="1">INDIRECT(BJ61&amp;BR59)</f>
        <v>Newcastle</v>
      </c>
      <c r="BN58" s="15"/>
      <c r="BO58" s="15" t="str">
        <f ca="1">INDIRECT(BI$61&amp;BR58)</f>
        <v>W</v>
      </c>
      <c r="BP58" s="15"/>
      <c r="BQ58" s="15"/>
      <c r="BR58" s="15">
        <f ca="1">IF(ISBLANK(INDIRECT(BI$61&amp;BR57-1)), LOOKUP(2,1 / (BR$2:(INDIRECT(BI$61&amp;BR57-2)) &lt;&gt; ""),ROW(BR$2:(INDIRECT(BI$61&amp;BR57-2)))),LOOKUP(2,1 / (BR$2:(INDIRECT(BI$61&amp;BR57-1)) &lt;&gt; ""),ROW(BR$2:(INDIRECT(BI$61&amp;BR57-1)))))</f>
        <v>45</v>
      </c>
      <c r="BS58" s="15"/>
      <c r="BT58" s="15"/>
      <c r="BU58" s="313" t="s">
        <v>605</v>
      </c>
      <c r="BV58" s="16">
        <f>COUNTIF(CD2:CD51,"L")</f>
        <v>15</v>
      </c>
      <c r="BW58" s="315"/>
      <c r="BX58" s="313" t="s">
        <v>610</v>
      </c>
      <c r="BY58" s="16" t="str">
        <f ca="1">INDIRECT(BV61&amp;CD59)</f>
        <v>Nottingham Forest</v>
      </c>
      <c r="BZ58" s="16"/>
      <c r="CA58" s="16" t="str">
        <f ca="1">INDIRECT(BU$61&amp;CD58)</f>
        <v>W</v>
      </c>
      <c r="CB58" s="16"/>
      <c r="CC58" s="16"/>
      <c r="CD58" s="16">
        <f ca="1">IF(ISBLANK(INDIRECT(BU$61&amp;CD57-1)), LOOKUP(2,1 / (CD$2:(INDIRECT(BU$61&amp;CD57-2)) &lt;&gt; ""),ROW(CD$2:(INDIRECT(BU$61&amp;CD57-2)))),LOOKUP(2,1 / (CD$2:(INDIRECT(BU$61&amp;CD57-1)) &lt;&gt; ""),ROW(CD$2:(INDIRECT(BU$61&amp;CD57-1)))))</f>
        <v>44</v>
      </c>
      <c r="CE58" s="16"/>
      <c r="CF58" s="16"/>
      <c r="CG58" s="321" t="s">
        <v>605</v>
      </c>
      <c r="CH58" s="19">
        <f>COUNTIF(CP2:CP51,"L")</f>
        <v>18</v>
      </c>
      <c r="CI58" s="19"/>
      <c r="CJ58" s="321" t="s">
        <v>610</v>
      </c>
      <c r="CK58" s="19" t="str">
        <f ca="1">INDIRECT(CH61&amp;CP59)</f>
        <v>Bournemouth</v>
      </c>
      <c r="CL58" s="19"/>
      <c r="CM58" s="19" t="str">
        <f ca="1">INDIRECT(CG$61&amp;CP58)</f>
        <v>D</v>
      </c>
      <c r="CN58" s="19"/>
      <c r="CO58" s="19"/>
      <c r="CP58" s="19">
        <f ca="1">IF(ISBLANK(INDIRECT(CG$61&amp;CP57-1)), LOOKUP(2,1 / (CP$2:(INDIRECT(CG$61&amp;CP57-2)) &lt;&gt; ""),ROW(CP$2:(INDIRECT(CG$61&amp;CP57-2)))),LOOKUP(2,1 / (CP$2:(INDIRECT(CG$61&amp;CP57-1)) &lt;&gt; ""),ROW(CP$2:(INDIRECT(CG$61&amp;CP57-1)))))</f>
        <v>45</v>
      </c>
      <c r="CQ58" s="19"/>
      <c r="CR58" s="19"/>
      <c r="CS58" s="329" t="s">
        <v>605</v>
      </c>
      <c r="CT58" s="178">
        <f>COUNTIF(DB2:DB51,"L")</f>
        <v>16</v>
      </c>
      <c r="CU58" s="331"/>
      <c r="CV58" s="329" t="s">
        <v>610</v>
      </c>
      <c r="CW58" s="178" t="str">
        <f ca="1">INDIRECT(CT61&amp;DB59)</f>
        <v>Man Utd</v>
      </c>
      <c r="CX58" s="178"/>
      <c r="CY58" s="178" t="str">
        <f ca="1">INDIRECT(CS$61&amp;DB58)</f>
        <v>L</v>
      </c>
      <c r="CZ58" s="178"/>
      <c r="DA58" s="178"/>
      <c r="DB58" s="178">
        <f ca="1">IF(ISBLANK(INDIRECT(CS$61&amp;DB57-1)), LOOKUP(2,1 / (DB$2:(INDIRECT(CS$61&amp;DB57-2)) &lt;&gt; ""),ROW(DB$2:(INDIRECT(CS$61&amp;DB57-2)))),LOOKUP(2,1 / (DB$2:(INDIRECT(CS$61&amp;DB57-1)) &lt;&gt; ""),ROW(DB$2:(INDIRECT(CS$61&amp;DB57-1)))))</f>
        <v>45</v>
      </c>
      <c r="DC58" s="178"/>
      <c r="DD58" s="178"/>
      <c r="DE58" s="337" t="s">
        <v>605</v>
      </c>
      <c r="DF58" s="177">
        <f>COUNTIF(DN2:DN51,"L")</f>
        <v>21</v>
      </c>
      <c r="DG58" s="177"/>
      <c r="DH58" s="337" t="s">
        <v>610</v>
      </c>
      <c r="DI58" s="177" t="str">
        <f ca="1">INDIRECT(DF61&amp;DN59)</f>
        <v>Spurs</v>
      </c>
      <c r="DJ58" s="177"/>
      <c r="DK58" s="177" t="str">
        <f ca="1">INDIRECT(DE$61&amp;DN58)</f>
        <v>L</v>
      </c>
      <c r="DL58" s="177"/>
      <c r="DM58" s="177"/>
      <c r="DN58" s="177">
        <f ca="1">IF(ISBLANK(INDIRECT(DE$61&amp;DN57-1)), LOOKUP(2,1 / (DN$2:(INDIRECT(DE$61&amp;DN57-2)) &lt;&gt; ""),ROW(DN$2:(INDIRECT(DE$61&amp;DN57-2)))),LOOKUP(2,1 / (DN$2:(INDIRECT(DE$61&amp;DN57-1)) &lt;&gt; ""),ROW(DN$2:(INDIRECT(DE$61&amp;DN57-1)))))</f>
        <v>44</v>
      </c>
      <c r="DO58" s="177"/>
      <c r="DP58" s="177"/>
      <c r="DQ58" s="344" t="s">
        <v>605</v>
      </c>
      <c r="DR58" s="21">
        <f>COUNTIF(DZ2:DZ51,"L")</f>
        <v>22</v>
      </c>
      <c r="DS58" s="346"/>
      <c r="DT58" s="344" t="s">
        <v>610</v>
      </c>
      <c r="DU58" s="21" t="str">
        <f ca="1">INDIRECT(DR61&amp;DZ59)</f>
        <v>West Ham</v>
      </c>
      <c r="DV58" s="21"/>
      <c r="DW58" s="21" t="str">
        <f ca="1">INDIRECT(DQ$61&amp;DZ58)</f>
        <v>D</v>
      </c>
      <c r="DX58" s="21"/>
      <c r="DY58" s="21"/>
      <c r="DZ58" s="21">
        <f ca="1">IF(ISBLANK(INDIRECT(DQ$61&amp;DZ57-1)), LOOKUP(2,1 / (DZ$2:(INDIRECT(DQ$61&amp;DZ57-2)) &lt;&gt; ""),ROW(DZ$2:(INDIRECT(DQ$61&amp;DZ57-2)))),LOOKUP(2,1 / (DZ$2:(INDIRECT(DQ$61&amp;DZ57-1)) &lt;&gt; ""),ROW(DZ$2:(INDIRECT(DQ$61&amp;DZ57-1)))))</f>
        <v>45</v>
      </c>
      <c r="EA58" s="21"/>
      <c r="EB58" s="21"/>
      <c r="EC58" s="350" t="s">
        <v>605</v>
      </c>
      <c r="ED58" s="23">
        <f>COUNTIF(EL2:EL51,"L")</f>
        <v>9</v>
      </c>
      <c r="EE58" s="23"/>
      <c r="EF58" s="350" t="s">
        <v>610</v>
      </c>
      <c r="EG58" s="23" t="str">
        <f ca="1">INDIRECT(ED61&amp;EL59)</f>
        <v>Southampton</v>
      </c>
      <c r="EH58" s="23"/>
      <c r="EI58" s="23" t="str">
        <f ca="1">INDIRECT(EC$61&amp;EL58)</f>
        <v>W</v>
      </c>
      <c r="EJ58" s="23"/>
      <c r="EK58" s="23"/>
      <c r="EL58" s="23">
        <f ca="1">IF(ISBLANK(INDIRECT(EC$61&amp;EL57-1)), LOOKUP(2,1 / (EL$2:(INDIRECT(EC$61&amp;EL57-2)) &lt;&gt; ""),ROW(EL$2:(INDIRECT(EC$61&amp;EL57-2)))),LOOKUP(2,1 / (EL$2:(INDIRECT(EC$61&amp;EL57-1)) &lt;&gt; ""),ROW(EL$2:(INDIRECT(EC$61&amp;EL57-1)))))</f>
        <v>45</v>
      </c>
      <c r="EM58" s="23"/>
      <c r="EN58" s="23"/>
      <c r="EO58" s="356" t="s">
        <v>605</v>
      </c>
      <c r="EP58" s="25">
        <f>COUNTIF(EX2:EX51,"L")</f>
        <v>5</v>
      </c>
      <c r="EQ58" s="358"/>
      <c r="ER58" s="356" t="s">
        <v>610</v>
      </c>
      <c r="ES58" s="25" t="str">
        <f ca="1">INDIRECT(EP61&amp;EX59)</f>
        <v>Brentford</v>
      </c>
      <c r="ET58" s="25"/>
      <c r="EU58" s="25" t="str">
        <f ca="1">INDIRECT(EO$61&amp;EX58)</f>
        <v>W</v>
      </c>
      <c r="EV58" s="25"/>
      <c r="EW58" s="25"/>
      <c r="EX58" s="25">
        <f ca="1">IF(ISBLANK(INDIRECT(EO$61&amp;EX57-1)), LOOKUP(2,1 / (EX$2:(INDIRECT(EO$61&amp;EX57-2)) &lt;&gt; ""),ROW(EX$2:(INDIRECT(EO$61&amp;EX57-2)))),LOOKUP(2,1 / (EX$2:(INDIRECT(EO$61&amp;EX57-1)) &lt;&gt; ""),ROW(EX$2:(INDIRECT(EO$61&amp;EX57-1)))))</f>
        <v>45</v>
      </c>
      <c r="EY58" s="25"/>
      <c r="EZ58" s="25"/>
      <c r="FA58" s="364" t="s">
        <v>605</v>
      </c>
      <c r="FB58" s="27">
        <f>COUNTIF(FJ2:FJ51,"L")</f>
        <v>9</v>
      </c>
      <c r="FC58" s="27"/>
      <c r="FD58" s="364" t="s">
        <v>610</v>
      </c>
      <c r="FE58" s="27" t="str">
        <f ca="1">INDIRECT(FB61&amp;FJ59)</f>
        <v>Fulham</v>
      </c>
      <c r="FF58" s="27"/>
      <c r="FG58" s="27" t="str">
        <f ca="1">INDIRECT(FA$61&amp;FJ58)</f>
        <v>L</v>
      </c>
      <c r="FH58" s="27"/>
      <c r="FI58" s="27"/>
      <c r="FJ58" s="27">
        <f ca="1">IF(ISBLANK(INDIRECT(FA$61&amp;FJ57-1)), LOOKUP(2,1 / (FJ$2:(INDIRECT(FA$61&amp;FJ57-2)) &lt;&gt; ""),ROW(FJ$2:(INDIRECT(FA$61&amp;FJ57-2)))),LOOKUP(2,1 / (FJ$2:(INDIRECT(FA$61&amp;FJ57-1)) &lt;&gt; ""),ROW(FJ$2:(INDIRECT(FA$61&amp;FJ57-1)))))</f>
        <v>45</v>
      </c>
      <c r="FK58" s="27"/>
      <c r="FL58" s="27"/>
      <c r="FM58" s="370" t="s">
        <v>605</v>
      </c>
      <c r="FN58" s="29">
        <f>COUNTIF(FV2:FV51,"L")</f>
        <v>5</v>
      </c>
      <c r="FO58" s="372"/>
      <c r="FP58" s="370" t="s">
        <v>610</v>
      </c>
      <c r="FQ58" s="29" t="str">
        <f ca="1">INDIRECT(FN61&amp;FV59)</f>
        <v>Chelsea</v>
      </c>
      <c r="FR58" s="29"/>
      <c r="FS58" s="29" t="str">
        <f ca="1">INDIRECT(FM$61&amp;FV58)</f>
        <v>L</v>
      </c>
      <c r="FT58" s="29"/>
      <c r="FU58" s="29"/>
      <c r="FV58" s="29">
        <f ca="1">IF(ISBLANK(INDIRECT(FM$61&amp;FV57-1)), LOOKUP(2,1 / (FV$2:(INDIRECT(FM$61&amp;FV57-2)) &lt;&gt; ""),ROW(FV$2:(INDIRECT(FM$61&amp;FV57-2)))),LOOKUP(2,1 / (FV$2:(INDIRECT(FM$61&amp;FV57-1)) &lt;&gt; ""),ROW(FV$2:(INDIRECT(FM$61&amp;FV57-1)))))</f>
        <v>45</v>
      </c>
      <c r="FW58" s="29"/>
      <c r="FX58" s="29"/>
      <c r="FY58" s="378" t="s">
        <v>605</v>
      </c>
      <c r="FZ58" s="264">
        <f>COUNTIF(GH2:GH51,"L")</f>
        <v>18</v>
      </c>
      <c r="GA58" s="264"/>
      <c r="GB58" s="378" t="s">
        <v>610</v>
      </c>
      <c r="GC58" s="264" t="str">
        <f ca="1">INDIRECT(FZ61&amp;GH59)</f>
        <v>Crystal Palace</v>
      </c>
      <c r="GD58" s="264"/>
      <c r="GE58" s="264" t="str">
        <f ca="1">INDIRECT(FY$61&amp;GH58)</f>
        <v>L</v>
      </c>
      <c r="GF58" s="264"/>
      <c r="GG58" s="264"/>
      <c r="GH58" s="264">
        <f ca="1">IF(ISBLANK(INDIRECT(FY$61&amp;GH57-1)), LOOKUP(2,1 / (GH$2:(INDIRECT(FY$61&amp;GH57-2)) &lt;&gt; ""),ROW(GH$2:(INDIRECT(FY$61&amp;GH57-2)))),LOOKUP(2,1 / (GH$2:(INDIRECT(FY$61&amp;GH57-1)) &lt;&gt; ""),ROW(GH$2:(INDIRECT(FY$61&amp;GH57-1)))))</f>
        <v>44</v>
      </c>
      <c r="GI58" s="264"/>
      <c r="GJ58" s="264"/>
      <c r="GK58" s="385" t="s">
        <v>605</v>
      </c>
      <c r="GL58" s="30">
        <f>COUNTIF(GT2:GT51,"L")</f>
        <v>25</v>
      </c>
      <c r="GM58" s="387"/>
      <c r="GN58" s="385" t="s">
        <v>610</v>
      </c>
      <c r="GO58" s="30" t="str">
        <f ca="1">INDIRECT(GL61&amp;GT59)</f>
        <v>Liverpool</v>
      </c>
      <c r="GP58" s="30"/>
      <c r="GQ58" s="30" t="str">
        <f ca="1">INDIRECT(GK$61&amp;GT58)</f>
        <v>L</v>
      </c>
      <c r="GR58" s="30"/>
      <c r="GS58" s="30"/>
      <c r="GT58" s="30">
        <f ca="1">IF(ISBLANK(INDIRECT(GK$61&amp;GT57-1)), LOOKUP(2,1 / (GT$2:(INDIRECT(GK$61&amp;GT57-2)) &lt;&gt; ""),ROW(GT$2:(INDIRECT(GK$61&amp;GT57-2)))),LOOKUP(2,1 / (GT$2:(INDIRECT(GK$61&amp;GT57-1)) &lt;&gt; ""),ROW(GT$2:(INDIRECT(GK$61&amp;GT57-1)))))</f>
        <v>44</v>
      </c>
      <c r="GU58" s="30"/>
      <c r="GV58" s="30"/>
      <c r="GW58" s="391" t="s">
        <v>605</v>
      </c>
      <c r="GX58" s="32">
        <f>COUNTIF(HF2:HF51,"L")</f>
        <v>14</v>
      </c>
      <c r="GY58" s="32"/>
      <c r="GZ58" s="391" t="s">
        <v>610</v>
      </c>
      <c r="HA58" s="32" t="str">
        <f ca="1">INDIRECT(GX61&amp;HF59)</f>
        <v>Leeds Utd</v>
      </c>
      <c r="HB58" s="32"/>
      <c r="HC58" s="32" t="str">
        <f ca="1">INDIRECT(GW$61&amp;HF58)</f>
        <v>L</v>
      </c>
      <c r="HD58" s="32"/>
      <c r="HE58" s="32"/>
      <c r="HF58" s="32">
        <f ca="1">IF(ISBLANK(INDIRECT(GW$61&amp;HF57-1)), LOOKUP(2,1 / (HF$2:(INDIRECT(GW$61&amp;HF57-2)) &lt;&gt; ""),ROW(HF$2:(INDIRECT(GW$61&amp;HF57-2)))),LOOKUP(2,1 / (HF$2:(INDIRECT(GW$61&amp;HF57-1)) &lt;&gt; ""),ROW(HF$2:(INDIRECT(GW$61&amp;HF57-1)))))</f>
        <v>44</v>
      </c>
      <c r="HG58" s="32"/>
      <c r="HH58" s="32"/>
      <c r="HI58" s="397" t="s">
        <v>605</v>
      </c>
      <c r="HJ58" s="34">
        <f>COUNTIF(HR2:HR51,"L")</f>
        <v>20</v>
      </c>
      <c r="HK58" s="399"/>
      <c r="HL58" s="397" t="s">
        <v>610</v>
      </c>
      <c r="HM58" s="34" t="str">
        <f ca="1">INDIRECT(HJ61&amp;HR59)</f>
        <v>Leicester</v>
      </c>
      <c r="HN58" s="34"/>
      <c r="HO58" s="34" t="str">
        <f ca="1">INDIRECT(HI$61&amp;HR58)</f>
        <v>L</v>
      </c>
      <c r="HP58" s="34"/>
      <c r="HQ58" s="34"/>
      <c r="HR58" s="34">
        <f ca="1">IF(ISBLANK(INDIRECT(HI$61&amp;HR57-1)), LOOKUP(2,1 / (HR$2:(INDIRECT(HI$61&amp;HR57-2)) &lt;&gt; ""),ROW(HR$2:(INDIRECT(HI$61&amp;HR57-2)))),LOOKUP(2,1 / (HR$2:(INDIRECT(HI$61&amp;HR57-1)) &lt;&gt; ""),ROW(HR$2:(INDIRECT(HI$61&amp;HR57-1)))))</f>
        <v>45</v>
      </c>
      <c r="HS58" s="34"/>
      <c r="HT58" s="34"/>
      <c r="HU58" s="403" t="s">
        <v>605</v>
      </c>
      <c r="HV58" s="36">
        <f>COUNTIF(ID2:ID51,"L")</f>
        <v>19</v>
      </c>
      <c r="HW58" s="36"/>
      <c r="HX58" s="403" t="s">
        <v>610</v>
      </c>
      <c r="HY58" s="36" t="str">
        <f ca="1">INDIRECT(HV61&amp;ID59)</f>
        <v>Arsenal</v>
      </c>
      <c r="HZ58" s="36"/>
      <c r="IA58" s="36" t="str">
        <f ca="1">INDIRECT(HU$61&amp;ID58)</f>
        <v>L</v>
      </c>
      <c r="IB58" s="36"/>
      <c r="IC58" s="36"/>
      <c r="ID58" s="36">
        <f ca="1">IF(ISBLANK(INDIRECT(HU$61&amp;ID57-1)), LOOKUP(2,1 / (ID$2:(INDIRECT(HU$61&amp;ID57-2)) &lt;&gt; ""),ROW(ID$2:(INDIRECT(HU$61&amp;ID57-2)))),LOOKUP(2,1 / (ID$2:(INDIRECT(HU$61&amp;ID57-1)) &lt;&gt; ""),ROW(ID$2:(INDIRECT(HU$61&amp;ID57-1)))))</f>
        <v>44</v>
      </c>
      <c r="IE58" s="36"/>
      <c r="IF58" s="36"/>
    </row>
    <row r="59" spans="1:240" hidden="1" x14ac:dyDescent="0.4">
      <c r="A59" s="278"/>
      <c r="B59" s="6"/>
      <c r="C59" s="6"/>
      <c r="D59" s="278" t="s">
        <v>612</v>
      </c>
      <c r="E59" s="464" t="str">
        <f ca="1">INDIRECT(D61&amp;J59)</f>
        <v>H</v>
      </c>
      <c r="F59" s="6"/>
      <c r="G59" s="6"/>
      <c r="H59" s="6"/>
      <c r="I59" s="6"/>
      <c r="J59" s="6">
        <f ca="1">IF(ISBLANK(INDIRECT(B$61&amp;J54+1)), LOOKUP(2,1 / (E$2:(INDIRECT(B$61&amp;J54+2)) &lt;&gt; ""),ROW(E$2:(INDIRECT(B$61&amp;J54+2)))),LOOKUP(2,1 / (E$2:(INDIRECT(B$61&amp;J54+1)) &lt;&gt; ""),ROW(E$2:(INDIRECT(B$61&amp;J54+1)))))</f>
        <v>49</v>
      </c>
      <c r="K59" s="6"/>
      <c r="L59" s="6"/>
      <c r="M59" s="281"/>
      <c r="N59" s="9"/>
      <c r="O59" s="287"/>
      <c r="P59" s="285" t="s">
        <v>612</v>
      </c>
      <c r="Q59" s="9" t="str">
        <f ca="1">INDIRECT(P61&amp;V59)</f>
        <v>H</v>
      </c>
      <c r="R59" s="9"/>
      <c r="S59" s="9"/>
      <c r="T59" s="9"/>
      <c r="U59" s="9"/>
      <c r="V59" s="9">
        <f ca="1">IF(ISBLANK(INDIRECT(N$61&amp;V54+1)), LOOKUP(2,1 / (Q$2:(INDIRECT(N$61&amp;V54+2)) &lt;&gt; ""),ROW(Q$2:(INDIRECT(N$61&amp;V54+2)))),LOOKUP(2,1 / (Q$2:(INDIRECT(N$61&amp;V54+1)) &lt;&gt; ""),ROW(Q$2:(INDIRECT(N$61&amp;V54+1)))))</f>
        <v>49</v>
      </c>
      <c r="W59" s="9"/>
      <c r="X59" s="9"/>
      <c r="Y59" s="289"/>
      <c r="Z59" s="262"/>
      <c r="AA59" s="262"/>
      <c r="AB59" s="293" t="s">
        <v>612</v>
      </c>
      <c r="AC59" s="262" t="str">
        <f ca="1">INDIRECT(AB61&amp;AH59)</f>
        <v>A</v>
      </c>
      <c r="AD59" s="262"/>
      <c r="AE59" s="262"/>
      <c r="AF59" s="262"/>
      <c r="AG59" s="262"/>
      <c r="AH59" s="262">
        <f ca="1">IF(ISBLANK(INDIRECT(Z$61&amp;AH54+1)), LOOKUP(2,1 / (AC$2:(INDIRECT(Z$61&amp;AH54+2)) &lt;&gt; ""),ROW(AC$2:(INDIRECT(Z$61&amp;AH54+2)))),LOOKUP(2,1 / (AC$2:(INDIRECT(Z$61&amp;AH54+1)) &lt;&gt; ""),ROW(AC$2:(INDIRECT(Z$61&amp;AH54+1)))))</f>
        <v>49</v>
      </c>
      <c r="AI59" s="262"/>
      <c r="AJ59" s="262"/>
      <c r="AK59" s="409"/>
      <c r="AL59" s="410"/>
      <c r="AM59" s="410"/>
      <c r="AN59" s="414" t="s">
        <v>612</v>
      </c>
      <c r="AO59" s="410" t="str">
        <f ca="1">INDIRECT(AN61&amp;AT59)</f>
        <v>H</v>
      </c>
      <c r="AP59" s="410"/>
      <c r="AQ59" s="410"/>
      <c r="AR59" s="410"/>
      <c r="AS59" s="410"/>
      <c r="AT59" s="410">
        <f ca="1">IF(ISBLANK(INDIRECT(AL$61&amp;AT54+1)), LOOKUP(2,1 / (AO$2:(INDIRECT(AL$61&amp;AT54+2)) &lt;&gt; ""),ROW(AO$2:(INDIRECT(AL$61&amp;AT54+2)))),LOOKUP(2,1 / (AO$2:(INDIRECT(AL$61&amp;AT54+1)) &lt;&gt; ""),ROW(AO$2:(INDIRECT(AL$61&amp;AT54+1)))))</f>
        <v>49</v>
      </c>
      <c r="AU59" s="410"/>
      <c r="AV59" s="410"/>
      <c r="AW59" s="297"/>
      <c r="AX59" s="11"/>
      <c r="AY59" s="11"/>
      <c r="AZ59" s="299" t="s">
        <v>612</v>
      </c>
      <c r="BA59" s="11" t="str">
        <f ca="1">INDIRECT(AZ61&amp;BF59)</f>
        <v>A</v>
      </c>
      <c r="BB59" s="11"/>
      <c r="BC59" s="11"/>
      <c r="BD59" s="11"/>
      <c r="BE59" s="11"/>
      <c r="BF59" s="11">
        <f ca="1">IF(ISBLANK(INDIRECT(AX$61&amp;BF54+1)), LOOKUP(2,1 / (BA$2:(INDIRECT(AX$61&amp;BF54+2)) &lt;&gt; ""),ROW(BA$2:(INDIRECT(AX$61&amp;BF54+2)))),LOOKUP(2,1 / (BA$2:(INDIRECT(AX$61&amp;BF54+1)) &lt;&gt; ""),ROW(BA$2:(INDIRECT(AX$61&amp;BF54+1)))))</f>
        <v>49</v>
      </c>
      <c r="BG59" s="11"/>
      <c r="BH59" s="11"/>
      <c r="BI59" s="303"/>
      <c r="BJ59" s="15"/>
      <c r="BK59" s="15"/>
      <c r="BL59" s="305" t="s">
        <v>612</v>
      </c>
      <c r="BM59" s="15" t="str">
        <f ca="1">INDIRECT(BL61&amp;BR59)</f>
        <v>H</v>
      </c>
      <c r="BN59" s="15"/>
      <c r="BO59" s="15"/>
      <c r="BP59" s="15"/>
      <c r="BQ59" s="15"/>
      <c r="BR59" s="15">
        <f ca="1">IF(ISBLANK(INDIRECT(BJ$61&amp;BR54+1)), LOOKUP(2,1 / (BM$2:(INDIRECT(BJ$61&amp;BR54+2)) &lt;&gt; ""),ROW(BM$2:(INDIRECT(BJ$61&amp;BR54+2)))),LOOKUP(2,1 / (BM$2:(INDIRECT(BJ$61&amp;BR54+1)) &lt;&gt; ""),ROW(BM$2:(INDIRECT(BJ$61&amp;BR54+1)))))</f>
        <v>49</v>
      </c>
      <c r="BS59" s="15"/>
      <c r="BT59" s="15"/>
      <c r="BU59" s="309"/>
      <c r="BV59" s="16"/>
      <c r="BW59" s="16"/>
      <c r="BX59" s="313" t="s">
        <v>612</v>
      </c>
      <c r="BY59" s="16" t="str">
        <f ca="1">INDIRECT(BX61&amp;CD59)</f>
        <v>H</v>
      </c>
      <c r="BZ59" s="16"/>
      <c r="CA59" s="16"/>
      <c r="CB59" s="16"/>
      <c r="CC59" s="16"/>
      <c r="CD59" s="16">
        <f ca="1">IF(ISBLANK(INDIRECT(BV$61&amp;CD54+1)), LOOKUP(2,1 / (BY$2:(INDIRECT(BV$61&amp;CD54+2)) &lt;&gt; ""),ROW(BY$2:(INDIRECT(BV$61&amp;CD54+2)))),LOOKUP(2,1 / (BY$2:(INDIRECT(BV$61&amp;CD54+1)) &lt;&gt; ""),ROW(BY$2:(INDIRECT(BV$61&amp;CD54+1)))))</f>
        <v>49</v>
      </c>
      <c r="CE59" s="16"/>
      <c r="CF59" s="16"/>
      <c r="CG59" s="317"/>
      <c r="CH59" s="19"/>
      <c r="CI59" s="19"/>
      <c r="CJ59" s="321" t="s">
        <v>612</v>
      </c>
      <c r="CK59" s="19" t="str">
        <f ca="1">INDIRECT(CJ61&amp;CP59)</f>
        <v>H</v>
      </c>
      <c r="CL59" s="19"/>
      <c r="CM59" s="19"/>
      <c r="CN59" s="19"/>
      <c r="CO59" s="19"/>
      <c r="CP59" s="19">
        <f ca="1">IF(ISBLANK(INDIRECT(CH$61&amp;CP54+1)), LOOKUP(2,1 / (CK$2:(INDIRECT(CH$61&amp;CP54+2)) &lt;&gt; ""),ROW(CK$2:(INDIRECT(CH$61&amp;CP54+2)))),LOOKUP(2,1 / (CK$2:(INDIRECT(CH$61&amp;CP54+1)) &lt;&gt; ""),ROW(CK$2:(INDIRECT(CH$61&amp;CP54+1)))))</f>
        <v>49</v>
      </c>
      <c r="CQ59" s="19"/>
      <c r="CR59" s="19"/>
      <c r="CS59" s="325"/>
      <c r="CT59" s="178"/>
      <c r="CU59" s="178"/>
      <c r="CV59" s="329" t="s">
        <v>612</v>
      </c>
      <c r="CW59" s="178" t="str">
        <f ca="1">INDIRECT(CV61&amp;DB59)</f>
        <v>A</v>
      </c>
      <c r="CX59" s="178"/>
      <c r="CY59" s="178"/>
      <c r="CZ59" s="178"/>
      <c r="DA59" s="178"/>
      <c r="DB59" s="178">
        <f ca="1">IF(ISBLANK(INDIRECT(CT$61&amp;DB54+1)), LOOKUP(2,1 / (CW$2:(INDIRECT(CT$61&amp;DB54+2)) &lt;&gt; ""),ROW(CW$2:(INDIRECT(CT$61&amp;DB54+2)))),LOOKUP(2,1 / (CW$2:(INDIRECT(CT$61&amp;DB54+1)) &lt;&gt; ""),ROW(CW$2:(INDIRECT(CT$61&amp;DB54+1)))))</f>
        <v>49</v>
      </c>
      <c r="DC59" s="178"/>
      <c r="DD59" s="178"/>
      <c r="DE59" s="333"/>
      <c r="DF59" s="177"/>
      <c r="DG59" s="177"/>
      <c r="DH59" s="337" t="s">
        <v>612</v>
      </c>
      <c r="DI59" s="177" t="str">
        <f ca="1">INDIRECT(DH61&amp;DN59)</f>
        <v>H</v>
      </c>
      <c r="DJ59" s="177"/>
      <c r="DK59" s="177"/>
      <c r="DL59" s="177"/>
      <c r="DM59" s="177"/>
      <c r="DN59" s="177">
        <f ca="1">IF(ISBLANK(INDIRECT(DF$61&amp;DN54+1)), LOOKUP(2,1 / (DI$2:(INDIRECT(DF$61&amp;DN54+2)) &lt;&gt; ""),ROW(DI$2:(INDIRECT(DF$61&amp;DN54+2)))),LOOKUP(2,1 / (DI$2:(INDIRECT(DF$61&amp;DN54+1)) &lt;&gt; ""),ROW(DI$2:(INDIRECT(DF$61&amp;DN54+1)))))</f>
        <v>49</v>
      </c>
      <c r="DO59" s="177"/>
      <c r="DP59" s="177"/>
      <c r="DQ59" s="340"/>
      <c r="DR59" s="21"/>
      <c r="DS59" s="21"/>
      <c r="DT59" s="344" t="s">
        <v>612</v>
      </c>
      <c r="DU59" s="21" t="str">
        <f ca="1">INDIRECT(DT61&amp;DZ59)</f>
        <v>H</v>
      </c>
      <c r="DV59" s="21"/>
      <c r="DW59" s="21"/>
      <c r="DX59" s="21"/>
      <c r="DY59" s="21"/>
      <c r="DZ59" s="21">
        <f ca="1">IF(ISBLANK(INDIRECT(DR$61&amp;DZ54+1)), LOOKUP(2,1 / (DU$2:(INDIRECT(DR$61&amp;DZ54+2)) &lt;&gt; ""),ROW(DU$2:(INDIRECT(DR$61&amp;DZ54+2)))),LOOKUP(2,1 / (DU$2:(INDIRECT(DR$61&amp;DZ54+1)) &lt;&gt; ""),ROW(DU$2:(INDIRECT(DR$61&amp;DZ54+1)))))</f>
        <v>49</v>
      </c>
      <c r="EA59" s="21"/>
      <c r="EB59" s="21"/>
      <c r="EC59" s="348"/>
      <c r="ED59" s="23"/>
      <c r="EE59" s="23"/>
      <c r="EF59" s="350" t="s">
        <v>612</v>
      </c>
      <c r="EG59" s="23" t="str">
        <f ca="1">INDIRECT(EF61&amp;EL59)</f>
        <v>A</v>
      </c>
      <c r="EH59" s="23"/>
      <c r="EI59" s="23"/>
      <c r="EJ59" s="23"/>
      <c r="EK59" s="23"/>
      <c r="EL59" s="23">
        <f ca="1">IF(ISBLANK(INDIRECT(ED$61&amp;EL54+1)), LOOKUP(2,1 / (EG$2:(INDIRECT(ED$61&amp;EL54+2)) &lt;&gt; ""),ROW(EG$2:(INDIRECT(ED$61&amp;EL54+2)))),LOOKUP(2,1 / (EG$2:(INDIRECT(ED$61&amp;EL54+1)) &lt;&gt; ""),ROW(EG$2:(INDIRECT(ED$61&amp;EL54+1)))))</f>
        <v>49</v>
      </c>
      <c r="EM59" s="23"/>
      <c r="EN59" s="23"/>
      <c r="EO59" s="354"/>
      <c r="EP59" s="25"/>
      <c r="EQ59" s="25"/>
      <c r="ER59" s="356" t="s">
        <v>612</v>
      </c>
      <c r="ES59" s="25" t="str">
        <f ca="1">INDIRECT(ER61&amp;EX59)</f>
        <v>A</v>
      </c>
      <c r="ET59" s="25"/>
      <c r="EU59" s="25"/>
      <c r="EV59" s="25"/>
      <c r="EW59" s="25"/>
      <c r="EX59" s="25">
        <f ca="1">IF(ISBLANK(INDIRECT(EP$61&amp;EX54+1)), LOOKUP(2,1 / (ES$2:(INDIRECT(EP$61&amp;EX54+2)) &lt;&gt; ""),ROW(ES$2:(INDIRECT(EP$61&amp;EX54+2)))),LOOKUP(2,1 / (ES$2:(INDIRECT(EP$61&amp;EX54+1)) &lt;&gt; ""),ROW(ES$2:(INDIRECT(EP$61&amp;EX54+1)))))</f>
        <v>49</v>
      </c>
      <c r="EY59" s="25"/>
      <c r="EZ59" s="25"/>
      <c r="FA59" s="360"/>
      <c r="FB59" s="27"/>
      <c r="FC59" s="27"/>
      <c r="FD59" s="364" t="s">
        <v>612</v>
      </c>
      <c r="FE59" s="27" t="str">
        <f ca="1">INDIRECT(FD61&amp;FJ59)</f>
        <v>H</v>
      </c>
      <c r="FF59" s="27"/>
      <c r="FG59" s="27"/>
      <c r="FH59" s="27"/>
      <c r="FI59" s="27"/>
      <c r="FJ59" s="27">
        <f ca="1">IF(ISBLANK(INDIRECT(FB$61&amp;FJ54+1)), LOOKUP(2,1 / (FE$2:(INDIRECT(FB$61&amp;FJ54+2)) &lt;&gt; ""),ROW(FE$2:(INDIRECT(FB$61&amp;FJ54+2)))),LOOKUP(2,1 / (FE$2:(INDIRECT(FB$61&amp;FJ54+1)) &lt;&gt; ""),ROW(FE$2:(INDIRECT(FB$61&amp;FJ54+1)))))</f>
        <v>49</v>
      </c>
      <c r="FK59" s="27"/>
      <c r="FL59" s="27"/>
      <c r="FM59" s="368"/>
      <c r="FN59" s="29"/>
      <c r="FO59" s="29"/>
      <c r="FP59" s="370" t="s">
        <v>612</v>
      </c>
      <c r="FQ59" s="29" t="str">
        <f ca="1">INDIRECT(FP61&amp;FV59)</f>
        <v>A</v>
      </c>
      <c r="FR59" s="29"/>
      <c r="FS59" s="29"/>
      <c r="FT59" s="29"/>
      <c r="FU59" s="29"/>
      <c r="FV59" s="29">
        <f ca="1">IF(ISBLANK(INDIRECT(FN$61&amp;FV54+1)), LOOKUP(2,1 / (FQ$2:(INDIRECT(FN$61&amp;FV54+2)) &lt;&gt; ""),ROW(FQ$2:(INDIRECT(FN$61&amp;FV54+2)))),LOOKUP(2,1 / (FQ$2:(INDIRECT(FN$61&amp;FV54+1)) &lt;&gt; ""),ROW(FQ$2:(INDIRECT(FN$61&amp;FV54+1)))))</f>
        <v>49</v>
      </c>
      <c r="FW59" s="29"/>
      <c r="FX59" s="29"/>
      <c r="FY59" s="374"/>
      <c r="FZ59" s="264"/>
      <c r="GA59" s="264"/>
      <c r="GB59" s="378" t="s">
        <v>612</v>
      </c>
      <c r="GC59" s="264" t="str">
        <f ca="1">INDIRECT(GB61&amp;GH59)</f>
        <v>A</v>
      </c>
      <c r="GD59" s="264"/>
      <c r="GE59" s="264"/>
      <c r="GF59" s="264"/>
      <c r="GG59" s="264"/>
      <c r="GH59" s="264">
        <f ca="1">IF(ISBLANK(INDIRECT(FZ$61&amp;GH54+1)), LOOKUP(2,1 / (GC$2:(INDIRECT(FZ$61&amp;GH54+2)) &lt;&gt; ""),ROW(GC$2:(INDIRECT(FZ$61&amp;GH54+2)))),LOOKUP(2,1 / (GC$2:(INDIRECT(FZ$61&amp;GH54+1)) &lt;&gt; ""),ROW(GC$2:(INDIRECT(FZ$61&amp;GH54+1)))))</f>
        <v>49</v>
      </c>
      <c r="GI59" s="264"/>
      <c r="GJ59" s="264"/>
      <c r="GK59" s="381"/>
      <c r="GL59" s="30"/>
      <c r="GM59" s="30"/>
      <c r="GN59" s="385" t="s">
        <v>612</v>
      </c>
      <c r="GO59" s="30" t="str">
        <f ca="1">INDIRECT(GN61&amp;GT59)</f>
        <v>H</v>
      </c>
      <c r="GP59" s="30"/>
      <c r="GQ59" s="30"/>
      <c r="GR59" s="30"/>
      <c r="GS59" s="30"/>
      <c r="GT59" s="30">
        <f ca="1">IF(ISBLANK(INDIRECT(GL$61&amp;GT54+1)), LOOKUP(2,1 / (GO$2:(INDIRECT(GL$61&amp;GT54+2)) &lt;&gt; ""),ROW(GO$2:(INDIRECT(GL$61&amp;GT54+2)))),LOOKUP(2,1 / (GO$2:(INDIRECT(GL$61&amp;GT54+1)) &lt;&gt; ""),ROW(GO$2:(INDIRECT(GL$61&amp;GT54+1)))))</f>
        <v>49</v>
      </c>
      <c r="GU59" s="30"/>
      <c r="GV59" s="30"/>
      <c r="GW59" s="389"/>
      <c r="GX59" s="32"/>
      <c r="GY59" s="32"/>
      <c r="GZ59" s="391" t="s">
        <v>612</v>
      </c>
      <c r="HA59" s="32" t="str">
        <f ca="1">INDIRECT(GZ61&amp;HF59)</f>
        <v>A</v>
      </c>
      <c r="HB59" s="32"/>
      <c r="HC59" s="32"/>
      <c r="HD59" s="32"/>
      <c r="HE59" s="32"/>
      <c r="HF59" s="32">
        <f ca="1">IF(ISBLANK(INDIRECT(GX$61&amp;HF54+1)), LOOKUP(2,1 / (HA$2:(INDIRECT(GX$61&amp;HF54+2)) &lt;&gt; ""),ROW(HA$2:(INDIRECT(GX$61&amp;HF54+2)))),LOOKUP(2,1 / (HA$2:(INDIRECT(GX$61&amp;HF54+1)) &lt;&gt; ""),ROW(HA$2:(INDIRECT(GX$61&amp;HF54+1)))))</f>
        <v>49</v>
      </c>
      <c r="HG59" s="32"/>
      <c r="HH59" s="32"/>
      <c r="HI59" s="395"/>
      <c r="HJ59" s="34"/>
      <c r="HK59" s="34"/>
      <c r="HL59" s="397" t="s">
        <v>612</v>
      </c>
      <c r="HM59" s="34" t="str">
        <f ca="1">INDIRECT(HL61&amp;HR59)</f>
        <v>A</v>
      </c>
      <c r="HN59" s="34"/>
      <c r="HO59" s="34"/>
      <c r="HP59" s="34"/>
      <c r="HQ59" s="34"/>
      <c r="HR59" s="34">
        <f ca="1">IF(ISBLANK(INDIRECT(HJ$61&amp;HR54+1)), LOOKUP(2,1 / (HM$2:(INDIRECT(HJ$61&amp;HR54+2)) &lt;&gt; ""),ROW(HM$2:(INDIRECT(HJ$61&amp;HR54+2)))),LOOKUP(2,1 / (HM$2:(INDIRECT(HJ$61&amp;HR54+1)) &lt;&gt; ""),ROW(HM$2:(INDIRECT(HJ$61&amp;HR54+1)))))</f>
        <v>49</v>
      </c>
      <c r="HS59" s="34"/>
      <c r="HT59" s="34"/>
      <c r="HU59" s="401"/>
      <c r="HV59" s="36"/>
      <c r="HW59" s="36"/>
      <c r="HX59" s="403" t="s">
        <v>612</v>
      </c>
      <c r="HY59" s="36" t="str">
        <f ca="1">INDIRECT(HX61&amp;ID59)</f>
        <v>A</v>
      </c>
      <c r="HZ59" s="36"/>
      <c r="IA59" s="36"/>
      <c r="IB59" s="36"/>
      <c r="IC59" s="36"/>
      <c r="ID59" s="36">
        <f ca="1">IF(ISBLANK(INDIRECT(HV$61&amp;ID54+1)), LOOKUP(2,1 / (HY$2:(INDIRECT(HV$61&amp;ID54+2)) &lt;&gt; ""),ROW(HY$2:(INDIRECT(HV$61&amp;ID54+2)))),LOOKUP(2,1 / (HY$2:(INDIRECT(HV$61&amp;ID54+1)) &lt;&gt; ""),ROW(HY$2:(INDIRECT(HV$61&amp;ID54+1)))))</f>
        <v>49</v>
      </c>
      <c r="IE59" s="36"/>
      <c r="IF59" s="36"/>
    </row>
    <row r="60" spans="1:240" hidden="1" x14ac:dyDescent="0.4">
      <c r="A60" s="278"/>
      <c r="B60" s="6"/>
      <c r="C60" s="6"/>
      <c r="D60" s="276"/>
      <c r="E60" s="462"/>
      <c r="F60" s="6"/>
      <c r="G60" s="6"/>
      <c r="H60" s="6"/>
      <c r="I60" s="6"/>
      <c r="J60" s="6"/>
      <c r="K60" s="6"/>
      <c r="L60" s="6"/>
      <c r="M60" s="285"/>
      <c r="N60" s="9"/>
      <c r="O60" s="287"/>
      <c r="P60" s="283"/>
      <c r="Q60" s="9"/>
      <c r="R60" s="9"/>
      <c r="S60" s="9"/>
      <c r="T60" s="9"/>
      <c r="U60" s="9"/>
      <c r="V60" s="9"/>
      <c r="W60" s="9"/>
      <c r="X60" s="9"/>
      <c r="Y60" s="289"/>
      <c r="Z60" s="262"/>
      <c r="AA60" s="262"/>
      <c r="AB60" s="292"/>
      <c r="AC60" s="262"/>
      <c r="AD60" s="262"/>
      <c r="AE60" s="262"/>
      <c r="AF60" s="262"/>
      <c r="AG60" s="262"/>
      <c r="AH60" s="262"/>
      <c r="AI60" s="262"/>
      <c r="AJ60" s="262"/>
      <c r="AK60" s="414"/>
      <c r="AL60" s="410"/>
      <c r="AM60" s="410"/>
      <c r="AN60" s="412"/>
      <c r="AO60" s="410"/>
      <c r="AP60" s="410"/>
      <c r="AQ60" s="410"/>
      <c r="AR60" s="410"/>
      <c r="AS60" s="410"/>
      <c r="AT60" s="410"/>
      <c r="AU60" s="410"/>
      <c r="AV60" s="410"/>
      <c r="AW60" s="297"/>
      <c r="AX60" s="11"/>
      <c r="AY60" s="11"/>
      <c r="AZ60" s="98"/>
      <c r="BA60" s="11"/>
      <c r="BB60" s="11"/>
      <c r="BC60" s="11"/>
      <c r="BD60" s="11"/>
      <c r="BE60" s="11"/>
      <c r="BF60" s="11"/>
      <c r="BG60" s="11"/>
      <c r="BH60" s="11"/>
      <c r="BI60" s="305"/>
      <c r="BJ60" s="15"/>
      <c r="BK60" s="15"/>
      <c r="BL60" s="183"/>
      <c r="BM60" s="15"/>
      <c r="BN60" s="15"/>
      <c r="BO60" s="15"/>
      <c r="BP60" s="15"/>
      <c r="BQ60" s="15"/>
      <c r="BR60" s="15"/>
      <c r="BS60" s="15"/>
      <c r="BT60" s="15"/>
      <c r="BU60" s="313"/>
      <c r="BV60" s="16"/>
      <c r="BW60" s="16"/>
      <c r="BX60" s="311"/>
      <c r="BY60" s="16"/>
      <c r="BZ60" s="16"/>
      <c r="CA60" s="16"/>
      <c r="CB60" s="16"/>
      <c r="CC60" s="16"/>
      <c r="CD60" s="16"/>
      <c r="CE60" s="16"/>
      <c r="CF60" s="16"/>
      <c r="CG60" s="321"/>
      <c r="CH60" s="19"/>
      <c r="CI60" s="19"/>
      <c r="CJ60" s="319"/>
      <c r="CK60" s="19"/>
      <c r="CL60" s="19"/>
      <c r="CM60" s="19"/>
      <c r="CN60" s="19"/>
      <c r="CO60" s="19"/>
      <c r="CP60" s="19"/>
      <c r="CQ60" s="19"/>
      <c r="CR60" s="19"/>
      <c r="CS60" s="325"/>
      <c r="CT60" s="178"/>
      <c r="CU60" s="178"/>
      <c r="CV60" s="327"/>
      <c r="CW60" s="178"/>
      <c r="CX60" s="178"/>
      <c r="CY60" s="178"/>
      <c r="CZ60" s="178"/>
      <c r="DA60" s="178"/>
      <c r="DB60" s="178"/>
      <c r="DC60" s="178"/>
      <c r="DD60" s="178"/>
      <c r="DE60" s="337"/>
      <c r="DF60" s="177"/>
      <c r="DG60" s="177"/>
      <c r="DH60" s="335"/>
      <c r="DI60" s="177"/>
      <c r="DJ60" s="177"/>
      <c r="DK60" s="177"/>
      <c r="DL60" s="177"/>
      <c r="DM60" s="177"/>
      <c r="DN60" s="177"/>
      <c r="DO60" s="177"/>
      <c r="DP60" s="177"/>
      <c r="DQ60" s="344"/>
      <c r="DR60" s="21"/>
      <c r="DS60" s="21"/>
      <c r="DT60" s="342"/>
      <c r="DU60" s="21"/>
      <c r="DV60" s="21"/>
      <c r="DW60" s="21"/>
      <c r="DX60" s="21"/>
      <c r="DY60" s="21"/>
      <c r="DZ60" s="21"/>
      <c r="EA60" s="21"/>
      <c r="EB60" s="21"/>
      <c r="EC60" s="348"/>
      <c r="ED60" s="23"/>
      <c r="EE60" s="23"/>
      <c r="EF60" s="272"/>
      <c r="EG60" s="23"/>
      <c r="EH60" s="23"/>
      <c r="EI60" s="23"/>
      <c r="EJ60" s="23"/>
      <c r="EK60" s="23"/>
      <c r="EL60" s="23"/>
      <c r="EM60" s="23"/>
      <c r="EN60" s="23"/>
      <c r="EO60" s="354"/>
      <c r="EP60" s="25"/>
      <c r="EQ60" s="25"/>
      <c r="ER60" s="107"/>
      <c r="ES60" s="25"/>
      <c r="ET60" s="25"/>
      <c r="EU60" s="25"/>
      <c r="EV60" s="25"/>
      <c r="EW60" s="25"/>
      <c r="EX60" s="25"/>
      <c r="EY60" s="25"/>
      <c r="EZ60" s="25"/>
      <c r="FA60" s="364"/>
      <c r="FB60" s="27"/>
      <c r="FC60" s="27"/>
      <c r="FD60" s="362"/>
      <c r="FE60" s="27"/>
      <c r="FF60" s="27"/>
      <c r="FG60" s="27"/>
      <c r="FH60" s="27"/>
      <c r="FI60" s="27"/>
      <c r="FJ60" s="27"/>
      <c r="FK60" s="27"/>
      <c r="FL60" s="27"/>
      <c r="FM60" s="368"/>
      <c r="FN60" s="29"/>
      <c r="FO60" s="29"/>
      <c r="FP60" s="112"/>
      <c r="FQ60" s="29"/>
      <c r="FR60" s="29"/>
      <c r="FS60" s="29"/>
      <c r="FT60" s="29"/>
      <c r="FU60" s="29"/>
      <c r="FV60" s="29"/>
      <c r="FW60" s="29"/>
      <c r="FX60" s="29"/>
      <c r="FY60" s="374"/>
      <c r="FZ60" s="264"/>
      <c r="GA60" s="264"/>
      <c r="GB60" s="376"/>
      <c r="GC60" s="264"/>
      <c r="GD60" s="264"/>
      <c r="GE60" s="264"/>
      <c r="GF60" s="264"/>
      <c r="GG60" s="264"/>
      <c r="GH60" s="264"/>
      <c r="GI60" s="264"/>
      <c r="GJ60" s="264"/>
      <c r="GK60" s="385"/>
      <c r="GL60" s="30"/>
      <c r="GM60" s="30"/>
      <c r="GN60" s="383"/>
      <c r="GO60" s="30"/>
      <c r="GP60" s="30"/>
      <c r="GQ60" s="30"/>
      <c r="GR60" s="30"/>
      <c r="GS60" s="30"/>
      <c r="GT60" s="30"/>
      <c r="GU60" s="30"/>
      <c r="GV60" s="30"/>
      <c r="GW60" s="389"/>
      <c r="GX60" s="32"/>
      <c r="GY60" s="32"/>
      <c r="GZ60" s="117"/>
      <c r="HA60" s="32"/>
      <c r="HB60" s="32"/>
      <c r="HC60" s="32"/>
      <c r="HD60" s="32"/>
      <c r="HE60" s="32"/>
      <c r="HF60" s="32"/>
      <c r="HG60" s="32"/>
      <c r="HH60" s="32"/>
      <c r="HI60" s="395"/>
      <c r="HJ60" s="34"/>
      <c r="HK60" s="34"/>
      <c r="HL60" s="122"/>
      <c r="HM60" s="34"/>
      <c r="HN60" s="34"/>
      <c r="HO60" s="34"/>
      <c r="HP60" s="34"/>
      <c r="HQ60" s="34"/>
      <c r="HR60" s="34"/>
      <c r="HS60" s="34"/>
      <c r="HT60" s="34"/>
      <c r="HU60" s="401"/>
      <c r="HV60" s="36"/>
      <c r="HW60" s="36"/>
      <c r="HX60" s="127"/>
      <c r="HY60" s="36"/>
      <c r="HZ60" s="36"/>
      <c r="IA60" s="36"/>
      <c r="IB60" s="36"/>
      <c r="IC60" s="36"/>
      <c r="ID60" s="36"/>
      <c r="IE60" s="36"/>
      <c r="IF60" s="36"/>
    </row>
    <row r="61" spans="1:240" hidden="1" x14ac:dyDescent="0.4">
      <c r="A61" s="93" t="str">
        <f>SUBSTITUTE(ADDRESS(1,COLUMN(J2),4),"1","")</f>
        <v>J</v>
      </c>
      <c r="B61" s="93" t="str">
        <f>SUBSTITUTE(ADDRESS(1,COLUMN(E2),4),"1","")</f>
        <v>E</v>
      </c>
      <c r="C61" s="6"/>
      <c r="D61" s="93" t="str">
        <f>SUBSTITUTE(ADDRESS(1,COLUMN(F2),4),"1","")</f>
        <v>F</v>
      </c>
      <c r="E61" s="6"/>
      <c r="F61" s="6"/>
      <c r="G61" s="6"/>
      <c r="H61" s="6"/>
      <c r="I61" s="6"/>
      <c r="J61" s="6"/>
      <c r="K61" s="6"/>
      <c r="L61" s="6"/>
      <c r="M61" s="283" t="str">
        <f>SUBSTITUTE(ADDRESS(1,COLUMN(V2),4),"1","")</f>
        <v>V</v>
      </c>
      <c r="N61" s="283" t="str">
        <f>SUBSTITUTE(ADDRESS(1,COLUMN(Q2),4),"1","")</f>
        <v>Q</v>
      </c>
      <c r="O61" s="9"/>
      <c r="P61" s="283" t="str">
        <f>SUBSTITUTE(ADDRESS(1,COLUMN(R2),4),"1","")</f>
        <v>R</v>
      </c>
      <c r="Q61" s="9"/>
      <c r="R61" s="9"/>
      <c r="S61" s="9"/>
      <c r="T61" s="9"/>
      <c r="U61" s="9"/>
      <c r="V61" s="9"/>
      <c r="W61" s="9"/>
      <c r="X61" s="9"/>
      <c r="Y61" s="292" t="str">
        <f>SUBSTITUTE(ADDRESS(1,COLUMN(AH2),4),"1","")</f>
        <v>AH</v>
      </c>
      <c r="Z61" s="292" t="str">
        <f>SUBSTITUTE(ADDRESS(1,COLUMN(AC2),4),"1","")</f>
        <v>AC</v>
      </c>
      <c r="AA61" s="262"/>
      <c r="AB61" s="292" t="str">
        <f>SUBSTITUTE(ADDRESS(1,COLUMN(AD2),4),"1","")</f>
        <v>AD</v>
      </c>
      <c r="AC61" s="262"/>
      <c r="AD61" s="262"/>
      <c r="AE61" s="262"/>
      <c r="AF61" s="262"/>
      <c r="AG61" s="262"/>
      <c r="AH61" s="262"/>
      <c r="AI61" s="262"/>
      <c r="AJ61" s="262"/>
      <c r="AK61" s="412" t="str">
        <f>SUBSTITUTE(ADDRESS(1,COLUMN(AT2),4),"1","")</f>
        <v>AT</v>
      </c>
      <c r="AL61" s="412" t="str">
        <f>SUBSTITUTE(ADDRESS(1,COLUMN(AO2),4),"1","")</f>
        <v>AO</v>
      </c>
      <c r="AM61" s="410"/>
      <c r="AN61" s="412" t="str">
        <f>SUBSTITUTE(ADDRESS(1,COLUMN(AP2),4),"1","")</f>
        <v>AP</v>
      </c>
      <c r="AO61" s="410"/>
      <c r="AP61" s="410"/>
      <c r="AQ61" s="410"/>
      <c r="AR61" s="410"/>
      <c r="AS61" s="410"/>
      <c r="AT61" s="410"/>
      <c r="AU61" s="410"/>
      <c r="AV61" s="410"/>
      <c r="AW61" s="98" t="str">
        <f>SUBSTITUTE(ADDRESS(1,COLUMN(BF2),4),"1","")</f>
        <v>BF</v>
      </c>
      <c r="AX61" s="98" t="str">
        <f>SUBSTITUTE(ADDRESS(1,COLUMN(BA2),4),"1","")</f>
        <v>BA</v>
      </c>
      <c r="AY61" s="11"/>
      <c r="AZ61" s="98" t="str">
        <f>SUBSTITUTE(ADDRESS(1,COLUMN(BB2),4),"1","")</f>
        <v>BB</v>
      </c>
      <c r="BA61" s="11"/>
      <c r="BB61" s="11"/>
      <c r="BC61" s="11"/>
      <c r="BD61" s="11"/>
      <c r="BE61" s="11"/>
      <c r="BF61" s="11"/>
      <c r="BG61" s="11"/>
      <c r="BH61" s="11"/>
      <c r="BI61" s="183" t="str">
        <f>SUBSTITUTE(ADDRESS(1,COLUMN(BR2),4),"1","")</f>
        <v>BR</v>
      </c>
      <c r="BJ61" s="183" t="str">
        <f>SUBSTITUTE(ADDRESS(1,COLUMN(BM2),4),"1","")</f>
        <v>BM</v>
      </c>
      <c r="BK61" s="15"/>
      <c r="BL61" s="183" t="str">
        <f>SUBSTITUTE(ADDRESS(1,COLUMN(BN2),4),"1","")</f>
        <v>BN</v>
      </c>
      <c r="BM61" s="15"/>
      <c r="BN61" s="15"/>
      <c r="BO61" s="15"/>
      <c r="BP61" s="15"/>
      <c r="BQ61" s="15"/>
      <c r="BR61" s="15"/>
      <c r="BS61" s="15"/>
      <c r="BT61" s="15"/>
      <c r="BU61" s="311" t="str">
        <f>SUBSTITUTE(ADDRESS(1,COLUMN(CD2),4),"1","")</f>
        <v>CD</v>
      </c>
      <c r="BV61" s="311" t="str">
        <f>SUBSTITUTE(ADDRESS(1,COLUMN(BY2),4),"1","")</f>
        <v>BY</v>
      </c>
      <c r="BW61" s="16"/>
      <c r="BX61" s="311" t="str">
        <f>SUBSTITUTE(ADDRESS(1,COLUMN(BZ2),4),"1","")</f>
        <v>BZ</v>
      </c>
      <c r="BY61" s="16"/>
      <c r="BZ61" s="16"/>
      <c r="CA61" s="16"/>
      <c r="CB61" s="16"/>
      <c r="CC61" s="16"/>
      <c r="CD61" s="16"/>
      <c r="CE61" s="16"/>
      <c r="CF61" s="16"/>
      <c r="CG61" s="319" t="str">
        <f>SUBSTITUTE(ADDRESS(1,COLUMN(CP2),4),"1","")</f>
        <v>CP</v>
      </c>
      <c r="CH61" s="319" t="str">
        <f>SUBSTITUTE(ADDRESS(1,COLUMN(CK2),4),"1","")</f>
        <v>CK</v>
      </c>
      <c r="CI61" s="19"/>
      <c r="CJ61" s="319" t="str">
        <f>SUBSTITUTE(ADDRESS(1,COLUMN(CL2),4),"1","")</f>
        <v>CL</v>
      </c>
      <c r="CK61" s="19"/>
      <c r="CL61" s="19"/>
      <c r="CM61" s="19"/>
      <c r="CN61" s="19"/>
      <c r="CO61" s="19"/>
      <c r="CP61" s="19"/>
      <c r="CQ61" s="19"/>
      <c r="CR61" s="19"/>
      <c r="CS61" s="327" t="str">
        <f>SUBSTITUTE(ADDRESS(1,COLUMN(DB2),4),"1","")</f>
        <v>DB</v>
      </c>
      <c r="CT61" s="327" t="str">
        <f>SUBSTITUTE(ADDRESS(1,COLUMN(CW2),4),"1","")</f>
        <v>CW</v>
      </c>
      <c r="CU61" s="178"/>
      <c r="CV61" s="327" t="str">
        <f>SUBSTITUTE(ADDRESS(1,COLUMN(CX2),4),"1","")</f>
        <v>CX</v>
      </c>
      <c r="CW61" s="178"/>
      <c r="CX61" s="178"/>
      <c r="CY61" s="178"/>
      <c r="CZ61" s="178"/>
      <c r="DA61" s="178"/>
      <c r="DB61" s="178"/>
      <c r="DC61" s="178"/>
      <c r="DD61" s="178"/>
      <c r="DE61" s="335" t="str">
        <f>SUBSTITUTE(ADDRESS(1,COLUMN(DN2),4),"1","")</f>
        <v>DN</v>
      </c>
      <c r="DF61" s="335" t="str">
        <f>SUBSTITUTE(ADDRESS(1,COLUMN(DI2),4),"1","")</f>
        <v>DI</v>
      </c>
      <c r="DG61" s="177"/>
      <c r="DH61" s="335" t="str">
        <f>SUBSTITUTE(ADDRESS(1,COLUMN(DJ2),4),"1","")</f>
        <v>DJ</v>
      </c>
      <c r="DI61" s="177"/>
      <c r="DJ61" s="177"/>
      <c r="DK61" s="177"/>
      <c r="DL61" s="177"/>
      <c r="DM61" s="177"/>
      <c r="DN61" s="177"/>
      <c r="DO61" s="177"/>
      <c r="DP61" s="177"/>
      <c r="DQ61" s="342" t="str">
        <f>SUBSTITUTE(ADDRESS(1,COLUMN(DZ2),4),"1","")</f>
        <v>DZ</v>
      </c>
      <c r="DR61" s="342" t="str">
        <f>SUBSTITUTE(ADDRESS(1,COLUMN(DU2),4),"1","")</f>
        <v>DU</v>
      </c>
      <c r="DS61" s="21"/>
      <c r="DT61" s="342" t="str">
        <f>SUBSTITUTE(ADDRESS(1,COLUMN(DV2),4),"1","")</f>
        <v>DV</v>
      </c>
      <c r="DU61" s="21"/>
      <c r="DV61" s="21"/>
      <c r="DW61" s="21"/>
      <c r="DX61" s="21"/>
      <c r="DY61" s="21"/>
      <c r="DZ61" s="21"/>
      <c r="EA61" s="21"/>
      <c r="EB61" s="21"/>
      <c r="EC61" s="272" t="str">
        <f>SUBSTITUTE(ADDRESS(1,COLUMN(EL2),4),"1","")</f>
        <v>EL</v>
      </c>
      <c r="ED61" s="272" t="str">
        <f>SUBSTITUTE(ADDRESS(1,COLUMN(EG2),4),"1","")</f>
        <v>EG</v>
      </c>
      <c r="EE61" s="23"/>
      <c r="EF61" s="272" t="str">
        <f>SUBSTITUTE(ADDRESS(1,COLUMN(EH2),4),"1","")</f>
        <v>EH</v>
      </c>
      <c r="EG61" s="23"/>
      <c r="EH61" s="23"/>
      <c r="EI61" s="23"/>
      <c r="EJ61" s="23"/>
      <c r="EK61" s="23"/>
      <c r="EL61" s="23"/>
      <c r="EM61" s="23"/>
      <c r="EN61" s="23"/>
      <c r="EO61" s="107" t="str">
        <f>SUBSTITUTE(ADDRESS(1,COLUMN(EX2),4),"1","")</f>
        <v>EX</v>
      </c>
      <c r="EP61" s="107" t="str">
        <f>SUBSTITUTE(ADDRESS(1,COLUMN(ES2),4),"1","")</f>
        <v>ES</v>
      </c>
      <c r="EQ61" s="25"/>
      <c r="ER61" s="107" t="str">
        <f>SUBSTITUTE(ADDRESS(1,COLUMN(ET2),4),"1","")</f>
        <v>ET</v>
      </c>
      <c r="ES61" s="25"/>
      <c r="ET61" s="25"/>
      <c r="EU61" s="25"/>
      <c r="EV61" s="25"/>
      <c r="EW61" s="25"/>
      <c r="EX61" s="25"/>
      <c r="EY61" s="25"/>
      <c r="EZ61" s="25"/>
      <c r="FA61" s="362" t="str">
        <f>SUBSTITUTE(ADDRESS(1,COLUMN(FJ2),4),"1","")</f>
        <v>FJ</v>
      </c>
      <c r="FB61" s="362" t="str">
        <f>SUBSTITUTE(ADDRESS(1,COLUMN(FE2),4),"1","")</f>
        <v>FE</v>
      </c>
      <c r="FC61" s="27"/>
      <c r="FD61" s="362" t="str">
        <f>SUBSTITUTE(ADDRESS(1,COLUMN(FF2),4),"1","")</f>
        <v>FF</v>
      </c>
      <c r="FE61" s="27"/>
      <c r="FF61" s="27"/>
      <c r="FG61" s="27"/>
      <c r="FH61" s="27"/>
      <c r="FI61" s="27"/>
      <c r="FJ61" s="27"/>
      <c r="FK61" s="27"/>
      <c r="FL61" s="27"/>
      <c r="FM61" s="112" t="str">
        <f>SUBSTITUTE(ADDRESS(1,COLUMN(FV2),4),"1","")</f>
        <v>FV</v>
      </c>
      <c r="FN61" s="112" t="str">
        <f>SUBSTITUTE(ADDRESS(1,COLUMN(FQ2),4),"1","")</f>
        <v>FQ</v>
      </c>
      <c r="FO61" s="29"/>
      <c r="FP61" s="112" t="str">
        <f>SUBSTITUTE(ADDRESS(1,COLUMN(FR2),4),"1","")</f>
        <v>FR</v>
      </c>
      <c r="FQ61" s="29"/>
      <c r="FR61" s="29"/>
      <c r="FS61" s="29"/>
      <c r="FT61" s="29"/>
      <c r="FU61" s="29"/>
      <c r="FV61" s="29"/>
      <c r="FW61" s="29"/>
      <c r="FX61" s="29"/>
      <c r="FY61" s="376" t="str">
        <f>SUBSTITUTE(ADDRESS(1,COLUMN(GH2),4),"1","")</f>
        <v>GH</v>
      </c>
      <c r="FZ61" s="376" t="str">
        <f>SUBSTITUTE(ADDRESS(1,COLUMN(GC2),4),"1","")</f>
        <v>GC</v>
      </c>
      <c r="GA61" s="264"/>
      <c r="GB61" s="376" t="str">
        <f>SUBSTITUTE(ADDRESS(1,COLUMN(GD2),4),"1","")</f>
        <v>GD</v>
      </c>
      <c r="GC61" s="264"/>
      <c r="GD61" s="264"/>
      <c r="GE61" s="264"/>
      <c r="GF61" s="264"/>
      <c r="GG61" s="264"/>
      <c r="GH61" s="264"/>
      <c r="GI61" s="264"/>
      <c r="GJ61" s="264"/>
      <c r="GK61" s="383" t="str">
        <f>SUBSTITUTE(ADDRESS(1,COLUMN(GT2),4),"1","")</f>
        <v>GT</v>
      </c>
      <c r="GL61" s="383" t="str">
        <f>SUBSTITUTE(ADDRESS(1,COLUMN(GO2),4),"1","")</f>
        <v>GO</v>
      </c>
      <c r="GM61" s="30"/>
      <c r="GN61" s="383" t="str">
        <f>SUBSTITUTE(ADDRESS(1,COLUMN(GP2),4),"1","")</f>
        <v>GP</v>
      </c>
      <c r="GO61" s="30"/>
      <c r="GP61" s="30"/>
      <c r="GQ61" s="30"/>
      <c r="GR61" s="30"/>
      <c r="GS61" s="30"/>
      <c r="GT61" s="30"/>
      <c r="GU61" s="30"/>
      <c r="GV61" s="30"/>
      <c r="GW61" s="117" t="str">
        <f>SUBSTITUTE(ADDRESS(1,COLUMN(HF2),4),"1","")</f>
        <v>HF</v>
      </c>
      <c r="GX61" s="117" t="str">
        <f>SUBSTITUTE(ADDRESS(1,COLUMN(HA2),4),"1","")</f>
        <v>HA</v>
      </c>
      <c r="GY61" s="32"/>
      <c r="GZ61" s="117" t="str">
        <f>SUBSTITUTE(ADDRESS(1,COLUMN(HB2),4),"1","")</f>
        <v>HB</v>
      </c>
      <c r="HA61" s="32"/>
      <c r="HB61" s="32"/>
      <c r="HC61" s="32"/>
      <c r="HD61" s="32"/>
      <c r="HE61" s="32"/>
      <c r="HF61" s="32"/>
      <c r="HG61" s="32"/>
      <c r="HH61" s="32"/>
      <c r="HI61" s="122" t="str">
        <f>SUBSTITUTE(ADDRESS(1,COLUMN(HR2),4),"1","")</f>
        <v>HR</v>
      </c>
      <c r="HJ61" s="122" t="str">
        <f>SUBSTITUTE(ADDRESS(1,COLUMN(HM2),4),"1","")</f>
        <v>HM</v>
      </c>
      <c r="HK61" s="34"/>
      <c r="HL61" s="122" t="str">
        <f>SUBSTITUTE(ADDRESS(1,COLUMN(HN2),4),"1","")</f>
        <v>HN</v>
      </c>
      <c r="HM61" s="34"/>
      <c r="HN61" s="34"/>
      <c r="HO61" s="34"/>
      <c r="HP61" s="34"/>
      <c r="HQ61" s="34"/>
      <c r="HR61" s="34"/>
      <c r="HS61" s="34"/>
      <c r="HT61" s="34"/>
      <c r="HU61" s="127" t="str">
        <f>SUBSTITUTE(ADDRESS(1,COLUMN(ID2),4),"1","")</f>
        <v>ID</v>
      </c>
      <c r="HV61" s="127" t="str">
        <f>SUBSTITUTE(ADDRESS(1,COLUMN(HY2),4),"1","")</f>
        <v>HY</v>
      </c>
      <c r="HW61" s="36"/>
      <c r="HX61" s="127" t="str">
        <f>SUBSTITUTE(ADDRESS(1,COLUMN(HZ2),4),"1","")</f>
        <v>HZ</v>
      </c>
      <c r="HY61" s="36"/>
      <c r="HZ61" s="36"/>
      <c r="IA61" s="36"/>
      <c r="IB61" s="36"/>
      <c r="IC61" s="36"/>
      <c r="ID61" s="36"/>
      <c r="IE61" s="36"/>
      <c r="IF61" s="36"/>
    </row>
    <row r="62" spans="1:240" x14ac:dyDescent="0.4">
      <c r="A62" s="93" t="str">
        <f>Dashboard!D1 &amp; " Time"</f>
        <v>Europe Western Time</v>
      </c>
      <c r="B62" s="6"/>
      <c r="C62" s="6"/>
      <c r="D62" s="93" t="s">
        <v>592</v>
      </c>
      <c r="E62" s="6"/>
      <c r="F62" s="6"/>
      <c r="G62" s="91" t="s">
        <v>112</v>
      </c>
      <c r="H62" s="6"/>
      <c r="I62" s="6"/>
      <c r="J62" s="6"/>
      <c r="K62" s="91">
        <f>tableTmp!$A$2</f>
        <v>2</v>
      </c>
      <c r="L62" s="6"/>
      <c r="M62" s="283" t="str">
        <f>Dashboard!D1 &amp; " Time"</f>
        <v>Europe Western Time</v>
      </c>
      <c r="N62" s="9"/>
      <c r="O62" s="287"/>
      <c r="P62" s="283" t="s">
        <v>592</v>
      </c>
      <c r="Q62" s="9"/>
      <c r="R62" s="9"/>
      <c r="S62" s="282" t="s">
        <v>112</v>
      </c>
      <c r="T62" s="9"/>
      <c r="U62" s="9"/>
      <c r="V62" s="9"/>
      <c r="W62" s="282">
        <f>tableTmp!$A$3</f>
        <v>7</v>
      </c>
      <c r="X62" s="9"/>
      <c r="Y62" s="292" t="str">
        <f>Dashboard!D1 &amp; " Time"</f>
        <v>Europe Western Time</v>
      </c>
      <c r="Z62" s="262"/>
      <c r="AA62" s="262"/>
      <c r="AB62" s="292" t="s">
        <v>592</v>
      </c>
      <c r="AC62" s="262"/>
      <c r="AD62" s="262"/>
      <c r="AE62" s="290" t="s">
        <v>112</v>
      </c>
      <c r="AF62" s="262"/>
      <c r="AG62" s="262"/>
      <c r="AH62" s="262"/>
      <c r="AI62" s="290">
        <f>tableTmp!$A$4</f>
        <v>15</v>
      </c>
      <c r="AJ62" s="262"/>
      <c r="AK62" s="412" t="str">
        <f>Dashboard!D1 &amp; " Time"</f>
        <v>Europe Western Time</v>
      </c>
      <c r="AL62" s="410"/>
      <c r="AM62" s="410"/>
      <c r="AN62" s="412" t="s">
        <v>592</v>
      </c>
      <c r="AO62" s="410"/>
      <c r="AP62" s="410"/>
      <c r="AQ62" s="411" t="s">
        <v>112</v>
      </c>
      <c r="AR62" s="410"/>
      <c r="AS62" s="410"/>
      <c r="AT62" s="410"/>
      <c r="AU62" s="411">
        <f>tableTmp!$A$5</f>
        <v>9</v>
      </c>
      <c r="AV62" s="410"/>
      <c r="AW62" s="98" t="str">
        <f>Dashboard!D1 &amp; " Time"</f>
        <v>Europe Western Time</v>
      </c>
      <c r="AX62" s="11"/>
      <c r="AY62" s="11"/>
      <c r="AZ62" s="98" t="s">
        <v>592</v>
      </c>
      <c r="BA62" s="11"/>
      <c r="BB62" s="11"/>
      <c r="BC62" s="96" t="s">
        <v>112</v>
      </c>
      <c r="BD62" s="11"/>
      <c r="BE62" s="11"/>
      <c r="BF62" s="11"/>
      <c r="BG62" s="96">
        <f>tableTmp!$A$6</f>
        <v>6</v>
      </c>
      <c r="BH62" s="11"/>
      <c r="BI62" s="183" t="str">
        <f>Dashboard!D1 &amp; " Time"</f>
        <v>Europe Western Time</v>
      </c>
      <c r="BJ62" s="15"/>
      <c r="BK62" s="15"/>
      <c r="BL62" s="183" t="s">
        <v>592</v>
      </c>
      <c r="BM62" s="15"/>
      <c r="BN62" s="15"/>
      <c r="BO62" s="181" t="s">
        <v>112</v>
      </c>
      <c r="BP62" s="15"/>
      <c r="BQ62" s="15"/>
      <c r="BR62" s="15"/>
      <c r="BS62" s="181">
        <f>tableTmp!$A$7</f>
        <v>12</v>
      </c>
      <c r="BT62" s="15"/>
      <c r="BU62" s="311" t="str">
        <f>Dashboard!D1 &amp; " Time"</f>
        <v>Europe Western Time</v>
      </c>
      <c r="BV62" s="16"/>
      <c r="BW62" s="16"/>
      <c r="BX62" s="311" t="s">
        <v>592</v>
      </c>
      <c r="BY62" s="16"/>
      <c r="BZ62" s="16"/>
      <c r="CA62" s="310" t="s">
        <v>112</v>
      </c>
      <c r="CB62" s="16"/>
      <c r="CC62" s="16"/>
      <c r="CD62" s="16"/>
      <c r="CE62" s="310">
        <f>tableTmp!$A$8</f>
        <v>11</v>
      </c>
      <c r="CF62" s="16"/>
      <c r="CG62" s="319" t="str">
        <f>Dashboard!D1 &amp; " Time"</f>
        <v>Europe Western Time</v>
      </c>
      <c r="CH62" s="19"/>
      <c r="CI62" s="19"/>
      <c r="CJ62" s="319" t="s">
        <v>592</v>
      </c>
      <c r="CK62" s="19"/>
      <c r="CL62" s="19"/>
      <c r="CM62" s="318" t="s">
        <v>112</v>
      </c>
      <c r="CN62" s="19"/>
      <c r="CO62" s="19"/>
      <c r="CP62" s="19"/>
      <c r="CQ62" s="318">
        <f>tableTmp!$A$9</f>
        <v>17</v>
      </c>
      <c r="CR62" s="19"/>
      <c r="CS62" s="327" t="str">
        <f>Dashboard!D1 &amp; " Time"</f>
        <v>Europe Western Time</v>
      </c>
      <c r="CT62" s="178"/>
      <c r="CU62" s="178"/>
      <c r="CV62" s="327" t="s">
        <v>592</v>
      </c>
      <c r="CW62" s="178"/>
      <c r="CX62" s="178"/>
      <c r="CY62" s="326" t="s">
        <v>112</v>
      </c>
      <c r="CZ62" s="178"/>
      <c r="DA62" s="178"/>
      <c r="DB62" s="178"/>
      <c r="DC62" s="326">
        <f>tableTmp!$A$10</f>
        <v>10</v>
      </c>
      <c r="DD62" s="178"/>
      <c r="DE62" s="335" t="str">
        <f>Dashboard!D1 &amp; " Time"</f>
        <v>Europe Western Time</v>
      </c>
      <c r="DF62" s="177"/>
      <c r="DG62" s="177"/>
      <c r="DH62" s="335" t="s">
        <v>592</v>
      </c>
      <c r="DI62" s="177"/>
      <c r="DJ62" s="177"/>
      <c r="DK62" s="334" t="s">
        <v>112</v>
      </c>
      <c r="DL62" s="177"/>
      <c r="DM62" s="177"/>
      <c r="DN62" s="177"/>
      <c r="DO62" s="334">
        <f>tableTmp!$A$11</f>
        <v>19</v>
      </c>
      <c r="DP62" s="177"/>
      <c r="DQ62" s="342" t="str">
        <f>Dashboard!D1 &amp; " Time"</f>
        <v>Europe Western Time</v>
      </c>
      <c r="DR62" s="21"/>
      <c r="DS62" s="21"/>
      <c r="DT62" s="342" t="s">
        <v>592</v>
      </c>
      <c r="DU62" s="21"/>
      <c r="DV62" s="21"/>
      <c r="DW62" s="341" t="s">
        <v>112</v>
      </c>
      <c r="DX62" s="21"/>
      <c r="DY62" s="21"/>
      <c r="DZ62" s="21"/>
      <c r="EA62" s="341">
        <f>tableTmp!$A$12</f>
        <v>18</v>
      </c>
      <c r="EB62" s="21"/>
      <c r="EC62" s="272" t="str">
        <f>Dashboard!D1 &amp; " Time"</f>
        <v>Europe Western Time</v>
      </c>
      <c r="ED62" s="23"/>
      <c r="EE62" s="23"/>
      <c r="EF62" s="272" t="s">
        <v>592</v>
      </c>
      <c r="EG62" s="23"/>
      <c r="EH62" s="23"/>
      <c r="EI62" s="270" t="s">
        <v>112</v>
      </c>
      <c r="EJ62" s="23"/>
      <c r="EK62" s="23"/>
      <c r="EL62" s="23"/>
      <c r="EM62" s="270">
        <f>tableTmp!$A$13</f>
        <v>5</v>
      </c>
      <c r="EN62" s="23"/>
      <c r="EO62" s="107" t="str">
        <f>Dashboard!D1 &amp; " Time"</f>
        <v>Europe Western Time</v>
      </c>
      <c r="EP62" s="25"/>
      <c r="EQ62" s="25"/>
      <c r="ER62" s="107" t="s">
        <v>592</v>
      </c>
      <c r="ES62" s="25"/>
      <c r="ET62" s="25"/>
      <c r="EU62" s="105" t="s">
        <v>112</v>
      </c>
      <c r="EV62" s="25"/>
      <c r="EW62" s="25"/>
      <c r="EX62" s="25"/>
      <c r="EY62" s="105">
        <f>tableTmp!$A$14</f>
        <v>1</v>
      </c>
      <c r="EZ62" s="25"/>
      <c r="FA62" s="362" t="str">
        <f>Dashboard!D1 &amp; " Time"</f>
        <v>Europe Western Time</v>
      </c>
      <c r="FB62" s="27"/>
      <c r="FC62" s="27"/>
      <c r="FD62" s="362" t="s">
        <v>592</v>
      </c>
      <c r="FE62" s="27"/>
      <c r="FF62" s="27"/>
      <c r="FG62" s="361" t="s">
        <v>112</v>
      </c>
      <c r="FH62" s="27"/>
      <c r="FI62" s="27"/>
      <c r="FJ62" s="27"/>
      <c r="FK62" s="361">
        <f>tableTmp!$A$15</f>
        <v>3</v>
      </c>
      <c r="FL62" s="27"/>
      <c r="FM62" s="112" t="str">
        <f>Dashboard!D1 &amp; " Time"</f>
        <v>Europe Western Time</v>
      </c>
      <c r="FN62" s="29"/>
      <c r="FO62" s="29"/>
      <c r="FP62" s="112" t="s">
        <v>592</v>
      </c>
      <c r="FQ62" s="29"/>
      <c r="FR62" s="29"/>
      <c r="FS62" s="110" t="s">
        <v>112</v>
      </c>
      <c r="FT62" s="29"/>
      <c r="FU62" s="29"/>
      <c r="FV62" s="29"/>
      <c r="FW62" s="110">
        <f>tableTmp!$A$16</f>
        <v>4</v>
      </c>
      <c r="FX62" s="29"/>
      <c r="FY62" s="376" t="str">
        <f>Dashboard!D1 &amp; " Time"</f>
        <v>Europe Western Time</v>
      </c>
      <c r="FZ62" s="264"/>
      <c r="GA62" s="264"/>
      <c r="GB62" s="376" t="s">
        <v>592</v>
      </c>
      <c r="GC62" s="264"/>
      <c r="GD62" s="264"/>
      <c r="GE62" s="375" t="s">
        <v>112</v>
      </c>
      <c r="GF62" s="264"/>
      <c r="GG62" s="264"/>
      <c r="GH62" s="264"/>
      <c r="GI62" s="375">
        <f>tableTmp!$A$17</f>
        <v>16</v>
      </c>
      <c r="GJ62" s="264"/>
      <c r="GK62" s="383" t="str">
        <f>Dashboard!D1 &amp; " Time"</f>
        <v>Europe Western Time</v>
      </c>
      <c r="GL62" s="30"/>
      <c r="GM62" s="30"/>
      <c r="GN62" s="383" t="s">
        <v>592</v>
      </c>
      <c r="GO62" s="30"/>
      <c r="GP62" s="30"/>
      <c r="GQ62" s="382" t="s">
        <v>112</v>
      </c>
      <c r="GR62" s="30"/>
      <c r="GS62" s="30"/>
      <c r="GT62" s="30"/>
      <c r="GU62" s="382">
        <f>tableTmp!$A$18</f>
        <v>20</v>
      </c>
      <c r="GV62" s="30"/>
      <c r="GW62" s="117" t="str">
        <f>Dashboard!D1 &amp; " Time"</f>
        <v>Europe Western Time</v>
      </c>
      <c r="GX62" s="32"/>
      <c r="GY62" s="32"/>
      <c r="GZ62" s="117" t="s">
        <v>592</v>
      </c>
      <c r="HA62" s="32"/>
      <c r="HB62" s="32"/>
      <c r="HC62" s="115" t="s">
        <v>112</v>
      </c>
      <c r="HD62" s="32"/>
      <c r="HE62" s="32"/>
      <c r="HF62" s="32"/>
      <c r="HG62" s="115">
        <f>tableTmp!$A$19</f>
        <v>8</v>
      </c>
      <c r="HH62" s="32"/>
      <c r="HI62" s="122" t="str">
        <f>Dashboard!D1 &amp; " Time"</f>
        <v>Europe Western Time</v>
      </c>
      <c r="HJ62" s="34"/>
      <c r="HK62" s="34"/>
      <c r="HL62" s="122" t="s">
        <v>592</v>
      </c>
      <c r="HM62" s="34"/>
      <c r="HN62" s="34"/>
      <c r="HO62" s="120" t="s">
        <v>112</v>
      </c>
      <c r="HP62" s="34"/>
      <c r="HQ62" s="34"/>
      <c r="HR62" s="34"/>
      <c r="HS62" s="120">
        <f>tableTmp!$A$20</f>
        <v>14</v>
      </c>
      <c r="HT62" s="34"/>
      <c r="HU62" s="127" t="str">
        <f>Dashboard!D1 &amp; " Time"</f>
        <v>Europe Western Time</v>
      </c>
      <c r="HV62" s="36"/>
      <c r="HW62" s="36"/>
      <c r="HX62" s="127" t="s">
        <v>592</v>
      </c>
      <c r="HY62" s="36"/>
      <c r="HZ62" s="36"/>
      <c r="IA62" s="125" t="s">
        <v>112</v>
      </c>
      <c r="IB62" s="36"/>
      <c r="IC62" s="36"/>
      <c r="ID62" s="36"/>
      <c r="IE62" s="125">
        <f>tableTmp!$A$21</f>
        <v>13</v>
      </c>
      <c r="IF62" s="36"/>
    </row>
    <row r="63" spans="1:240" x14ac:dyDescent="0.4">
      <c r="E63" s="457"/>
      <c r="O63" s="142"/>
    </row>
    <row r="65" spans="1:5" x14ac:dyDescent="0.4">
      <c r="E65" s="457"/>
    </row>
    <row r="66" spans="1:5" x14ac:dyDescent="0.4">
      <c r="A66" s="486" t="s">
        <v>614</v>
      </c>
      <c r="E66" s="487">
        <v>45122.343842592592</v>
      </c>
    </row>
    <row r="76" spans="1:5" x14ac:dyDescent="0.4">
      <c r="E76" s="487"/>
    </row>
    <row r="789" spans="1:239" x14ac:dyDescent="0.4">
      <c r="K789" s="133">
        <f ca="1">$B$792</f>
        <v>84</v>
      </c>
      <c r="W789" s="133">
        <f ca="1">$N$792</f>
        <v>61</v>
      </c>
      <c r="AI789" s="133">
        <f ca="1">$Z$792</f>
        <v>39</v>
      </c>
      <c r="AU789" s="133">
        <f ca="1">$AL$792</f>
        <v>59</v>
      </c>
      <c r="BG789" s="133">
        <f ca="1">$AX$792</f>
        <v>62</v>
      </c>
      <c r="BS789" s="133">
        <f ca="1">$BJ$792</f>
        <v>44</v>
      </c>
      <c r="CE789" s="133">
        <f ca="1">$BV$792</f>
        <v>45</v>
      </c>
      <c r="CQ789" s="133">
        <f ca="1">$CH$792</f>
        <v>36</v>
      </c>
      <c r="DC789" s="133">
        <f ca="1">$CT$792</f>
        <v>52</v>
      </c>
      <c r="DO789" s="133">
        <f ca="1">$DF$792</f>
        <v>31</v>
      </c>
      <c r="EA789" s="133">
        <f ca="1">$DR$792</f>
        <v>34</v>
      </c>
      <c r="EM789" s="133">
        <f ca="1">$ED$792</f>
        <v>67</v>
      </c>
      <c r="EY789" s="133">
        <f ca="1">$EP$792</f>
        <v>89</v>
      </c>
      <c r="FK789" s="133">
        <f ca="1">$FB$792</f>
        <v>75</v>
      </c>
      <c r="FW789" s="133">
        <f ca="1">$FN$792</f>
        <v>71</v>
      </c>
      <c r="GI789" s="133">
        <f ca="1">$FZ$792</f>
        <v>38</v>
      </c>
      <c r="GU789" s="133">
        <f ca="1">$GL$792</f>
        <v>25</v>
      </c>
      <c r="HG789" s="133">
        <f ca="1">$GX$792</f>
        <v>60</v>
      </c>
      <c r="HS789" s="133">
        <f ca="1">$HJ$792</f>
        <v>40</v>
      </c>
      <c r="IE789" s="133">
        <f ca="1">$HV$792</f>
        <v>41</v>
      </c>
    </row>
    <row r="790" spans="1:239" x14ac:dyDescent="0.4">
      <c r="K790" s="133">
        <f>tableTmp!$A$2</f>
        <v>2</v>
      </c>
      <c r="W790" s="133">
        <f>tableTmp!$A$3</f>
        <v>7</v>
      </c>
      <c r="AI790" s="133">
        <f>tableTmp!$A$4</f>
        <v>15</v>
      </c>
      <c r="AU790" s="133">
        <f>tableTmp!$A$5</f>
        <v>9</v>
      </c>
      <c r="BG790" s="133">
        <f>tableTmp!$A$6</f>
        <v>6</v>
      </c>
      <c r="BS790" s="133">
        <f>tableTmp!$A$7</f>
        <v>12</v>
      </c>
      <c r="CE790" s="133">
        <f>tableTmp!$A$8</f>
        <v>11</v>
      </c>
      <c r="CQ790" s="133">
        <f>tableTmp!$A$9</f>
        <v>17</v>
      </c>
      <c r="DC790" s="133">
        <f>tableTmp!$A$10</f>
        <v>10</v>
      </c>
      <c r="DO790" s="133">
        <f>tableTmp!$A$11</f>
        <v>19</v>
      </c>
      <c r="EA790" s="133">
        <f>tableTmp!$A$12</f>
        <v>18</v>
      </c>
      <c r="EM790" s="133">
        <f>tableTmp!$A$13</f>
        <v>5</v>
      </c>
      <c r="EY790" s="133">
        <f>tableTmp!$A$14</f>
        <v>1</v>
      </c>
      <c r="FK790" s="133">
        <f>tableTmp!$A$15</f>
        <v>3</v>
      </c>
      <c r="FW790" s="133">
        <f>tableTmp!$A$16</f>
        <v>4</v>
      </c>
      <c r="GI790" s="133">
        <f>tableTmp!$A$17</f>
        <v>16</v>
      </c>
      <c r="GU790" s="133">
        <f>tableTmp!$A$18</f>
        <v>20</v>
      </c>
      <c r="HG790" s="133">
        <f>tableTmp!$A$19</f>
        <v>8</v>
      </c>
      <c r="HS790" s="133">
        <f>tableTmp!$A$20</f>
        <v>14</v>
      </c>
      <c r="IE790" s="133">
        <f>tableTmp!$A$21</f>
        <v>13</v>
      </c>
    </row>
    <row r="791" spans="1:239" hidden="1" x14ac:dyDescent="0.4">
      <c r="A791" s="488" t="s">
        <v>112</v>
      </c>
      <c r="M791" s="488" t="s">
        <v>112</v>
      </c>
      <c r="Y791" s="488" t="s">
        <v>112</v>
      </c>
      <c r="AK791" s="488" t="s">
        <v>112</v>
      </c>
      <c r="AW791" s="488" t="s">
        <v>112</v>
      </c>
      <c r="BI791" s="488" t="s">
        <v>112</v>
      </c>
      <c r="BU791" s="488" t="s">
        <v>112</v>
      </c>
      <c r="CG791" s="488" t="s">
        <v>112</v>
      </c>
      <c r="CS791" s="488" t="s">
        <v>112</v>
      </c>
      <c r="DE791" s="488" t="s">
        <v>112</v>
      </c>
      <c r="DQ791" s="488" t="s">
        <v>112</v>
      </c>
      <c r="EC791" s="488" t="s">
        <v>112</v>
      </c>
      <c r="EO791" s="488" t="s">
        <v>112</v>
      </c>
      <c r="FA791" s="488" t="s">
        <v>112</v>
      </c>
      <c r="FM791" s="488" t="s">
        <v>112</v>
      </c>
      <c r="FY791" s="488" t="s">
        <v>112</v>
      </c>
      <c r="GK791" s="488" t="s">
        <v>112</v>
      </c>
      <c r="GW791" s="488" t="s">
        <v>112</v>
      </c>
      <c r="HI791" s="488" t="s">
        <v>112</v>
      </c>
      <c r="HU791" s="488" t="s">
        <v>112</v>
      </c>
    </row>
    <row r="792" spans="1:239" hidden="1" x14ac:dyDescent="0.4">
      <c r="A792" s="488" t="s">
        <v>611</v>
      </c>
      <c r="B792" s="133">
        <f ca="1">3*B794+B795</f>
        <v>84</v>
      </c>
      <c r="D792" s="488" t="s">
        <v>119</v>
      </c>
      <c r="E792" s="133">
        <f ca="1">SUM(G2:G789)</f>
        <v>88</v>
      </c>
      <c r="G792" s="133">
        <f ca="1">INDIRECT(A$799&amp;J792)</f>
        <v>49</v>
      </c>
      <c r="J792" s="133">
        <f ca="1">LOOKUP(2,1 / (J2:J788&lt;&gt; ""),ROW(J2:J788))</f>
        <v>59</v>
      </c>
      <c r="M792" s="488" t="s">
        <v>611</v>
      </c>
      <c r="N792" s="133">
        <f ca="1">3*N794+N795</f>
        <v>61</v>
      </c>
      <c r="P792" s="488" t="s">
        <v>119</v>
      </c>
      <c r="Q792" s="133">
        <f ca="1">SUM(S2:S789)</f>
        <v>51</v>
      </c>
      <c r="S792" s="133">
        <f ca="1">INDIRECT(M$799&amp;V792)</f>
        <v>49</v>
      </c>
      <c r="V792" s="133">
        <f ca="1">LOOKUP(2,1 / (V2:V788&lt;&gt; ""),ROW(V2:V788))</f>
        <v>59</v>
      </c>
      <c r="Y792" s="488" t="s">
        <v>611</v>
      </c>
      <c r="Z792" s="133">
        <f ca="1">3*Z794+Z795</f>
        <v>39</v>
      </c>
      <c r="AB792" s="488" t="s">
        <v>119</v>
      </c>
      <c r="AC792" s="133">
        <f ca="1">SUM(AE2:AE789)</f>
        <v>37</v>
      </c>
      <c r="AE792" s="133">
        <f ca="1">INDIRECT(Y$799&amp;AH792)</f>
        <v>49</v>
      </c>
      <c r="AH792" s="133">
        <f ca="1">LOOKUP(2,1 / (AH2:AH788&lt;&gt; ""),ROW(AH2:AH788))</f>
        <v>59</v>
      </c>
      <c r="AK792" s="488" t="s">
        <v>611</v>
      </c>
      <c r="AL792" s="133">
        <f ca="1">3*AL794+AL795</f>
        <v>59</v>
      </c>
      <c r="AN792" s="488" t="s">
        <v>119</v>
      </c>
      <c r="AO792" s="133">
        <f ca="1">SUM(AQ2:AQ789)</f>
        <v>58</v>
      </c>
      <c r="AQ792" s="133">
        <f ca="1">INDIRECT(AK$799&amp;AT792)</f>
        <v>49</v>
      </c>
      <c r="AT792" s="133">
        <f ca="1">LOOKUP(2,1 / (AT2:AT788&lt;&gt; ""),ROW(AT2:AT788))</f>
        <v>59</v>
      </c>
      <c r="AW792" s="488" t="s">
        <v>611</v>
      </c>
      <c r="AX792" s="133">
        <f ca="1">3*AX794+AX795</f>
        <v>62</v>
      </c>
      <c r="AZ792" s="488" t="s">
        <v>119</v>
      </c>
      <c r="BA792" s="133">
        <f ca="1">SUM(BC2:BC789)</f>
        <v>72</v>
      </c>
      <c r="BC792" s="133">
        <f ca="1">INDIRECT(AW$799&amp;BF792)</f>
        <v>49</v>
      </c>
      <c r="BF792" s="133">
        <f ca="1">LOOKUP(2,1 / (BF2:BF788&lt;&gt; ""),ROW(BF2:BF788))</f>
        <v>59</v>
      </c>
      <c r="BI792" s="488" t="s">
        <v>611</v>
      </c>
      <c r="BJ792" s="133">
        <f ca="1">3*BJ794+BJ795</f>
        <v>44</v>
      </c>
      <c r="BL792" s="488" t="s">
        <v>119</v>
      </c>
      <c r="BM792" s="133">
        <f ca="1">SUM(BO2:BO789)</f>
        <v>38</v>
      </c>
      <c r="BO792" s="133">
        <f ca="1">INDIRECT(BI$799&amp;BR792)</f>
        <v>49</v>
      </c>
      <c r="BR792" s="133">
        <f ca="1">LOOKUP(2,1 / (BR2:BR788&lt;&gt; ""),ROW(BR2:BR788))</f>
        <v>59</v>
      </c>
      <c r="BU792" s="488" t="s">
        <v>611</v>
      </c>
      <c r="BV792" s="133">
        <f ca="1">3*BV794+BV795</f>
        <v>45</v>
      </c>
      <c r="BX792" s="488" t="s">
        <v>119</v>
      </c>
      <c r="BY792" s="133">
        <f ca="1">SUM(CA2:CA789)</f>
        <v>40</v>
      </c>
      <c r="CA792" s="133">
        <f ca="1">INDIRECT(BU$799&amp;CD792)</f>
        <v>49</v>
      </c>
      <c r="CD792" s="133">
        <f ca="1">LOOKUP(2,1 / (CD2:CD788&lt;&gt; ""),ROW(CD2:CD788))</f>
        <v>59</v>
      </c>
      <c r="CG792" s="488" t="s">
        <v>611</v>
      </c>
      <c r="CH792" s="133">
        <f ca="1">3*CH794+CH795</f>
        <v>36</v>
      </c>
      <c r="CJ792" s="488" t="s">
        <v>119</v>
      </c>
      <c r="CK792" s="133">
        <f ca="1">SUM(CM2:CM789)</f>
        <v>34</v>
      </c>
      <c r="CM792" s="133">
        <f ca="1">INDIRECT(CG$799&amp;CP792)</f>
        <v>49</v>
      </c>
      <c r="CP792" s="133">
        <f ca="1">LOOKUP(2,1 / (CP2:CP788&lt;&gt; ""),ROW(CP2:CP788))</f>
        <v>59</v>
      </c>
      <c r="CS792" s="488" t="s">
        <v>611</v>
      </c>
      <c r="CT792" s="133">
        <f ca="1">3*CT794+CT795</f>
        <v>52</v>
      </c>
      <c r="CV792" s="488" t="s">
        <v>119</v>
      </c>
      <c r="CW792" s="133">
        <f ca="1">SUM(CY2:CY789)</f>
        <v>55</v>
      </c>
      <c r="CY792" s="133">
        <f ca="1">INDIRECT(CS$799&amp;DB792)</f>
        <v>49</v>
      </c>
      <c r="DB792" s="133">
        <f ca="1">LOOKUP(2,1 / (DB2:DB788&lt;&gt; ""),ROW(DB2:DB788))</f>
        <v>59</v>
      </c>
      <c r="DE792" s="488" t="s">
        <v>611</v>
      </c>
      <c r="DF792" s="133">
        <f ca="1">3*DF794+DF795</f>
        <v>31</v>
      </c>
      <c r="DH792" s="488" t="s">
        <v>119</v>
      </c>
      <c r="DI792" s="133">
        <f ca="1">SUM(DK2:DK789)</f>
        <v>48</v>
      </c>
      <c r="DK792" s="133">
        <f ca="1">INDIRECT(DE$799&amp;DN792)</f>
        <v>49</v>
      </c>
      <c r="DN792" s="133">
        <f ca="1">LOOKUP(2,1 / (DN2:DN788&lt;&gt; ""),ROW(DN2:DN788))</f>
        <v>59</v>
      </c>
      <c r="DQ792" s="488" t="s">
        <v>611</v>
      </c>
      <c r="DR792" s="133">
        <f ca="1">3*DR794+DR795</f>
        <v>34</v>
      </c>
      <c r="DT792" s="488" t="s">
        <v>119</v>
      </c>
      <c r="DU792" s="133">
        <f ca="1">SUM(DW2:DW789)</f>
        <v>51</v>
      </c>
      <c r="DW792" s="133">
        <f ca="1">INDIRECT(DQ$799&amp;DZ792)</f>
        <v>49</v>
      </c>
      <c r="DZ792" s="133">
        <f ca="1">LOOKUP(2,1 / (DZ2:DZ788&lt;&gt; ""),ROW(DZ2:DZ788))</f>
        <v>59</v>
      </c>
      <c r="EC792" s="488" t="s">
        <v>611</v>
      </c>
      <c r="ED792" s="133">
        <f ca="1">3*ED794+ED795</f>
        <v>67</v>
      </c>
      <c r="EF792" s="488" t="s">
        <v>119</v>
      </c>
      <c r="EG792" s="133">
        <f ca="1">SUM(EI2:EI789)</f>
        <v>75</v>
      </c>
      <c r="EI792" s="133">
        <f ca="1">INDIRECT(EC$799&amp;EL792)</f>
        <v>49</v>
      </c>
      <c r="EL792" s="133">
        <f ca="1">LOOKUP(2,1 / (EL2:EL788&lt;&gt; ""),ROW(EL2:EL788))</f>
        <v>59</v>
      </c>
      <c r="EO792" s="488" t="s">
        <v>611</v>
      </c>
      <c r="EP792" s="133">
        <f ca="1">3*EP794+EP795</f>
        <v>89</v>
      </c>
      <c r="ER792" s="488" t="s">
        <v>119</v>
      </c>
      <c r="ES792" s="133">
        <f ca="1">SUM(EU2:EU789)</f>
        <v>94</v>
      </c>
      <c r="EU792" s="133">
        <f ca="1">INDIRECT(EO$799&amp;EX792)</f>
        <v>49</v>
      </c>
      <c r="EX792" s="133">
        <f ca="1">LOOKUP(2,1 / (EX2:EX788&lt;&gt; ""),ROW(EX2:EX788))</f>
        <v>59</v>
      </c>
      <c r="FA792" s="488" t="s">
        <v>611</v>
      </c>
      <c r="FB792" s="133">
        <f ca="1">3*FB794+FB795</f>
        <v>75</v>
      </c>
      <c r="FD792" s="488" t="s">
        <v>119</v>
      </c>
      <c r="FE792" s="133">
        <f ca="1">SUM(FG2:FG789)</f>
        <v>58</v>
      </c>
      <c r="FG792" s="133">
        <f ca="1">INDIRECT(FA$799&amp;FJ792)</f>
        <v>49</v>
      </c>
      <c r="FJ792" s="133">
        <f ca="1">LOOKUP(2,1 / (FJ2:FJ788&lt;&gt; ""),ROW(FJ2:FJ788))</f>
        <v>59</v>
      </c>
      <c r="FM792" s="488" t="s">
        <v>611</v>
      </c>
      <c r="FN792" s="133">
        <f ca="1">3*FN794+FN795</f>
        <v>71</v>
      </c>
      <c r="FP792" s="488" t="s">
        <v>119</v>
      </c>
      <c r="FQ792" s="133">
        <f ca="1">SUM(FS2:FS789)</f>
        <v>68</v>
      </c>
      <c r="FS792" s="133">
        <f ca="1">INDIRECT(FM$799&amp;FV792)</f>
        <v>49</v>
      </c>
      <c r="FV792" s="133">
        <f ca="1">LOOKUP(2,1 / (FV2:FV788&lt;&gt; ""),ROW(FV2:FV788))</f>
        <v>59</v>
      </c>
      <c r="FY792" s="488" t="s">
        <v>611</v>
      </c>
      <c r="FZ792" s="133">
        <f ca="1">3*FZ794+FZ795</f>
        <v>38</v>
      </c>
      <c r="GB792" s="488" t="s">
        <v>119</v>
      </c>
      <c r="GC792" s="133">
        <f ca="1">SUM(GE2:GE789)</f>
        <v>38</v>
      </c>
      <c r="GE792" s="133">
        <f ca="1">INDIRECT(FY$799&amp;GH792)</f>
        <v>49</v>
      </c>
      <c r="GH792" s="133">
        <f ca="1">LOOKUP(2,1 / (GH2:GH788&lt;&gt; ""),ROW(GH2:GH788))</f>
        <v>59</v>
      </c>
      <c r="GK792" s="488" t="s">
        <v>611</v>
      </c>
      <c r="GL792" s="133">
        <f ca="1">3*GL794+GL795</f>
        <v>25</v>
      </c>
      <c r="GN792" s="488" t="s">
        <v>119</v>
      </c>
      <c r="GO792" s="133">
        <f ca="1">SUM(GQ2:GQ789)</f>
        <v>36</v>
      </c>
      <c r="GQ792" s="133">
        <f ca="1">INDIRECT(GK$799&amp;GT792)</f>
        <v>49</v>
      </c>
      <c r="GT792" s="133">
        <f ca="1">LOOKUP(2,1 / (GT2:GT788&lt;&gt; ""),ROW(GT2:GT788))</f>
        <v>59</v>
      </c>
      <c r="GW792" s="488" t="s">
        <v>611</v>
      </c>
      <c r="GX792" s="133">
        <f ca="1">3*GX794+GX795</f>
        <v>60</v>
      </c>
      <c r="GZ792" s="488" t="s">
        <v>119</v>
      </c>
      <c r="HA792" s="133">
        <f ca="1">SUM(HC2:HC789)</f>
        <v>70</v>
      </c>
      <c r="HC792" s="133">
        <f ca="1">INDIRECT(GW$799&amp;HF792)</f>
        <v>49</v>
      </c>
      <c r="HF792" s="133">
        <f ca="1">LOOKUP(2,1 / (HF2:HF788&lt;&gt; ""),ROW(HF2:HF788))</f>
        <v>59</v>
      </c>
      <c r="HI792" s="488" t="s">
        <v>611</v>
      </c>
      <c r="HJ792" s="133">
        <f ca="1">3*HJ794+HJ795</f>
        <v>40</v>
      </c>
      <c r="HL792" s="488" t="s">
        <v>119</v>
      </c>
      <c r="HM792" s="133">
        <f ca="1">SUM(HO2:HO789)</f>
        <v>42</v>
      </c>
      <c r="HO792" s="133">
        <f ca="1">INDIRECT(HI$799&amp;HR792)</f>
        <v>49</v>
      </c>
      <c r="HR792" s="133">
        <f ca="1">LOOKUP(2,1 / (HR2:HR788&lt;&gt; ""),ROW(HR2:HR788))</f>
        <v>59</v>
      </c>
      <c r="HU792" s="488" t="s">
        <v>611</v>
      </c>
      <c r="HV792" s="133">
        <f ca="1">3*HV794+HV795</f>
        <v>41</v>
      </c>
      <c r="HX792" s="488" t="s">
        <v>119</v>
      </c>
      <c r="HY792" s="133">
        <f ca="1">SUM(IA2:IA789)</f>
        <v>31</v>
      </c>
      <c r="IA792" s="133">
        <f ca="1">INDIRECT(HU$799&amp;ID792)</f>
        <v>49</v>
      </c>
      <c r="ID792" s="133">
        <f ca="1">LOOKUP(2,1 / (ID2:ID788&lt;&gt; ""),ROW(ID2:ID788))</f>
        <v>59</v>
      </c>
    </row>
    <row r="793" spans="1:239" hidden="1" x14ac:dyDescent="0.4">
      <c r="A793" s="488" t="s">
        <v>114</v>
      </c>
      <c r="B793" s="133">
        <f ca="1">SUM(B794:B797)</f>
        <v>38</v>
      </c>
      <c r="D793" s="488" t="s">
        <v>118</v>
      </c>
      <c r="E793" s="133">
        <f>SUM(I2:I789)</f>
        <v>43</v>
      </c>
      <c r="G793" s="133">
        <f ca="1">INDIRECT(A$799&amp;J793)</f>
        <v>45</v>
      </c>
      <c r="J793" s="133">
        <f ca="1">IF(ISBLANK(INDIRECT(A$799&amp;J792-1)), LOOKUP(2,1 / (J$2:(INDIRECT(A$799&amp;J792-2)) &lt;&gt; ""),ROW(J$2:(INDIRECT(A$799&amp;J792-2)))),LOOKUP(2,1 / (J$2:(INDIRECT(A$799&amp;J792-1)) &lt;&gt; ""),ROW(J$2:(INDIRECT(A$799&amp;J792-1)))))</f>
        <v>58</v>
      </c>
      <c r="M793" s="488" t="s">
        <v>114</v>
      </c>
      <c r="N793" s="133">
        <f ca="1">SUM(N794:N797)</f>
        <v>38</v>
      </c>
      <c r="P793" s="488" t="s">
        <v>118</v>
      </c>
      <c r="Q793" s="133">
        <f>SUM(U2:U789)</f>
        <v>46</v>
      </c>
      <c r="S793" s="133">
        <f ca="1">INDIRECT(M$799&amp;V793)</f>
        <v>44</v>
      </c>
      <c r="V793" s="133">
        <f ca="1">IF(ISBLANK(INDIRECT(M$799&amp;V792-1)), LOOKUP(2,1 / (V$2:(INDIRECT(M$799&amp;V792-2)) &lt;&gt; ""),ROW(V$2:(INDIRECT(M$799&amp;V792-2)))),LOOKUP(2,1 / (V$2:(INDIRECT(M$799&amp;V792-1)) &lt;&gt; ""),ROW(V$2:(INDIRECT(M$799&amp;V792-1)))))</f>
        <v>58</v>
      </c>
      <c r="Y793" s="488" t="s">
        <v>114</v>
      </c>
      <c r="Z793" s="133">
        <f ca="1">SUM(Z794:Z797)</f>
        <v>38</v>
      </c>
      <c r="AB793" s="488" t="s">
        <v>118</v>
      </c>
      <c r="AC793" s="133">
        <f>SUM(AG2:AG789)</f>
        <v>71</v>
      </c>
      <c r="AE793" s="133">
        <f ca="1">INDIRECT(Y$799&amp;AH793)</f>
        <v>44</v>
      </c>
      <c r="AH793" s="133">
        <f ca="1">IF(ISBLANK(INDIRECT(Y$799&amp;AH792-1)), LOOKUP(2,1 / (AH$2:(INDIRECT(Y$799&amp;AH792-2)) &lt;&gt; ""),ROW(AH$2:(INDIRECT(Y$799&amp;AH792-2)))),LOOKUP(2,1 / (AH$2:(INDIRECT(Y$799&amp;AH792-1)) &lt;&gt; ""),ROW(AH$2:(INDIRECT(Y$799&amp;AH792-1)))))</f>
        <v>58</v>
      </c>
      <c r="AK793" s="488" t="s">
        <v>114</v>
      </c>
      <c r="AL793" s="133">
        <f ca="1">SUM(AL794:AL797)</f>
        <v>38</v>
      </c>
      <c r="AN793" s="488" t="s">
        <v>118</v>
      </c>
      <c r="AO793" s="133">
        <f>SUM(AS2:AS789)</f>
        <v>46</v>
      </c>
      <c r="AQ793" s="133">
        <f ca="1">INDIRECT(AK$799&amp;AT793)</f>
        <v>44</v>
      </c>
      <c r="AT793" s="133">
        <f ca="1">IF(ISBLANK(INDIRECT(AK$799&amp;AT792-1)), LOOKUP(2,1 / (AT$2:(INDIRECT(AK$799&amp;AT792-2)) &lt;&gt; ""),ROW(AT$2:(INDIRECT(AK$799&amp;AT792-2)))),LOOKUP(2,1 / (AT$2:(INDIRECT(AK$799&amp;AT792-1)) &lt;&gt; ""),ROW(AT$2:(INDIRECT(AK$799&amp;AT792-1)))))</f>
        <v>58</v>
      </c>
      <c r="AW793" s="488" t="s">
        <v>114</v>
      </c>
      <c r="AX793" s="133">
        <f ca="1">SUM(AX794:AX797)</f>
        <v>38</v>
      </c>
      <c r="AZ793" s="488" t="s">
        <v>118</v>
      </c>
      <c r="BA793" s="133">
        <f>SUM(BE2:BE789)</f>
        <v>53</v>
      </c>
      <c r="BC793" s="133">
        <f ca="1">INDIRECT(AW$799&amp;BF793)</f>
        <v>45</v>
      </c>
      <c r="BF793" s="133">
        <f ca="1">IF(ISBLANK(INDIRECT(AW$799&amp;BF792-1)), LOOKUP(2,1 / (BF$2:(INDIRECT(AW$799&amp;BF792-2)) &lt;&gt; ""),ROW(BF$2:(INDIRECT(AW$799&amp;BF792-2)))),LOOKUP(2,1 / (BF$2:(INDIRECT(AW$799&amp;BF792-1)) &lt;&gt; ""),ROW(BF$2:(INDIRECT(AW$799&amp;BF792-1)))))</f>
        <v>58</v>
      </c>
      <c r="BI793" s="488" t="s">
        <v>114</v>
      </c>
      <c r="BJ793" s="133">
        <f ca="1">SUM(BJ794:BJ797)</f>
        <v>38</v>
      </c>
      <c r="BL793" s="488" t="s">
        <v>118</v>
      </c>
      <c r="BM793" s="133">
        <f>SUM(BQ2:BQ789)</f>
        <v>47</v>
      </c>
      <c r="BO793" s="133">
        <f ca="1">INDIRECT(BI$799&amp;BR793)</f>
        <v>45</v>
      </c>
      <c r="BR793" s="133">
        <f ca="1">IF(ISBLANK(INDIRECT(BI$799&amp;BR792-1)), LOOKUP(2,1 / (BR$2:(INDIRECT(BI$799&amp;BR792-2)) &lt;&gt; ""),ROW(BR$2:(INDIRECT(BI$799&amp;BR792-2)))),LOOKUP(2,1 / (BR$2:(INDIRECT(BI$799&amp;BR792-1)) &lt;&gt; ""),ROW(BR$2:(INDIRECT(BI$799&amp;BR792-1)))))</f>
        <v>58</v>
      </c>
      <c r="BU793" s="488" t="s">
        <v>114</v>
      </c>
      <c r="BV793" s="133">
        <f ca="1">SUM(BV794:BV797)</f>
        <v>38</v>
      </c>
      <c r="BX793" s="488" t="s">
        <v>118</v>
      </c>
      <c r="BY793" s="133">
        <f>SUM(CC2:CC789)</f>
        <v>49</v>
      </c>
      <c r="CA793" s="133">
        <f ca="1">INDIRECT(BU$799&amp;CD793)</f>
        <v>44</v>
      </c>
      <c r="CD793" s="133">
        <f ca="1">IF(ISBLANK(INDIRECT(BU$799&amp;CD792-1)), LOOKUP(2,1 / (CD$2:(INDIRECT(BU$799&amp;CD792-2)) &lt;&gt; ""),ROW(CD$2:(INDIRECT(BU$799&amp;CD792-2)))),LOOKUP(2,1 / (CD$2:(INDIRECT(BU$799&amp;CD792-1)) &lt;&gt; ""),ROW(CD$2:(INDIRECT(BU$799&amp;CD792-1)))))</f>
        <v>58</v>
      </c>
      <c r="CG793" s="488" t="s">
        <v>114</v>
      </c>
      <c r="CH793" s="133">
        <f ca="1">SUM(CH794:CH797)</f>
        <v>38</v>
      </c>
      <c r="CJ793" s="488" t="s">
        <v>118</v>
      </c>
      <c r="CK793" s="133">
        <f>SUM(CO2:CO789)</f>
        <v>57</v>
      </c>
      <c r="CM793" s="133">
        <f ca="1">INDIRECT(CG$799&amp;CP793)</f>
        <v>45</v>
      </c>
      <c r="CP793" s="133">
        <f ca="1">IF(ISBLANK(INDIRECT(CG$799&amp;CP792-1)), LOOKUP(2,1 / (CP$2:(INDIRECT(CG$799&amp;CP792-2)) &lt;&gt; ""),ROW(CP$2:(INDIRECT(CG$799&amp;CP792-2)))),LOOKUP(2,1 / (CP$2:(INDIRECT(CG$799&amp;CP792-1)) &lt;&gt; ""),ROW(CP$2:(INDIRECT(CG$799&amp;CP792-1)))))</f>
        <v>58</v>
      </c>
      <c r="CS793" s="488" t="s">
        <v>114</v>
      </c>
      <c r="CT793" s="133">
        <f ca="1">SUM(CT794:CT797)</f>
        <v>38</v>
      </c>
      <c r="CV793" s="488" t="s">
        <v>118</v>
      </c>
      <c r="CW793" s="133">
        <f>SUM(DA2:DA789)</f>
        <v>53</v>
      </c>
      <c r="CY793" s="133">
        <f ca="1">INDIRECT(CS$799&amp;DB793)</f>
        <v>45</v>
      </c>
      <c r="DB793" s="133">
        <f ca="1">IF(ISBLANK(INDIRECT(CS$799&amp;DB792-1)), LOOKUP(2,1 / (DB$2:(INDIRECT(CS$799&amp;DB792-2)) &lt;&gt; ""),ROW(DB$2:(INDIRECT(CS$799&amp;DB792-2)))),LOOKUP(2,1 / (DB$2:(INDIRECT(CS$799&amp;DB792-1)) &lt;&gt; ""),ROW(DB$2:(INDIRECT(CS$799&amp;DB792-1)))))</f>
        <v>58</v>
      </c>
      <c r="DE793" s="488" t="s">
        <v>114</v>
      </c>
      <c r="DF793" s="133">
        <f ca="1">SUM(DF794:DF797)</f>
        <v>38</v>
      </c>
      <c r="DH793" s="488" t="s">
        <v>118</v>
      </c>
      <c r="DI793" s="133">
        <f>SUM(DM2:DM789)</f>
        <v>78</v>
      </c>
      <c r="DK793" s="133">
        <f ca="1">INDIRECT(DE$799&amp;DN793)</f>
        <v>44</v>
      </c>
      <c r="DN793" s="133">
        <f ca="1">IF(ISBLANK(INDIRECT(DE$799&amp;DN792-1)), LOOKUP(2,1 / (DN$2:(INDIRECT(DE$799&amp;DN792-2)) &lt;&gt; ""),ROW(DN$2:(INDIRECT(DE$799&amp;DN792-2)))),LOOKUP(2,1 / (DN$2:(INDIRECT(DE$799&amp;DN792-1)) &lt;&gt; ""),ROW(DN$2:(INDIRECT(DE$799&amp;DN792-1)))))</f>
        <v>58</v>
      </c>
      <c r="DQ793" s="488" t="s">
        <v>114</v>
      </c>
      <c r="DR793" s="133">
        <f ca="1">SUM(DR794:DR797)</f>
        <v>38</v>
      </c>
      <c r="DT793" s="488" t="s">
        <v>118</v>
      </c>
      <c r="DU793" s="133">
        <f>SUM(DY2:DY789)</f>
        <v>68</v>
      </c>
      <c r="DW793" s="133">
        <f ca="1">INDIRECT(DQ$799&amp;DZ793)</f>
        <v>45</v>
      </c>
      <c r="DZ793" s="133">
        <f ca="1">IF(ISBLANK(INDIRECT(DQ$799&amp;DZ792-1)), LOOKUP(2,1 / (DZ$2:(INDIRECT(DQ$799&amp;DZ792-2)) &lt;&gt; ""),ROW(DZ$2:(INDIRECT(DQ$799&amp;DZ792-2)))),LOOKUP(2,1 / (DZ$2:(INDIRECT(DQ$799&amp;DZ792-1)) &lt;&gt; ""),ROW(DZ$2:(INDIRECT(DQ$799&amp;DZ792-1)))))</f>
        <v>58</v>
      </c>
      <c r="EC793" s="488" t="s">
        <v>114</v>
      </c>
      <c r="ED793" s="133">
        <f ca="1">SUM(ED794:ED797)</f>
        <v>38</v>
      </c>
      <c r="EF793" s="488" t="s">
        <v>118</v>
      </c>
      <c r="EG793" s="133">
        <f>SUM(EK2:EK789)</f>
        <v>47</v>
      </c>
      <c r="EI793" s="133">
        <f ca="1">INDIRECT(EC$799&amp;EL793)</f>
        <v>45</v>
      </c>
      <c r="EL793" s="133">
        <f ca="1">IF(ISBLANK(INDIRECT(EC$799&amp;EL792-1)), LOOKUP(2,1 / (EL$2:(INDIRECT(EC$799&amp;EL792-2)) &lt;&gt; ""),ROW(EL$2:(INDIRECT(EC$799&amp;EL792-2)))),LOOKUP(2,1 / (EL$2:(INDIRECT(EC$799&amp;EL792-1)) &lt;&gt; ""),ROW(EL$2:(INDIRECT(EC$799&amp;EL792-1)))))</f>
        <v>58</v>
      </c>
      <c r="EO793" s="488" t="s">
        <v>114</v>
      </c>
      <c r="EP793" s="133">
        <f ca="1">SUM(EP794:EP797)</f>
        <v>38</v>
      </c>
      <c r="ER793" s="488" t="s">
        <v>118</v>
      </c>
      <c r="ES793" s="133">
        <f>SUM(EW2:EW789)</f>
        <v>33</v>
      </c>
      <c r="EU793" s="133">
        <f ca="1">INDIRECT(EO$799&amp;EX793)</f>
        <v>45</v>
      </c>
      <c r="EX793" s="133">
        <f ca="1">IF(ISBLANK(INDIRECT(EO$799&amp;EX792-1)), LOOKUP(2,1 / (EX$2:(INDIRECT(EO$799&amp;EX792-2)) &lt;&gt; ""),ROW(EX$2:(INDIRECT(EO$799&amp;EX792-2)))),LOOKUP(2,1 / (EX$2:(INDIRECT(EO$799&amp;EX792-1)) &lt;&gt; ""),ROW(EX$2:(INDIRECT(EO$799&amp;EX792-1)))))</f>
        <v>58</v>
      </c>
      <c r="FA793" s="488" t="s">
        <v>114</v>
      </c>
      <c r="FB793" s="133">
        <f ca="1">SUM(FB794:FB797)</f>
        <v>38</v>
      </c>
      <c r="FD793" s="488" t="s">
        <v>118</v>
      </c>
      <c r="FE793" s="133">
        <f>SUM(FI2:FI789)</f>
        <v>43</v>
      </c>
      <c r="FG793" s="133">
        <f ca="1">INDIRECT(FA$799&amp;FJ793)</f>
        <v>45</v>
      </c>
      <c r="FJ793" s="133">
        <f ca="1">IF(ISBLANK(INDIRECT(FA$799&amp;FJ792-1)), LOOKUP(2,1 / (FJ$2:(INDIRECT(FA$799&amp;FJ792-2)) &lt;&gt; ""),ROW(FJ$2:(INDIRECT(FA$799&amp;FJ792-2)))),LOOKUP(2,1 / (FJ$2:(INDIRECT(FA$799&amp;FJ792-1)) &lt;&gt; ""),ROW(FJ$2:(INDIRECT(FA$799&amp;FJ792-1)))))</f>
        <v>58</v>
      </c>
      <c r="FM793" s="488" t="s">
        <v>114</v>
      </c>
      <c r="FN793" s="133">
        <f ca="1">SUM(FN794:FN797)</f>
        <v>38</v>
      </c>
      <c r="FP793" s="488" t="s">
        <v>118</v>
      </c>
      <c r="FQ793" s="133">
        <f>SUM(FU2:FU789)</f>
        <v>33</v>
      </c>
      <c r="FS793" s="133">
        <f ca="1">INDIRECT(FM$799&amp;FV793)</f>
        <v>45</v>
      </c>
      <c r="FV793" s="133">
        <f ca="1">IF(ISBLANK(INDIRECT(FM$799&amp;FV792-1)), LOOKUP(2,1 / (FV$2:(INDIRECT(FM$799&amp;FV792-2)) &lt;&gt; ""),ROW(FV$2:(INDIRECT(FM$799&amp;FV792-2)))),LOOKUP(2,1 / (FV$2:(INDIRECT(FM$799&amp;FV792-1)) &lt;&gt; ""),ROW(FV$2:(INDIRECT(FM$799&amp;FV792-1)))))</f>
        <v>58</v>
      </c>
      <c r="FY793" s="488" t="s">
        <v>114</v>
      </c>
      <c r="FZ793" s="133">
        <f ca="1">SUM(FZ794:FZ797)</f>
        <v>38</v>
      </c>
      <c r="GB793" s="488" t="s">
        <v>118</v>
      </c>
      <c r="GC793" s="133">
        <f>SUM(GG2:GG789)</f>
        <v>68</v>
      </c>
      <c r="GE793" s="133">
        <f ca="1">INDIRECT(FY$799&amp;GH793)</f>
        <v>44</v>
      </c>
      <c r="GH793" s="133">
        <f ca="1">IF(ISBLANK(INDIRECT(FY$799&amp;GH792-1)), LOOKUP(2,1 / (GH$2:(INDIRECT(FY$799&amp;GH792-2)) &lt;&gt; ""),ROW(GH$2:(INDIRECT(FY$799&amp;GH792-2)))),LOOKUP(2,1 / (GH$2:(INDIRECT(FY$799&amp;GH792-1)) &lt;&gt; ""),ROW(GH$2:(INDIRECT(FY$799&amp;GH792-1)))))</f>
        <v>58</v>
      </c>
      <c r="GK793" s="488" t="s">
        <v>114</v>
      </c>
      <c r="GL793" s="133">
        <f ca="1">SUM(GL794:GL797)</f>
        <v>38</v>
      </c>
      <c r="GN793" s="488" t="s">
        <v>118</v>
      </c>
      <c r="GO793" s="133">
        <f>SUM(GS2:GS789)</f>
        <v>73</v>
      </c>
      <c r="GQ793" s="133">
        <f ca="1">INDIRECT(GK$799&amp;GT793)</f>
        <v>44</v>
      </c>
      <c r="GT793" s="133">
        <f ca="1">IF(ISBLANK(INDIRECT(GK$799&amp;GT792-1)), LOOKUP(2,1 / (GT$2:(INDIRECT(GK$799&amp;GT792-2)) &lt;&gt; ""),ROW(GT$2:(INDIRECT(GK$799&amp;GT792-2)))),LOOKUP(2,1 / (GT$2:(INDIRECT(GK$799&amp;GT792-1)) &lt;&gt; ""),ROW(GT$2:(INDIRECT(GK$799&amp;GT792-1)))))</f>
        <v>58</v>
      </c>
      <c r="GW793" s="488" t="s">
        <v>114</v>
      </c>
      <c r="GX793" s="133">
        <f ca="1">SUM(GX794:GX797)</f>
        <v>38</v>
      </c>
      <c r="GZ793" s="488" t="s">
        <v>118</v>
      </c>
      <c r="HA793" s="133">
        <f>SUM(HE2:HE789)</f>
        <v>63</v>
      </c>
      <c r="HC793" s="133">
        <f ca="1">INDIRECT(GW$799&amp;HF793)</f>
        <v>44</v>
      </c>
      <c r="HF793" s="133">
        <f ca="1">IF(ISBLANK(INDIRECT(GW$799&amp;HF792-1)), LOOKUP(2,1 / (HF$2:(INDIRECT(GW$799&amp;HF792-2)) &lt;&gt; ""),ROW(HF$2:(INDIRECT(GW$799&amp;HF792-2)))),LOOKUP(2,1 / (HF$2:(INDIRECT(GW$799&amp;HF792-1)) &lt;&gt; ""),ROW(HF$2:(INDIRECT(GW$799&amp;HF792-1)))))</f>
        <v>58</v>
      </c>
      <c r="HI793" s="488" t="s">
        <v>114</v>
      </c>
      <c r="HJ793" s="133">
        <f ca="1">SUM(HJ794:HJ797)</f>
        <v>38</v>
      </c>
      <c r="HL793" s="488" t="s">
        <v>118</v>
      </c>
      <c r="HM793" s="133">
        <f>SUM(HQ2:HQ789)</f>
        <v>55</v>
      </c>
      <c r="HO793" s="133">
        <f ca="1">INDIRECT(HI$799&amp;HR793)</f>
        <v>45</v>
      </c>
      <c r="HR793" s="133">
        <f ca="1">IF(ISBLANK(INDIRECT(HI$799&amp;HR792-1)), LOOKUP(2,1 / (HR$2:(INDIRECT(HI$799&amp;HR792-2)) &lt;&gt; ""),ROW(HR$2:(INDIRECT(HI$799&amp;HR792-2)))),LOOKUP(2,1 / (HR$2:(INDIRECT(HI$799&amp;HR792-1)) &lt;&gt; ""),ROW(HR$2:(INDIRECT(HI$799&amp;HR792-1)))))</f>
        <v>58</v>
      </c>
      <c r="HU793" s="488" t="s">
        <v>114</v>
      </c>
      <c r="HV793" s="133">
        <f ca="1">SUM(HV794:HV797)</f>
        <v>38</v>
      </c>
      <c r="HX793" s="488" t="s">
        <v>118</v>
      </c>
      <c r="HY793" s="133">
        <f>SUM(IC2:IC789)</f>
        <v>58</v>
      </c>
      <c r="IA793" s="133">
        <f ca="1">INDIRECT(HU$799&amp;ID793)</f>
        <v>44</v>
      </c>
      <c r="ID793" s="133">
        <f ca="1">IF(ISBLANK(INDIRECT(HU$799&amp;ID792-1)), LOOKUP(2,1 / (ID$2:(INDIRECT(HU$799&amp;ID792-2)) &lt;&gt; ""),ROW(ID$2:(INDIRECT(HU$799&amp;ID792-2)))),LOOKUP(2,1 / (ID$2:(INDIRECT(HU$799&amp;ID792-1)) &lt;&gt; ""),ROW(ID$2:(INDIRECT(HU$799&amp;ID792-1)))))</f>
        <v>58</v>
      </c>
    </row>
    <row r="794" spans="1:239" hidden="1" x14ac:dyDescent="0.4">
      <c r="A794" s="488" t="s">
        <v>604</v>
      </c>
      <c r="B794" s="133">
        <f ca="1">COUNTIF(J2:J789,"W")</f>
        <v>26</v>
      </c>
      <c r="D794" s="488" t="s">
        <v>120</v>
      </c>
      <c r="E794" s="133">
        <f ca="1">E792 - E793</f>
        <v>45</v>
      </c>
      <c r="G794" s="133">
        <f ca="1">INDIRECT(A$799&amp;J794)</f>
        <v>46</v>
      </c>
      <c r="J794" s="133">
        <f ca="1">IF(ISBLANK(INDIRECT(A$799&amp;J793-1)), LOOKUP(2,1 / (J$2:(INDIRECT(A$799&amp;J793-2)) &lt;&gt; ""),ROW(J$2:(INDIRECT(A$799&amp;J793-2)))),LOOKUP(2,1 / (J$2:(INDIRECT(A$799&amp;J793-1)) &lt;&gt; ""),ROW(J$2:(INDIRECT(A$799&amp;J793-1)))))</f>
        <v>57</v>
      </c>
      <c r="M794" s="488" t="s">
        <v>604</v>
      </c>
      <c r="N794" s="133">
        <f ca="1">COUNTIF(V2:V789,"W")</f>
        <v>18</v>
      </c>
      <c r="P794" s="488" t="s">
        <v>120</v>
      </c>
      <c r="Q794" s="133">
        <f ca="1">Q792 - Q793</f>
        <v>5</v>
      </c>
      <c r="S794" s="133">
        <f ca="1">INDIRECT(M$799&amp;V794)</f>
        <v>46</v>
      </c>
      <c r="V794" s="133">
        <f ca="1">IF(ISBLANK(INDIRECT(M$799&amp;V793-1)), LOOKUP(2,1 / (V$2:(INDIRECT(M$799&amp;V793-2)) &lt;&gt; ""),ROW(V$2:(INDIRECT(M$799&amp;V793-2)))),LOOKUP(2,1 / (V$2:(INDIRECT(M$799&amp;V793-1)) &lt;&gt; ""),ROW(V$2:(INDIRECT(M$799&amp;V793-1)))))</f>
        <v>57</v>
      </c>
      <c r="Y794" s="488" t="s">
        <v>604</v>
      </c>
      <c r="Z794" s="133">
        <f ca="1">COUNTIF(AH2:AH789,"W")</f>
        <v>11</v>
      </c>
      <c r="AB794" s="488" t="s">
        <v>120</v>
      </c>
      <c r="AC794" s="133">
        <f ca="1">AC792 - AC793</f>
        <v>-34</v>
      </c>
      <c r="AE794" s="133">
        <f ca="1">INDIRECT(Y$799&amp;AH794)</f>
        <v>46</v>
      </c>
      <c r="AH794" s="133">
        <f ca="1">IF(ISBLANK(INDIRECT(Y$799&amp;AH793-1)), LOOKUP(2,1 / (AH$2:(INDIRECT(Y$799&amp;AH793-2)) &lt;&gt; ""),ROW(AH$2:(INDIRECT(Y$799&amp;AH793-2)))),LOOKUP(2,1 / (AH$2:(INDIRECT(Y$799&amp;AH793-1)) &lt;&gt; ""),ROW(AH$2:(INDIRECT(Y$799&amp;AH793-1)))))</f>
        <v>57</v>
      </c>
      <c r="AK794" s="488" t="s">
        <v>604</v>
      </c>
      <c r="AL794" s="133">
        <f ca="1">COUNTIF(AT2:AT789,"W")</f>
        <v>15</v>
      </c>
      <c r="AN794" s="488" t="s">
        <v>120</v>
      </c>
      <c r="AO794" s="133">
        <f ca="1">AO792 - AO793</f>
        <v>12</v>
      </c>
      <c r="AQ794" s="133">
        <f ca="1">INDIRECT(AK$799&amp;AT794)</f>
        <v>46</v>
      </c>
      <c r="AT794" s="133">
        <f ca="1">IF(ISBLANK(INDIRECT(AK$799&amp;AT793-1)), LOOKUP(2,1 / (AT$2:(INDIRECT(AK$799&amp;AT793-2)) &lt;&gt; ""),ROW(AT$2:(INDIRECT(AK$799&amp;AT793-2)))),LOOKUP(2,1 / (AT$2:(INDIRECT(AK$799&amp;AT793-1)) &lt;&gt; ""),ROW(AT$2:(INDIRECT(AK$799&amp;AT793-1)))))</f>
        <v>57</v>
      </c>
      <c r="AW794" s="488" t="s">
        <v>604</v>
      </c>
      <c r="AX794" s="133">
        <f ca="1">COUNTIF(BF2:BF789,"W")</f>
        <v>18</v>
      </c>
      <c r="AZ794" s="488" t="s">
        <v>120</v>
      </c>
      <c r="BA794" s="133">
        <f ca="1">BA792 - BA793</f>
        <v>19</v>
      </c>
      <c r="BC794" s="133">
        <f ca="1">INDIRECT(AW$799&amp;BF794)</f>
        <v>46</v>
      </c>
      <c r="BF794" s="133">
        <f ca="1">IF(ISBLANK(INDIRECT(AW$799&amp;BF793-1)), LOOKUP(2,1 / (BF$2:(INDIRECT(AW$799&amp;BF793-2)) &lt;&gt; ""),ROW(BF$2:(INDIRECT(AW$799&amp;BF793-2)))),LOOKUP(2,1 / (BF$2:(INDIRECT(AW$799&amp;BF793-1)) &lt;&gt; ""),ROW(BF$2:(INDIRECT(AW$799&amp;BF793-1)))))</f>
        <v>57</v>
      </c>
      <c r="BI794" s="488" t="s">
        <v>604</v>
      </c>
      <c r="BJ794" s="133">
        <f ca="1">COUNTIF(BR2:BR789,"W")</f>
        <v>11</v>
      </c>
      <c r="BL794" s="488" t="s">
        <v>120</v>
      </c>
      <c r="BM794" s="133">
        <f ca="1">BM792 - BM793</f>
        <v>-9</v>
      </c>
      <c r="BO794" s="133">
        <f ca="1">INDIRECT(BI$799&amp;BR794)</f>
        <v>46</v>
      </c>
      <c r="BR794" s="133">
        <f ca="1">IF(ISBLANK(INDIRECT(BI$799&amp;BR793-1)), LOOKUP(2,1 / (BR$2:(INDIRECT(BI$799&amp;BR793-2)) &lt;&gt; ""),ROW(BR$2:(INDIRECT(BI$799&amp;BR793-2)))),LOOKUP(2,1 / (BR$2:(INDIRECT(BI$799&amp;BR793-1)) &lt;&gt; ""),ROW(BR$2:(INDIRECT(BI$799&amp;BR793-1)))))</f>
        <v>57</v>
      </c>
      <c r="BU794" s="488" t="s">
        <v>604</v>
      </c>
      <c r="BV794" s="133">
        <f ca="1">COUNTIF(CD2:CD789,"W")</f>
        <v>11</v>
      </c>
      <c r="BX794" s="488" t="s">
        <v>120</v>
      </c>
      <c r="BY794" s="133">
        <f ca="1">BY792 - BY793</f>
        <v>-9</v>
      </c>
      <c r="CA794" s="133">
        <f ca="1">INDIRECT(BU$799&amp;CD794)</f>
        <v>46</v>
      </c>
      <c r="CD794" s="133">
        <f ca="1">IF(ISBLANK(INDIRECT(BU$799&amp;CD793-1)), LOOKUP(2,1 / (CD$2:(INDIRECT(BU$799&amp;CD793-2)) &lt;&gt; ""),ROW(CD$2:(INDIRECT(BU$799&amp;CD793-2)))),LOOKUP(2,1 / (CD$2:(INDIRECT(BU$799&amp;CD793-1)) &lt;&gt; ""),ROW(CD$2:(INDIRECT(BU$799&amp;CD793-1)))))</f>
        <v>57</v>
      </c>
      <c r="CG794" s="488" t="s">
        <v>604</v>
      </c>
      <c r="CH794" s="133">
        <f ca="1">COUNTIF(CP2:CP789,"W")</f>
        <v>8</v>
      </c>
      <c r="CJ794" s="488" t="s">
        <v>120</v>
      </c>
      <c r="CK794" s="133">
        <f ca="1">CK792 - CK793</f>
        <v>-23</v>
      </c>
      <c r="CM794" s="133">
        <f ca="1">INDIRECT(CG$799&amp;CP794)</f>
        <v>46</v>
      </c>
      <c r="CP794" s="133">
        <f ca="1">IF(ISBLANK(INDIRECT(CG$799&amp;CP793-1)), LOOKUP(2,1 / (CP$2:(INDIRECT(CG$799&amp;CP793-2)) &lt;&gt; ""),ROW(CP$2:(INDIRECT(CG$799&amp;CP793-2)))),LOOKUP(2,1 / (CP$2:(INDIRECT(CG$799&amp;CP793-1)) &lt;&gt; ""),ROW(CP$2:(INDIRECT(CG$799&amp;CP793-1)))))</f>
        <v>57</v>
      </c>
      <c r="CS794" s="488" t="s">
        <v>604</v>
      </c>
      <c r="CT794" s="133">
        <f ca="1">COUNTIF(DB2:DB789,"W")</f>
        <v>15</v>
      </c>
      <c r="CV794" s="488" t="s">
        <v>120</v>
      </c>
      <c r="CW794" s="133">
        <f ca="1">CW792 - CW793</f>
        <v>2</v>
      </c>
      <c r="CY794" s="133">
        <f ca="1">INDIRECT(CS$799&amp;DB794)</f>
        <v>46</v>
      </c>
      <c r="DB794" s="133">
        <f ca="1">IF(ISBLANK(INDIRECT(CS$799&amp;DB793-1)), LOOKUP(2,1 / (DB$2:(INDIRECT(CS$799&amp;DB793-2)) &lt;&gt; ""),ROW(DB$2:(INDIRECT(CS$799&amp;DB793-2)))),LOOKUP(2,1 / (DB$2:(INDIRECT(CS$799&amp;DB793-1)) &lt;&gt; ""),ROW(DB$2:(INDIRECT(CS$799&amp;DB793-1)))))</f>
        <v>57</v>
      </c>
      <c r="DE794" s="488" t="s">
        <v>604</v>
      </c>
      <c r="DF794" s="133">
        <f ca="1">COUNTIF(DN2:DN789,"W")</f>
        <v>7</v>
      </c>
      <c r="DH794" s="488" t="s">
        <v>120</v>
      </c>
      <c r="DI794" s="133">
        <f ca="1">DI792 - DI793</f>
        <v>-30</v>
      </c>
      <c r="DK794" s="133">
        <f ca="1">INDIRECT(DE$799&amp;DN794)</f>
        <v>46</v>
      </c>
      <c r="DN794" s="133">
        <f ca="1">IF(ISBLANK(INDIRECT(DE$799&amp;DN793-1)), LOOKUP(2,1 / (DN$2:(INDIRECT(DE$799&amp;DN793-2)) &lt;&gt; ""),ROW(DN$2:(INDIRECT(DE$799&amp;DN793-2)))),LOOKUP(2,1 / (DN$2:(INDIRECT(DE$799&amp;DN793-1)) &lt;&gt; ""),ROW(DN$2:(INDIRECT(DE$799&amp;DN793-1)))))</f>
        <v>57</v>
      </c>
      <c r="DQ794" s="488" t="s">
        <v>604</v>
      </c>
      <c r="DR794" s="133">
        <f ca="1">COUNTIF(DZ2:DZ789,"W")</f>
        <v>9</v>
      </c>
      <c r="DT794" s="488" t="s">
        <v>120</v>
      </c>
      <c r="DU794" s="133">
        <f ca="1">DU792 - DU793</f>
        <v>-17</v>
      </c>
      <c r="DW794" s="133">
        <f ca="1">INDIRECT(DQ$799&amp;DZ794)</f>
        <v>46</v>
      </c>
      <c r="DZ794" s="133">
        <f ca="1">IF(ISBLANK(INDIRECT(DQ$799&amp;DZ793-1)), LOOKUP(2,1 / (DZ$2:(INDIRECT(DQ$799&amp;DZ793-2)) &lt;&gt; ""),ROW(DZ$2:(INDIRECT(DQ$799&amp;DZ793-2)))),LOOKUP(2,1 / (DZ$2:(INDIRECT(DQ$799&amp;DZ793-1)) &lt;&gt; ""),ROW(DZ$2:(INDIRECT(DQ$799&amp;DZ793-1)))))</f>
        <v>57</v>
      </c>
      <c r="EC794" s="488" t="s">
        <v>604</v>
      </c>
      <c r="ED794" s="133">
        <f ca="1">COUNTIF(EL2:EL789,"W")</f>
        <v>19</v>
      </c>
      <c r="EF794" s="488" t="s">
        <v>120</v>
      </c>
      <c r="EG794" s="133">
        <f ca="1">EG792 - EG793</f>
        <v>28</v>
      </c>
      <c r="EI794" s="133">
        <f ca="1">INDIRECT(EC$799&amp;EL794)</f>
        <v>46</v>
      </c>
      <c r="EL794" s="133">
        <f ca="1">IF(ISBLANK(INDIRECT(EC$799&amp;EL793-1)), LOOKUP(2,1 / (EL$2:(INDIRECT(EC$799&amp;EL793-2)) &lt;&gt; ""),ROW(EL$2:(INDIRECT(EC$799&amp;EL793-2)))),LOOKUP(2,1 / (EL$2:(INDIRECT(EC$799&amp;EL793-1)) &lt;&gt; ""),ROW(EL$2:(INDIRECT(EC$799&amp;EL793-1)))))</f>
        <v>57</v>
      </c>
      <c r="EO794" s="488" t="s">
        <v>604</v>
      </c>
      <c r="EP794" s="133">
        <f ca="1">COUNTIF(EX2:EX789,"W")</f>
        <v>28</v>
      </c>
      <c r="ER794" s="488" t="s">
        <v>120</v>
      </c>
      <c r="ES794" s="133">
        <f ca="1">ES792 - ES793</f>
        <v>61</v>
      </c>
      <c r="EU794" s="133">
        <f ca="1">INDIRECT(EO$799&amp;EX794)</f>
        <v>46</v>
      </c>
      <c r="EX794" s="133">
        <f ca="1">IF(ISBLANK(INDIRECT(EO$799&amp;EX793-1)), LOOKUP(2,1 / (EX$2:(INDIRECT(EO$799&amp;EX793-2)) &lt;&gt; ""),ROW(EX$2:(INDIRECT(EO$799&amp;EX793-2)))),LOOKUP(2,1 / (EX$2:(INDIRECT(EO$799&amp;EX793-1)) &lt;&gt; ""),ROW(EX$2:(INDIRECT(EO$799&amp;EX793-1)))))</f>
        <v>57</v>
      </c>
      <c r="FA794" s="488" t="s">
        <v>604</v>
      </c>
      <c r="FB794" s="133">
        <f ca="1">COUNTIF(FJ2:FJ789,"W")</f>
        <v>23</v>
      </c>
      <c r="FD794" s="488" t="s">
        <v>120</v>
      </c>
      <c r="FE794" s="133">
        <f ca="1">FE792 - FE793</f>
        <v>15</v>
      </c>
      <c r="FG794" s="133">
        <f ca="1">INDIRECT(FA$799&amp;FJ794)</f>
        <v>46</v>
      </c>
      <c r="FJ794" s="133">
        <f ca="1">IF(ISBLANK(INDIRECT(FA$799&amp;FJ793-1)), LOOKUP(2,1 / (FJ$2:(INDIRECT(FA$799&amp;FJ793-2)) &lt;&gt; ""),ROW(FJ$2:(INDIRECT(FA$799&amp;FJ793-2)))),LOOKUP(2,1 / (FJ$2:(INDIRECT(FA$799&amp;FJ793-1)) &lt;&gt; ""),ROW(FJ$2:(INDIRECT(FA$799&amp;FJ793-1)))))</f>
        <v>57</v>
      </c>
      <c r="FM794" s="488" t="s">
        <v>604</v>
      </c>
      <c r="FN794" s="133">
        <f ca="1">COUNTIF(FV2:FV789,"W")</f>
        <v>19</v>
      </c>
      <c r="FP794" s="488" t="s">
        <v>120</v>
      </c>
      <c r="FQ794" s="133">
        <f ca="1">FQ792 - FQ793</f>
        <v>35</v>
      </c>
      <c r="FS794" s="133">
        <f ca="1">INDIRECT(FM$799&amp;FV794)</f>
        <v>46</v>
      </c>
      <c r="FV794" s="133">
        <f ca="1">IF(ISBLANK(INDIRECT(FM$799&amp;FV793-1)), LOOKUP(2,1 / (FV$2:(INDIRECT(FM$799&amp;FV793-2)) &lt;&gt; ""),ROW(FV$2:(INDIRECT(FM$799&amp;FV793-2)))),LOOKUP(2,1 / (FV$2:(INDIRECT(FM$799&amp;FV793-1)) &lt;&gt; ""),ROW(FV$2:(INDIRECT(FM$799&amp;FV793-1)))))</f>
        <v>57</v>
      </c>
      <c r="FY794" s="488" t="s">
        <v>604</v>
      </c>
      <c r="FZ794" s="133">
        <f ca="1">COUNTIF(GH2:GH789,"W")</f>
        <v>9</v>
      </c>
      <c r="GB794" s="488" t="s">
        <v>120</v>
      </c>
      <c r="GC794" s="133">
        <f ca="1">GC792 - GC793</f>
        <v>-30</v>
      </c>
      <c r="GE794" s="133">
        <f ca="1">INDIRECT(FY$799&amp;GH794)</f>
        <v>46</v>
      </c>
      <c r="GH794" s="133">
        <f ca="1">IF(ISBLANK(INDIRECT(FY$799&amp;GH793-1)), LOOKUP(2,1 / (GH$2:(INDIRECT(FY$799&amp;GH793-2)) &lt;&gt; ""),ROW(GH$2:(INDIRECT(FY$799&amp;GH793-2)))),LOOKUP(2,1 / (GH$2:(INDIRECT(FY$799&amp;GH793-1)) &lt;&gt; ""),ROW(GH$2:(INDIRECT(FY$799&amp;GH793-1)))))</f>
        <v>57</v>
      </c>
      <c r="GK794" s="488" t="s">
        <v>604</v>
      </c>
      <c r="GL794" s="133">
        <f ca="1">COUNTIF(GT2:GT789,"W")</f>
        <v>6</v>
      </c>
      <c r="GN794" s="488" t="s">
        <v>120</v>
      </c>
      <c r="GO794" s="133">
        <f ca="1">GO792 - GO793</f>
        <v>-37</v>
      </c>
      <c r="GQ794" s="133">
        <f ca="1">INDIRECT(GK$799&amp;GT794)</f>
        <v>46</v>
      </c>
      <c r="GT794" s="133">
        <f ca="1">IF(ISBLANK(INDIRECT(GK$799&amp;GT793-1)), LOOKUP(2,1 / (GT$2:(INDIRECT(GK$799&amp;GT793-2)) &lt;&gt; ""),ROW(GT$2:(INDIRECT(GK$799&amp;GT793-2)))),LOOKUP(2,1 / (GT$2:(INDIRECT(GK$799&amp;GT793-1)) &lt;&gt; ""),ROW(GT$2:(INDIRECT(GK$799&amp;GT793-1)))))</f>
        <v>57</v>
      </c>
      <c r="GW794" s="488" t="s">
        <v>604</v>
      </c>
      <c r="GX794" s="133">
        <f ca="1">COUNTIF(HF2:HF789,"W")</f>
        <v>18</v>
      </c>
      <c r="GZ794" s="488" t="s">
        <v>120</v>
      </c>
      <c r="HA794" s="133">
        <f ca="1">HA792 - HA793</f>
        <v>7</v>
      </c>
      <c r="HC794" s="133">
        <f ca="1">INDIRECT(GW$799&amp;HF794)</f>
        <v>46</v>
      </c>
      <c r="HF794" s="133">
        <f ca="1">IF(ISBLANK(INDIRECT(GW$799&amp;HF793-1)), LOOKUP(2,1 / (HF$2:(INDIRECT(GW$799&amp;HF793-2)) &lt;&gt; ""),ROW(HF$2:(INDIRECT(GW$799&amp;HF793-2)))),LOOKUP(2,1 / (HF$2:(INDIRECT(GW$799&amp;HF793-1)) &lt;&gt; ""),ROW(HF$2:(INDIRECT(GW$799&amp;HF793-1)))))</f>
        <v>57</v>
      </c>
      <c r="HI794" s="488" t="s">
        <v>604</v>
      </c>
      <c r="HJ794" s="133">
        <f ca="1">COUNTIF(HR2:HR789,"W")</f>
        <v>11</v>
      </c>
      <c r="HL794" s="488" t="s">
        <v>120</v>
      </c>
      <c r="HM794" s="133">
        <f ca="1">HM792 - HM793</f>
        <v>-13</v>
      </c>
      <c r="HO794" s="133">
        <f ca="1">INDIRECT(HI$799&amp;HR794)</f>
        <v>46</v>
      </c>
      <c r="HR794" s="133">
        <f ca="1">IF(ISBLANK(INDIRECT(HI$799&amp;HR793-1)), LOOKUP(2,1 / (HR$2:(INDIRECT(HI$799&amp;HR793-2)) &lt;&gt; ""),ROW(HR$2:(INDIRECT(HI$799&amp;HR793-2)))),LOOKUP(2,1 / (HR$2:(INDIRECT(HI$799&amp;HR793-1)) &lt;&gt; ""),ROW(HR$2:(INDIRECT(HI$799&amp;HR793-1)))))</f>
        <v>57</v>
      </c>
      <c r="HU794" s="488" t="s">
        <v>604</v>
      </c>
      <c r="HV794" s="133">
        <f ca="1">COUNTIF(ID2:ID789,"W")</f>
        <v>11</v>
      </c>
      <c r="HX794" s="488" t="s">
        <v>120</v>
      </c>
      <c r="HY794" s="133">
        <f ca="1">HY792 - HY793</f>
        <v>-27</v>
      </c>
      <c r="IA794" s="133">
        <f ca="1">INDIRECT(HU$799&amp;ID794)</f>
        <v>46</v>
      </c>
      <c r="ID794" s="133">
        <f ca="1">IF(ISBLANK(INDIRECT(HU$799&amp;ID793-1)), LOOKUP(2,1 / (ID$2:(INDIRECT(HU$799&amp;ID793-2)) &lt;&gt; ""),ROW(ID$2:(INDIRECT(HU$799&amp;ID793-2)))),LOOKUP(2,1 / (ID$2:(INDIRECT(HU$799&amp;ID793-1)) &lt;&gt; ""),ROW(ID$2:(INDIRECT(HU$799&amp;ID793-1)))))</f>
        <v>57</v>
      </c>
    </row>
    <row r="795" spans="1:239" hidden="1" x14ac:dyDescent="0.4">
      <c r="A795" s="488" t="s">
        <v>607</v>
      </c>
      <c r="B795" s="133">
        <f ca="1">COUNTIF(J2:J789,"D")</f>
        <v>6</v>
      </c>
      <c r="D795" s="488" t="s">
        <v>122</v>
      </c>
      <c r="E795" s="133" t="str">
        <f ca="1">G792&amp;G793&amp;G794&amp;G795&amp;G796</f>
        <v>4945464748</v>
      </c>
      <c r="G795" s="133">
        <f ca="1">INDIRECT(A$799&amp;J795)</f>
        <v>47</v>
      </c>
      <c r="J795" s="133">
        <f ca="1">IF(ISBLANK(INDIRECT(A$799&amp;J794-1)), LOOKUP(2,1 / (J$2:(INDIRECT(A$799&amp;J794-2)) &lt;&gt; ""),ROW(J$2:(INDIRECT(A$799&amp;J794-2)))),LOOKUP(2,1 / (J$2:(INDIRECT(A$799&amp;J794-1)) &lt;&gt; ""),ROW(J$2:(INDIRECT(A$799&amp;J794-1)))))</f>
        <v>56</v>
      </c>
      <c r="M795" s="488" t="s">
        <v>607</v>
      </c>
      <c r="N795" s="133">
        <f ca="1">COUNTIF(V2:V789,"D")</f>
        <v>7</v>
      </c>
      <c r="P795" s="488" t="s">
        <v>122</v>
      </c>
      <c r="Q795" s="133" t="str">
        <f ca="1">S792&amp;S793&amp;S794&amp;S795&amp;S796</f>
        <v>4944464748</v>
      </c>
      <c r="S795" s="133">
        <f ca="1">INDIRECT(M$799&amp;V795)</f>
        <v>47</v>
      </c>
      <c r="V795" s="133">
        <f ca="1">IF(ISBLANK(INDIRECT(M$799&amp;V794-1)), LOOKUP(2,1 / (V$2:(INDIRECT(M$799&amp;V794-2)) &lt;&gt; ""),ROW(V$2:(INDIRECT(M$799&amp;V794-2)))),LOOKUP(2,1 / (V$2:(INDIRECT(M$799&amp;V794-1)) &lt;&gt; ""),ROW(V$2:(INDIRECT(M$799&amp;V794-1)))))</f>
        <v>56</v>
      </c>
      <c r="Y795" s="488" t="s">
        <v>607</v>
      </c>
      <c r="Z795" s="133">
        <f ca="1">COUNTIF(AH2:AH789,"D")</f>
        <v>6</v>
      </c>
      <c r="AB795" s="488" t="s">
        <v>122</v>
      </c>
      <c r="AC795" s="133" t="str">
        <f ca="1">AE792&amp;AE793&amp;AE794&amp;AE795&amp;AE796</f>
        <v>4944464748</v>
      </c>
      <c r="AE795" s="133">
        <f ca="1">INDIRECT(Y$799&amp;AH795)</f>
        <v>47</v>
      </c>
      <c r="AH795" s="133">
        <f ca="1">IF(ISBLANK(INDIRECT(Y$799&amp;AH794-1)), LOOKUP(2,1 / (AH$2:(INDIRECT(Y$799&amp;AH794-2)) &lt;&gt; ""),ROW(AH$2:(INDIRECT(Y$799&amp;AH794-2)))),LOOKUP(2,1 / (AH$2:(INDIRECT(Y$799&amp;AH794-1)) &lt;&gt; ""),ROW(AH$2:(INDIRECT(Y$799&amp;AH794-1)))))</f>
        <v>56</v>
      </c>
      <c r="AK795" s="488" t="s">
        <v>607</v>
      </c>
      <c r="AL795" s="133">
        <f ca="1">COUNTIF(AT2:AT789,"D")</f>
        <v>14</v>
      </c>
      <c r="AN795" s="488" t="s">
        <v>122</v>
      </c>
      <c r="AO795" s="133" t="str">
        <f ca="1">AQ792&amp;AQ793&amp;AQ794&amp;AQ795&amp;AQ796</f>
        <v>4944464748</v>
      </c>
      <c r="AQ795" s="133">
        <f ca="1">INDIRECT(AK$799&amp;AT795)</f>
        <v>47</v>
      </c>
      <c r="AT795" s="133">
        <f ca="1">IF(ISBLANK(INDIRECT(AK$799&amp;AT794-1)), LOOKUP(2,1 / (AT$2:(INDIRECT(AK$799&amp;AT794-2)) &lt;&gt; ""),ROW(AT$2:(INDIRECT(AK$799&amp;AT794-2)))),LOOKUP(2,1 / (AT$2:(INDIRECT(AK$799&amp;AT794-1)) &lt;&gt; ""),ROW(AT$2:(INDIRECT(AK$799&amp;AT794-1)))))</f>
        <v>56</v>
      </c>
      <c r="AW795" s="488" t="s">
        <v>607</v>
      </c>
      <c r="AX795" s="133">
        <f ca="1">COUNTIF(BF2:BF789,"D")</f>
        <v>8</v>
      </c>
      <c r="AZ795" s="488" t="s">
        <v>122</v>
      </c>
      <c r="BA795" s="133" t="str">
        <f ca="1">BC792&amp;BC793&amp;BC794&amp;BC795&amp;BC796</f>
        <v>4945464748</v>
      </c>
      <c r="BC795" s="133">
        <f ca="1">INDIRECT(AW$799&amp;BF795)</f>
        <v>47</v>
      </c>
      <c r="BF795" s="133">
        <f ca="1">IF(ISBLANK(INDIRECT(AW$799&amp;BF794-1)), LOOKUP(2,1 / (BF$2:(INDIRECT(AW$799&amp;BF794-2)) &lt;&gt; ""),ROW(BF$2:(INDIRECT(AW$799&amp;BF794-2)))),LOOKUP(2,1 / (BF$2:(INDIRECT(AW$799&amp;BF794-1)) &lt;&gt; ""),ROW(BF$2:(INDIRECT(AW$799&amp;BF794-1)))))</f>
        <v>56</v>
      </c>
      <c r="BI795" s="488" t="s">
        <v>607</v>
      </c>
      <c r="BJ795" s="133">
        <f ca="1">COUNTIF(BR2:BR789,"D")</f>
        <v>11</v>
      </c>
      <c r="BL795" s="488" t="s">
        <v>122</v>
      </c>
      <c r="BM795" s="133" t="str">
        <f ca="1">BO792&amp;BO793&amp;BO794&amp;BO795&amp;BO796</f>
        <v>4945464748</v>
      </c>
      <c r="BO795" s="133">
        <f ca="1">INDIRECT(BI$799&amp;BR795)</f>
        <v>47</v>
      </c>
      <c r="BR795" s="133">
        <f ca="1">IF(ISBLANK(INDIRECT(BI$799&amp;BR794-1)), LOOKUP(2,1 / (BR$2:(INDIRECT(BI$799&amp;BR794-2)) &lt;&gt; ""),ROW(BR$2:(INDIRECT(BI$799&amp;BR794-2)))),LOOKUP(2,1 / (BR$2:(INDIRECT(BI$799&amp;BR794-1)) &lt;&gt; ""),ROW(BR$2:(INDIRECT(BI$799&amp;BR794-1)))))</f>
        <v>56</v>
      </c>
      <c r="BU795" s="488" t="s">
        <v>607</v>
      </c>
      <c r="BV795" s="133">
        <f ca="1">COUNTIF(CD2:CD789,"D")</f>
        <v>12</v>
      </c>
      <c r="BX795" s="488" t="s">
        <v>122</v>
      </c>
      <c r="BY795" s="133" t="str">
        <f ca="1">CA792&amp;CA793&amp;CA794&amp;CA795&amp;CA796</f>
        <v>4944464748</v>
      </c>
      <c r="CA795" s="133">
        <f ca="1">INDIRECT(BU$799&amp;CD795)</f>
        <v>47</v>
      </c>
      <c r="CD795" s="133">
        <f ca="1">IF(ISBLANK(INDIRECT(BU$799&amp;CD794-1)), LOOKUP(2,1 / (CD$2:(INDIRECT(BU$799&amp;CD794-2)) &lt;&gt; ""),ROW(CD$2:(INDIRECT(BU$799&amp;CD794-2)))),LOOKUP(2,1 / (CD$2:(INDIRECT(BU$799&amp;CD794-1)) &lt;&gt; ""),ROW(CD$2:(INDIRECT(BU$799&amp;CD794-1)))))</f>
        <v>56</v>
      </c>
      <c r="CG795" s="488" t="s">
        <v>607</v>
      </c>
      <c r="CH795" s="133">
        <f ca="1">COUNTIF(CP2:CP789,"D")</f>
        <v>12</v>
      </c>
      <c r="CJ795" s="488" t="s">
        <v>122</v>
      </c>
      <c r="CK795" s="133" t="str">
        <f ca="1">CM792&amp;CM793&amp;CM794&amp;CM795&amp;CM796</f>
        <v>4945464748</v>
      </c>
      <c r="CM795" s="133">
        <f ca="1">INDIRECT(CG$799&amp;CP795)</f>
        <v>47</v>
      </c>
      <c r="CP795" s="133">
        <f ca="1">IF(ISBLANK(INDIRECT(CG$799&amp;CP794-1)), LOOKUP(2,1 / (CP$2:(INDIRECT(CG$799&amp;CP794-2)) &lt;&gt; ""),ROW(CP$2:(INDIRECT(CG$799&amp;CP794-2)))),LOOKUP(2,1 / (CP$2:(INDIRECT(CG$799&amp;CP794-1)) &lt;&gt; ""),ROW(CP$2:(INDIRECT(CG$799&amp;CP794-1)))))</f>
        <v>56</v>
      </c>
      <c r="CS795" s="488" t="s">
        <v>607</v>
      </c>
      <c r="CT795" s="133">
        <f ca="1">COUNTIF(DB2:DB789,"D")</f>
        <v>7</v>
      </c>
      <c r="CV795" s="488" t="s">
        <v>122</v>
      </c>
      <c r="CW795" s="133" t="str">
        <f ca="1">CY792&amp;CY793&amp;CY794&amp;CY795&amp;CY796</f>
        <v>4945464748</v>
      </c>
      <c r="CY795" s="133">
        <f ca="1">INDIRECT(CS$799&amp;DB795)</f>
        <v>47</v>
      </c>
      <c r="DB795" s="133">
        <f ca="1">IF(ISBLANK(INDIRECT(CS$799&amp;DB794-1)), LOOKUP(2,1 / (DB$2:(INDIRECT(CS$799&amp;DB794-2)) &lt;&gt; ""),ROW(DB$2:(INDIRECT(CS$799&amp;DB794-2)))),LOOKUP(2,1 / (DB$2:(INDIRECT(CS$799&amp;DB794-1)) &lt;&gt; ""),ROW(DB$2:(INDIRECT(CS$799&amp;DB794-1)))))</f>
        <v>56</v>
      </c>
      <c r="DE795" s="488" t="s">
        <v>607</v>
      </c>
      <c r="DF795" s="133">
        <f ca="1">COUNTIF(DN2:DN789,"D")</f>
        <v>10</v>
      </c>
      <c r="DH795" s="488" t="s">
        <v>122</v>
      </c>
      <c r="DI795" s="133" t="str">
        <f ca="1">DK792&amp;DK793&amp;DK794&amp;DK795&amp;DK796</f>
        <v>4944464748</v>
      </c>
      <c r="DK795" s="133">
        <f ca="1">INDIRECT(DE$799&amp;DN795)</f>
        <v>47</v>
      </c>
      <c r="DN795" s="133">
        <f ca="1">IF(ISBLANK(INDIRECT(DE$799&amp;DN794-1)), LOOKUP(2,1 / (DN$2:(INDIRECT(DE$799&amp;DN794-2)) &lt;&gt; ""),ROW(DN$2:(INDIRECT(DE$799&amp;DN794-2)))),LOOKUP(2,1 / (DN$2:(INDIRECT(DE$799&amp;DN794-1)) &lt;&gt; ""),ROW(DN$2:(INDIRECT(DE$799&amp;DN794-1)))))</f>
        <v>56</v>
      </c>
      <c r="DQ795" s="488" t="s">
        <v>607</v>
      </c>
      <c r="DR795" s="133">
        <f ca="1">COUNTIF(DZ2:DZ789,"D")</f>
        <v>7</v>
      </c>
      <c r="DT795" s="488" t="s">
        <v>122</v>
      </c>
      <c r="DU795" s="133" t="str">
        <f ca="1">DW792&amp;DW793&amp;DW794&amp;DW795&amp;DW796</f>
        <v>4945464748</v>
      </c>
      <c r="DW795" s="133">
        <f ca="1">INDIRECT(DQ$799&amp;DZ795)</f>
        <v>47</v>
      </c>
      <c r="DZ795" s="133">
        <f ca="1">IF(ISBLANK(INDIRECT(DQ$799&amp;DZ794-1)), LOOKUP(2,1 / (DZ$2:(INDIRECT(DQ$799&amp;DZ794-2)) &lt;&gt; ""),ROW(DZ$2:(INDIRECT(DQ$799&amp;DZ794-2)))),LOOKUP(2,1 / (DZ$2:(INDIRECT(DQ$799&amp;DZ794-1)) &lt;&gt; ""),ROW(DZ$2:(INDIRECT(DQ$799&amp;DZ794-1)))))</f>
        <v>56</v>
      </c>
      <c r="EC795" s="488" t="s">
        <v>607</v>
      </c>
      <c r="ED795" s="133">
        <f ca="1">COUNTIF(EL2:EL789,"D")</f>
        <v>10</v>
      </c>
      <c r="EF795" s="488" t="s">
        <v>122</v>
      </c>
      <c r="EG795" s="133" t="str">
        <f ca="1">EI792&amp;EI793&amp;EI794&amp;EI795&amp;EI796</f>
        <v>4945464748</v>
      </c>
      <c r="EI795" s="133">
        <f ca="1">INDIRECT(EC$799&amp;EL795)</f>
        <v>47</v>
      </c>
      <c r="EL795" s="133">
        <f ca="1">IF(ISBLANK(INDIRECT(EC$799&amp;EL794-1)), LOOKUP(2,1 / (EL$2:(INDIRECT(EC$799&amp;EL794-2)) &lt;&gt; ""),ROW(EL$2:(INDIRECT(EC$799&amp;EL794-2)))),LOOKUP(2,1 / (EL$2:(INDIRECT(EC$799&amp;EL794-1)) &lt;&gt; ""),ROW(EL$2:(INDIRECT(EC$799&amp;EL794-1)))))</f>
        <v>56</v>
      </c>
      <c r="EO795" s="488" t="s">
        <v>607</v>
      </c>
      <c r="EP795" s="133">
        <f ca="1">COUNTIF(EX2:EX789,"D")</f>
        <v>5</v>
      </c>
      <c r="ER795" s="488" t="s">
        <v>122</v>
      </c>
      <c r="ES795" s="133" t="str">
        <f ca="1">EU792&amp;EU793&amp;EU794&amp;EU795&amp;EU796</f>
        <v>4945464748</v>
      </c>
      <c r="EU795" s="133">
        <f ca="1">INDIRECT(EO$799&amp;EX795)</f>
        <v>47</v>
      </c>
      <c r="EX795" s="133">
        <f ca="1">IF(ISBLANK(INDIRECT(EO$799&amp;EX794-1)), LOOKUP(2,1 / (EX$2:(INDIRECT(EO$799&amp;EX794-2)) &lt;&gt; ""),ROW(EX$2:(INDIRECT(EO$799&amp;EX794-2)))),LOOKUP(2,1 / (EX$2:(INDIRECT(EO$799&amp;EX794-1)) &lt;&gt; ""),ROW(EX$2:(INDIRECT(EO$799&amp;EX794-1)))))</f>
        <v>56</v>
      </c>
      <c r="FA795" s="488" t="s">
        <v>607</v>
      </c>
      <c r="FB795" s="133">
        <f ca="1">COUNTIF(FJ2:FJ789,"D")</f>
        <v>6</v>
      </c>
      <c r="FD795" s="488" t="s">
        <v>122</v>
      </c>
      <c r="FE795" s="133" t="str">
        <f ca="1">FG792&amp;FG793&amp;FG794&amp;FG795&amp;FG796</f>
        <v>4945464748</v>
      </c>
      <c r="FG795" s="133">
        <f ca="1">INDIRECT(FA$799&amp;FJ795)</f>
        <v>47</v>
      </c>
      <c r="FJ795" s="133">
        <f ca="1">IF(ISBLANK(INDIRECT(FA$799&amp;FJ794-1)), LOOKUP(2,1 / (FJ$2:(INDIRECT(FA$799&amp;FJ794-2)) &lt;&gt; ""),ROW(FJ$2:(INDIRECT(FA$799&amp;FJ794-2)))),LOOKUP(2,1 / (FJ$2:(INDIRECT(FA$799&amp;FJ794-1)) &lt;&gt; ""),ROW(FJ$2:(INDIRECT(FA$799&amp;FJ794-1)))))</f>
        <v>56</v>
      </c>
      <c r="FM795" s="488" t="s">
        <v>607</v>
      </c>
      <c r="FN795" s="133">
        <f ca="1">COUNTIF(FV2:FV789,"D")</f>
        <v>14</v>
      </c>
      <c r="FP795" s="488" t="s">
        <v>122</v>
      </c>
      <c r="FQ795" s="133" t="str">
        <f ca="1">FS792&amp;FS793&amp;FS794&amp;FS795&amp;FS796</f>
        <v>4945464748</v>
      </c>
      <c r="FS795" s="133">
        <f ca="1">INDIRECT(FM$799&amp;FV795)</f>
        <v>47</v>
      </c>
      <c r="FV795" s="133">
        <f ca="1">IF(ISBLANK(INDIRECT(FM$799&amp;FV794-1)), LOOKUP(2,1 / (FV$2:(INDIRECT(FM$799&amp;FV794-2)) &lt;&gt; ""),ROW(FV$2:(INDIRECT(FM$799&amp;FV794-2)))),LOOKUP(2,1 / (FV$2:(INDIRECT(FM$799&amp;FV794-1)) &lt;&gt; ""),ROW(FV$2:(INDIRECT(FM$799&amp;FV794-1)))))</f>
        <v>56</v>
      </c>
      <c r="FY795" s="488" t="s">
        <v>607</v>
      </c>
      <c r="FZ795" s="133">
        <f ca="1">COUNTIF(GH2:GH789,"D")</f>
        <v>11</v>
      </c>
      <c r="GB795" s="488" t="s">
        <v>122</v>
      </c>
      <c r="GC795" s="133" t="str">
        <f ca="1">GE792&amp;GE793&amp;GE794&amp;GE795&amp;GE796</f>
        <v>4944464748</v>
      </c>
      <c r="GE795" s="133">
        <f ca="1">INDIRECT(FY$799&amp;GH795)</f>
        <v>47</v>
      </c>
      <c r="GH795" s="133">
        <f ca="1">IF(ISBLANK(INDIRECT(FY$799&amp;GH794-1)), LOOKUP(2,1 / (GH$2:(INDIRECT(FY$799&amp;GH794-2)) &lt;&gt; ""),ROW(GH$2:(INDIRECT(FY$799&amp;GH794-2)))),LOOKUP(2,1 / (GH$2:(INDIRECT(FY$799&amp;GH794-1)) &lt;&gt; ""),ROW(GH$2:(INDIRECT(FY$799&amp;GH794-1)))))</f>
        <v>56</v>
      </c>
      <c r="GK795" s="488" t="s">
        <v>607</v>
      </c>
      <c r="GL795" s="133">
        <f ca="1">COUNTIF(GT2:GT789,"D")</f>
        <v>7</v>
      </c>
      <c r="GN795" s="488" t="s">
        <v>122</v>
      </c>
      <c r="GO795" s="133" t="str">
        <f ca="1">GQ792&amp;GQ793&amp;GQ794&amp;GQ795&amp;GQ796</f>
        <v>4944464748</v>
      </c>
      <c r="GQ795" s="133">
        <f ca="1">INDIRECT(GK$799&amp;GT795)</f>
        <v>47</v>
      </c>
      <c r="GT795" s="133">
        <f ca="1">IF(ISBLANK(INDIRECT(GK$799&amp;GT794-1)), LOOKUP(2,1 / (GT$2:(INDIRECT(GK$799&amp;GT794-2)) &lt;&gt; ""),ROW(GT$2:(INDIRECT(GK$799&amp;GT794-2)))),LOOKUP(2,1 / (GT$2:(INDIRECT(GK$799&amp;GT794-1)) &lt;&gt; ""),ROW(GT$2:(INDIRECT(GK$799&amp;GT794-1)))))</f>
        <v>56</v>
      </c>
      <c r="GW795" s="488" t="s">
        <v>607</v>
      </c>
      <c r="GX795" s="133">
        <f ca="1">COUNTIF(HF2:HF789,"D")</f>
        <v>6</v>
      </c>
      <c r="GZ795" s="488" t="s">
        <v>122</v>
      </c>
      <c r="HA795" s="133" t="str">
        <f ca="1">HC792&amp;HC793&amp;HC794&amp;HC795&amp;HC796</f>
        <v>4944464748</v>
      </c>
      <c r="HC795" s="133">
        <f ca="1">INDIRECT(GW$799&amp;HF795)</f>
        <v>47</v>
      </c>
      <c r="HF795" s="133">
        <f ca="1">IF(ISBLANK(INDIRECT(GW$799&amp;HF794-1)), LOOKUP(2,1 / (HF$2:(INDIRECT(GW$799&amp;HF794-2)) &lt;&gt; ""),ROW(HF$2:(INDIRECT(GW$799&amp;HF794-2)))),LOOKUP(2,1 / (HF$2:(INDIRECT(GW$799&amp;HF794-1)) &lt;&gt; ""),ROW(HF$2:(INDIRECT(GW$799&amp;HF794-1)))))</f>
        <v>56</v>
      </c>
      <c r="HI795" s="488" t="s">
        <v>607</v>
      </c>
      <c r="HJ795" s="133">
        <f ca="1">COUNTIF(HR2:HR789,"D")</f>
        <v>7</v>
      </c>
      <c r="HL795" s="488" t="s">
        <v>122</v>
      </c>
      <c r="HM795" s="133" t="str">
        <f ca="1">HO792&amp;HO793&amp;HO794&amp;HO795&amp;HO796</f>
        <v>4945464748</v>
      </c>
      <c r="HO795" s="133">
        <f ca="1">INDIRECT(HI$799&amp;HR795)</f>
        <v>47</v>
      </c>
      <c r="HR795" s="133">
        <f ca="1">IF(ISBLANK(INDIRECT(HI$799&amp;HR794-1)), LOOKUP(2,1 / (HR$2:(INDIRECT(HI$799&amp;HR794-2)) &lt;&gt; ""),ROW(HR$2:(INDIRECT(HI$799&amp;HR794-2)))),LOOKUP(2,1 / (HR$2:(INDIRECT(HI$799&amp;HR794-1)) &lt;&gt; ""),ROW(HR$2:(INDIRECT(HI$799&amp;HR794-1)))))</f>
        <v>56</v>
      </c>
      <c r="HU795" s="488" t="s">
        <v>607</v>
      </c>
      <c r="HV795" s="133">
        <f ca="1">COUNTIF(ID2:ID789,"D")</f>
        <v>8</v>
      </c>
      <c r="HX795" s="488" t="s">
        <v>122</v>
      </c>
      <c r="HY795" s="133" t="str">
        <f ca="1">IA792&amp;IA793&amp;IA794&amp;IA795&amp;IA796</f>
        <v>4944464748</v>
      </c>
      <c r="IA795" s="133">
        <f ca="1">INDIRECT(HU$799&amp;ID795)</f>
        <v>47</v>
      </c>
      <c r="ID795" s="133">
        <f ca="1">IF(ISBLANK(INDIRECT(HU$799&amp;ID794-1)), LOOKUP(2,1 / (ID$2:(INDIRECT(HU$799&amp;ID794-2)) &lt;&gt; ""),ROW(ID$2:(INDIRECT(HU$799&amp;ID794-2)))),LOOKUP(2,1 / (ID$2:(INDIRECT(HU$799&amp;ID794-1)) &lt;&gt; ""),ROW(ID$2:(INDIRECT(HU$799&amp;ID794-1)))))</f>
        <v>56</v>
      </c>
    </row>
    <row r="796" spans="1:239" hidden="1" x14ac:dyDescent="0.4">
      <c r="A796" s="488" t="s">
        <v>605</v>
      </c>
      <c r="B796" s="133">
        <f ca="1">COUNTIF(J2:J789,"L")</f>
        <v>6</v>
      </c>
      <c r="D796" s="488" t="s">
        <v>610</v>
      </c>
      <c r="E796" s="133" t="str">
        <f ca="1">INDIRECT(B799&amp;J797)</f>
        <v>H</v>
      </c>
      <c r="G796" s="133">
        <f ca="1">INDIRECT(A$799&amp;J796)</f>
        <v>48</v>
      </c>
      <c r="J796" s="133">
        <f ca="1">IF(ISBLANK(INDIRECT(A$799&amp;J795-1)), LOOKUP(2,1 / (J$2:(INDIRECT(A$799&amp;J795-2)) &lt;&gt; ""),ROW(J$2:(INDIRECT(A$799&amp;J795-2)))),LOOKUP(2,1 / (J$2:(INDIRECT(A$799&amp;J795-1)) &lt;&gt; ""),ROW(J$2:(INDIRECT(A$799&amp;J795-1)))))</f>
        <v>55</v>
      </c>
      <c r="M796" s="488" t="s">
        <v>605</v>
      </c>
      <c r="N796" s="133">
        <f ca="1">COUNTIF(V2:V789,"L")</f>
        <v>13</v>
      </c>
      <c r="P796" s="488" t="s">
        <v>610</v>
      </c>
      <c r="Q796" s="133" t="str">
        <f ca="1">INDIRECT(N799&amp;V797)</f>
        <v>H</v>
      </c>
      <c r="S796" s="133">
        <f ca="1">INDIRECT(M$799&amp;V796)</f>
        <v>48</v>
      </c>
      <c r="V796" s="133">
        <f ca="1">IF(ISBLANK(INDIRECT(M$799&amp;V795-1)), LOOKUP(2,1 / (V$2:(INDIRECT(M$799&amp;V795-2)) &lt;&gt; ""),ROW(V$2:(INDIRECT(M$799&amp;V795-2)))),LOOKUP(2,1 / (V$2:(INDIRECT(M$799&amp;V795-1)) &lt;&gt; ""),ROW(V$2:(INDIRECT(M$799&amp;V795-1)))))</f>
        <v>55</v>
      </c>
      <c r="Y796" s="488" t="s">
        <v>605</v>
      </c>
      <c r="Z796" s="133">
        <f ca="1">COUNTIF(AH2:AH789,"L")</f>
        <v>21</v>
      </c>
      <c r="AB796" s="488" t="s">
        <v>610</v>
      </c>
      <c r="AC796" s="133" t="str">
        <f ca="1">INDIRECT(Z799&amp;AH797)</f>
        <v>A</v>
      </c>
      <c r="AE796" s="133">
        <f ca="1">INDIRECT(Y$799&amp;AH796)</f>
        <v>48</v>
      </c>
      <c r="AH796" s="133">
        <f ca="1">IF(ISBLANK(INDIRECT(Y$799&amp;AH795-1)), LOOKUP(2,1 / (AH$2:(INDIRECT(Y$799&amp;AH795-2)) &lt;&gt; ""),ROW(AH$2:(INDIRECT(Y$799&amp;AH795-2)))),LOOKUP(2,1 / (AH$2:(INDIRECT(Y$799&amp;AH795-1)) &lt;&gt; ""),ROW(AH$2:(INDIRECT(Y$799&amp;AH795-1)))))</f>
        <v>55</v>
      </c>
      <c r="AK796" s="488" t="s">
        <v>605</v>
      </c>
      <c r="AL796" s="133">
        <f ca="1">COUNTIF(AT2:AT789,"L")</f>
        <v>9</v>
      </c>
      <c r="AN796" s="488" t="s">
        <v>610</v>
      </c>
      <c r="AO796" s="133" t="str">
        <f ca="1">INDIRECT(AL799&amp;AT797)</f>
        <v>H</v>
      </c>
      <c r="AQ796" s="133">
        <f ca="1">INDIRECT(AK$799&amp;AT796)</f>
        <v>48</v>
      </c>
      <c r="AT796" s="133">
        <f ca="1">IF(ISBLANK(INDIRECT(AK$799&amp;AT795-1)), LOOKUP(2,1 / (AT$2:(INDIRECT(AK$799&amp;AT795-2)) &lt;&gt; ""),ROW(AT$2:(INDIRECT(AK$799&amp;AT795-2)))),LOOKUP(2,1 / (AT$2:(INDIRECT(AK$799&amp;AT795-1)) &lt;&gt; ""),ROW(AT$2:(INDIRECT(AK$799&amp;AT795-1)))))</f>
        <v>55</v>
      </c>
      <c r="AW796" s="488" t="s">
        <v>605</v>
      </c>
      <c r="AX796" s="133">
        <f ca="1">COUNTIF(BF2:BF789,"L")</f>
        <v>12</v>
      </c>
      <c r="AZ796" s="488" t="s">
        <v>610</v>
      </c>
      <c r="BA796" s="133" t="str">
        <f ca="1">INDIRECT(AX799&amp;BF797)</f>
        <v>A</v>
      </c>
      <c r="BC796" s="133">
        <f ca="1">INDIRECT(AW$799&amp;BF796)</f>
        <v>48</v>
      </c>
      <c r="BF796" s="133">
        <f ca="1">IF(ISBLANK(INDIRECT(AW$799&amp;BF795-1)), LOOKUP(2,1 / (BF$2:(INDIRECT(AW$799&amp;BF795-2)) &lt;&gt; ""),ROW(BF$2:(INDIRECT(AW$799&amp;BF795-2)))),LOOKUP(2,1 / (BF$2:(INDIRECT(AW$799&amp;BF795-1)) &lt;&gt; ""),ROW(BF$2:(INDIRECT(AW$799&amp;BF795-1)))))</f>
        <v>55</v>
      </c>
      <c r="BI796" s="488" t="s">
        <v>605</v>
      </c>
      <c r="BJ796" s="133">
        <f ca="1">COUNTIF(BR2:BR789,"L")</f>
        <v>16</v>
      </c>
      <c r="BL796" s="488" t="s">
        <v>610</v>
      </c>
      <c r="BM796" s="133" t="str">
        <f ca="1">INDIRECT(BJ799&amp;BR797)</f>
        <v>H</v>
      </c>
      <c r="BO796" s="133">
        <f ca="1">INDIRECT(BI$799&amp;BR796)</f>
        <v>48</v>
      </c>
      <c r="BR796" s="133">
        <f ca="1">IF(ISBLANK(INDIRECT(BI$799&amp;BR795-1)), LOOKUP(2,1 / (BR$2:(INDIRECT(BI$799&amp;BR795-2)) &lt;&gt; ""),ROW(BR$2:(INDIRECT(BI$799&amp;BR795-2)))),LOOKUP(2,1 / (BR$2:(INDIRECT(BI$799&amp;BR795-1)) &lt;&gt; ""),ROW(BR$2:(INDIRECT(BI$799&amp;BR795-1)))))</f>
        <v>55</v>
      </c>
      <c r="BU796" s="488" t="s">
        <v>605</v>
      </c>
      <c r="BV796" s="133">
        <f ca="1">COUNTIF(CD2:CD789,"L")</f>
        <v>15</v>
      </c>
      <c r="BX796" s="488" t="s">
        <v>610</v>
      </c>
      <c r="BY796" s="133" t="str">
        <f ca="1">INDIRECT(BV799&amp;CD797)</f>
        <v>H</v>
      </c>
      <c r="CA796" s="133">
        <f ca="1">INDIRECT(BU$799&amp;CD796)</f>
        <v>48</v>
      </c>
      <c r="CD796" s="133">
        <f ca="1">IF(ISBLANK(INDIRECT(BU$799&amp;CD795-1)), LOOKUP(2,1 / (CD$2:(INDIRECT(BU$799&amp;CD795-2)) &lt;&gt; ""),ROW(CD$2:(INDIRECT(BU$799&amp;CD795-2)))),LOOKUP(2,1 / (CD$2:(INDIRECT(BU$799&amp;CD795-1)) &lt;&gt; ""),ROW(CD$2:(INDIRECT(BU$799&amp;CD795-1)))))</f>
        <v>55</v>
      </c>
      <c r="CG796" s="488" t="s">
        <v>605</v>
      </c>
      <c r="CH796" s="133">
        <f ca="1">COUNTIF(CP2:CP789,"L")</f>
        <v>18</v>
      </c>
      <c r="CJ796" s="488" t="s">
        <v>610</v>
      </c>
      <c r="CK796" s="133" t="str">
        <f ca="1">INDIRECT(CH799&amp;CP797)</f>
        <v>H</v>
      </c>
      <c r="CM796" s="133">
        <f ca="1">INDIRECT(CG$799&amp;CP796)</f>
        <v>48</v>
      </c>
      <c r="CP796" s="133">
        <f ca="1">IF(ISBLANK(INDIRECT(CG$799&amp;CP795-1)), LOOKUP(2,1 / (CP$2:(INDIRECT(CG$799&amp;CP795-2)) &lt;&gt; ""),ROW(CP$2:(INDIRECT(CG$799&amp;CP795-2)))),LOOKUP(2,1 / (CP$2:(INDIRECT(CG$799&amp;CP795-1)) &lt;&gt; ""),ROW(CP$2:(INDIRECT(CG$799&amp;CP795-1)))))</f>
        <v>55</v>
      </c>
      <c r="CS796" s="488" t="s">
        <v>605</v>
      </c>
      <c r="CT796" s="133">
        <f ca="1">COUNTIF(DB2:DB789,"L")</f>
        <v>16</v>
      </c>
      <c r="CV796" s="488" t="s">
        <v>610</v>
      </c>
      <c r="CW796" s="133" t="str">
        <f ca="1">INDIRECT(CT799&amp;DB797)</f>
        <v>A</v>
      </c>
      <c r="CY796" s="133">
        <f ca="1">INDIRECT(CS$799&amp;DB796)</f>
        <v>48</v>
      </c>
      <c r="DB796" s="133">
        <f ca="1">IF(ISBLANK(INDIRECT(CS$799&amp;DB795-1)), LOOKUP(2,1 / (DB$2:(INDIRECT(CS$799&amp;DB795-2)) &lt;&gt; ""),ROW(DB$2:(INDIRECT(CS$799&amp;DB795-2)))),LOOKUP(2,1 / (DB$2:(INDIRECT(CS$799&amp;DB795-1)) &lt;&gt; ""),ROW(DB$2:(INDIRECT(CS$799&amp;DB795-1)))))</f>
        <v>55</v>
      </c>
      <c r="DE796" s="488" t="s">
        <v>605</v>
      </c>
      <c r="DF796" s="133">
        <f ca="1">COUNTIF(DN2:DN789,"L")</f>
        <v>21</v>
      </c>
      <c r="DH796" s="488" t="s">
        <v>610</v>
      </c>
      <c r="DI796" s="133" t="str">
        <f ca="1">INDIRECT(DF799&amp;DN797)</f>
        <v>H</v>
      </c>
      <c r="DK796" s="133">
        <f ca="1">INDIRECT(DE$799&amp;DN796)</f>
        <v>48</v>
      </c>
      <c r="DN796" s="133">
        <f ca="1">IF(ISBLANK(INDIRECT(DE$799&amp;DN795-1)), LOOKUP(2,1 / (DN$2:(INDIRECT(DE$799&amp;DN795-2)) &lt;&gt; ""),ROW(DN$2:(INDIRECT(DE$799&amp;DN795-2)))),LOOKUP(2,1 / (DN$2:(INDIRECT(DE$799&amp;DN795-1)) &lt;&gt; ""),ROW(DN$2:(INDIRECT(DE$799&amp;DN795-1)))))</f>
        <v>55</v>
      </c>
      <c r="DQ796" s="488" t="s">
        <v>605</v>
      </c>
      <c r="DR796" s="133">
        <f ca="1">COUNTIF(DZ2:DZ789,"L")</f>
        <v>22</v>
      </c>
      <c r="DT796" s="488" t="s">
        <v>610</v>
      </c>
      <c r="DU796" s="133" t="str">
        <f ca="1">INDIRECT(DR799&amp;DZ797)</f>
        <v>H</v>
      </c>
      <c r="DW796" s="133">
        <f ca="1">INDIRECT(DQ$799&amp;DZ796)</f>
        <v>48</v>
      </c>
      <c r="DZ796" s="133">
        <f ca="1">IF(ISBLANK(INDIRECT(DQ$799&amp;DZ795-1)), LOOKUP(2,1 / (DZ$2:(INDIRECT(DQ$799&amp;DZ795-2)) &lt;&gt; ""),ROW(DZ$2:(INDIRECT(DQ$799&amp;DZ795-2)))),LOOKUP(2,1 / (DZ$2:(INDIRECT(DQ$799&amp;DZ795-1)) &lt;&gt; ""),ROW(DZ$2:(INDIRECT(DQ$799&amp;DZ795-1)))))</f>
        <v>55</v>
      </c>
      <c r="EC796" s="488" t="s">
        <v>605</v>
      </c>
      <c r="ED796" s="133">
        <f ca="1">COUNTIF(EL2:EL789,"L")</f>
        <v>9</v>
      </c>
      <c r="EF796" s="488" t="s">
        <v>610</v>
      </c>
      <c r="EG796" s="133" t="str">
        <f ca="1">INDIRECT(ED799&amp;EL797)</f>
        <v>A</v>
      </c>
      <c r="EI796" s="133">
        <f ca="1">INDIRECT(EC$799&amp;EL796)</f>
        <v>48</v>
      </c>
      <c r="EL796" s="133">
        <f ca="1">IF(ISBLANK(INDIRECT(EC$799&amp;EL795-1)), LOOKUP(2,1 / (EL$2:(INDIRECT(EC$799&amp;EL795-2)) &lt;&gt; ""),ROW(EL$2:(INDIRECT(EC$799&amp;EL795-2)))),LOOKUP(2,1 / (EL$2:(INDIRECT(EC$799&amp;EL795-1)) &lt;&gt; ""),ROW(EL$2:(INDIRECT(EC$799&amp;EL795-1)))))</f>
        <v>55</v>
      </c>
      <c r="EO796" s="488" t="s">
        <v>605</v>
      </c>
      <c r="EP796" s="133">
        <f ca="1">COUNTIF(EX2:EX789,"L")</f>
        <v>5</v>
      </c>
      <c r="ER796" s="488" t="s">
        <v>610</v>
      </c>
      <c r="ES796" s="133" t="str">
        <f ca="1">INDIRECT(EP799&amp;EX797)</f>
        <v>A</v>
      </c>
      <c r="EU796" s="133">
        <f ca="1">INDIRECT(EO$799&amp;EX796)</f>
        <v>48</v>
      </c>
      <c r="EX796" s="133">
        <f ca="1">IF(ISBLANK(INDIRECT(EO$799&amp;EX795-1)), LOOKUP(2,1 / (EX$2:(INDIRECT(EO$799&amp;EX795-2)) &lt;&gt; ""),ROW(EX$2:(INDIRECT(EO$799&amp;EX795-2)))),LOOKUP(2,1 / (EX$2:(INDIRECT(EO$799&amp;EX795-1)) &lt;&gt; ""),ROW(EX$2:(INDIRECT(EO$799&amp;EX795-1)))))</f>
        <v>55</v>
      </c>
      <c r="FA796" s="488" t="s">
        <v>605</v>
      </c>
      <c r="FB796" s="133">
        <f ca="1">COUNTIF(FJ2:FJ789,"L")</f>
        <v>9</v>
      </c>
      <c r="FD796" s="488" t="s">
        <v>610</v>
      </c>
      <c r="FE796" s="133" t="str">
        <f ca="1">INDIRECT(FB799&amp;FJ797)</f>
        <v>H</v>
      </c>
      <c r="FG796" s="133">
        <f ca="1">INDIRECT(FA$799&amp;FJ796)</f>
        <v>48</v>
      </c>
      <c r="FJ796" s="133">
        <f ca="1">IF(ISBLANK(INDIRECT(FA$799&amp;FJ795-1)), LOOKUP(2,1 / (FJ$2:(INDIRECT(FA$799&amp;FJ795-2)) &lt;&gt; ""),ROW(FJ$2:(INDIRECT(FA$799&amp;FJ795-2)))),LOOKUP(2,1 / (FJ$2:(INDIRECT(FA$799&amp;FJ795-1)) &lt;&gt; ""),ROW(FJ$2:(INDIRECT(FA$799&amp;FJ795-1)))))</f>
        <v>55</v>
      </c>
      <c r="FM796" s="488" t="s">
        <v>605</v>
      </c>
      <c r="FN796" s="133">
        <f ca="1">COUNTIF(FV2:FV789,"L")</f>
        <v>5</v>
      </c>
      <c r="FP796" s="488" t="s">
        <v>610</v>
      </c>
      <c r="FQ796" s="133" t="str">
        <f ca="1">INDIRECT(FN799&amp;FV797)</f>
        <v>A</v>
      </c>
      <c r="FS796" s="133">
        <f ca="1">INDIRECT(FM$799&amp;FV796)</f>
        <v>48</v>
      </c>
      <c r="FV796" s="133">
        <f ca="1">IF(ISBLANK(INDIRECT(FM$799&amp;FV795-1)), LOOKUP(2,1 / (FV$2:(INDIRECT(FM$799&amp;FV795-2)) &lt;&gt; ""),ROW(FV$2:(INDIRECT(FM$799&amp;FV795-2)))),LOOKUP(2,1 / (FV$2:(INDIRECT(FM$799&amp;FV795-1)) &lt;&gt; ""),ROW(FV$2:(INDIRECT(FM$799&amp;FV795-1)))))</f>
        <v>55</v>
      </c>
      <c r="FY796" s="488" t="s">
        <v>605</v>
      </c>
      <c r="FZ796" s="133">
        <f ca="1">COUNTIF(GH2:GH789,"L")</f>
        <v>18</v>
      </c>
      <c r="GB796" s="488" t="s">
        <v>610</v>
      </c>
      <c r="GC796" s="133" t="str">
        <f ca="1">INDIRECT(FZ799&amp;GH797)</f>
        <v>A</v>
      </c>
      <c r="GE796" s="133">
        <f ca="1">INDIRECT(FY$799&amp;GH796)</f>
        <v>48</v>
      </c>
      <c r="GH796" s="133">
        <f ca="1">IF(ISBLANK(INDIRECT(FY$799&amp;GH795-1)), LOOKUP(2,1 / (GH$2:(INDIRECT(FY$799&amp;GH795-2)) &lt;&gt; ""),ROW(GH$2:(INDIRECT(FY$799&amp;GH795-2)))),LOOKUP(2,1 / (GH$2:(INDIRECT(FY$799&amp;GH795-1)) &lt;&gt; ""),ROW(GH$2:(INDIRECT(FY$799&amp;GH795-1)))))</f>
        <v>55</v>
      </c>
      <c r="GK796" s="488" t="s">
        <v>605</v>
      </c>
      <c r="GL796" s="133">
        <f ca="1">COUNTIF(GT2:GT789,"L")</f>
        <v>25</v>
      </c>
      <c r="GN796" s="488" t="s">
        <v>610</v>
      </c>
      <c r="GO796" s="133" t="str">
        <f ca="1">INDIRECT(GL799&amp;GT797)</f>
        <v>H</v>
      </c>
      <c r="GQ796" s="133">
        <f ca="1">INDIRECT(GK$799&amp;GT796)</f>
        <v>48</v>
      </c>
      <c r="GT796" s="133">
        <f ca="1">IF(ISBLANK(INDIRECT(GK$799&amp;GT795-1)), LOOKUP(2,1 / (GT$2:(INDIRECT(GK$799&amp;GT795-2)) &lt;&gt; ""),ROW(GT$2:(INDIRECT(GK$799&amp;GT795-2)))),LOOKUP(2,1 / (GT$2:(INDIRECT(GK$799&amp;GT795-1)) &lt;&gt; ""),ROW(GT$2:(INDIRECT(GK$799&amp;GT795-1)))))</f>
        <v>55</v>
      </c>
      <c r="GW796" s="488" t="s">
        <v>605</v>
      </c>
      <c r="GX796" s="133">
        <f ca="1">COUNTIF(HF2:HF789,"L")</f>
        <v>14</v>
      </c>
      <c r="GZ796" s="488" t="s">
        <v>610</v>
      </c>
      <c r="HA796" s="133" t="str">
        <f ca="1">INDIRECT(GX799&amp;HF797)</f>
        <v>A</v>
      </c>
      <c r="HC796" s="133">
        <f ca="1">INDIRECT(GW$799&amp;HF796)</f>
        <v>48</v>
      </c>
      <c r="HF796" s="133">
        <f ca="1">IF(ISBLANK(INDIRECT(GW$799&amp;HF795-1)), LOOKUP(2,1 / (HF$2:(INDIRECT(GW$799&amp;HF795-2)) &lt;&gt; ""),ROW(HF$2:(INDIRECT(GW$799&amp;HF795-2)))),LOOKUP(2,1 / (HF$2:(INDIRECT(GW$799&amp;HF795-1)) &lt;&gt; ""),ROW(HF$2:(INDIRECT(GW$799&amp;HF795-1)))))</f>
        <v>55</v>
      </c>
      <c r="HI796" s="488" t="s">
        <v>605</v>
      </c>
      <c r="HJ796" s="133">
        <f ca="1">COUNTIF(HR2:HR789,"L")</f>
        <v>20</v>
      </c>
      <c r="HL796" s="488" t="s">
        <v>610</v>
      </c>
      <c r="HM796" s="133" t="str">
        <f ca="1">INDIRECT(HJ799&amp;HR797)</f>
        <v>A</v>
      </c>
      <c r="HO796" s="133">
        <f ca="1">INDIRECT(HI$799&amp;HR796)</f>
        <v>48</v>
      </c>
      <c r="HR796" s="133">
        <f ca="1">IF(ISBLANK(INDIRECT(HI$799&amp;HR795-1)), LOOKUP(2,1 / (HR$2:(INDIRECT(HI$799&amp;HR795-2)) &lt;&gt; ""),ROW(HR$2:(INDIRECT(HI$799&amp;HR795-2)))),LOOKUP(2,1 / (HR$2:(INDIRECT(HI$799&amp;HR795-1)) &lt;&gt; ""),ROW(HR$2:(INDIRECT(HI$799&amp;HR795-1)))))</f>
        <v>55</v>
      </c>
      <c r="HU796" s="488" t="s">
        <v>605</v>
      </c>
      <c r="HV796" s="133">
        <f ca="1">COUNTIF(ID2:ID789,"L")</f>
        <v>19</v>
      </c>
      <c r="HX796" s="488" t="s">
        <v>610</v>
      </c>
      <c r="HY796" s="133" t="str">
        <f ca="1">INDIRECT(HV799&amp;ID797)</f>
        <v>A</v>
      </c>
      <c r="IA796" s="133">
        <f ca="1">INDIRECT(HU$799&amp;ID796)</f>
        <v>48</v>
      </c>
      <c r="ID796" s="133">
        <f ca="1">IF(ISBLANK(INDIRECT(HU$799&amp;ID795-1)), LOOKUP(2,1 / (ID$2:(INDIRECT(HU$799&amp;ID795-2)) &lt;&gt; ""),ROW(ID$2:(INDIRECT(HU$799&amp;ID795-2)))),LOOKUP(2,1 / (ID$2:(INDIRECT(HU$799&amp;ID795-1)) &lt;&gt; ""),ROW(ID$2:(INDIRECT(HU$799&amp;ID795-1)))))</f>
        <v>55</v>
      </c>
    </row>
    <row r="797" spans="1:239" hidden="1" x14ac:dyDescent="0.4">
      <c r="D797" s="488" t="s">
        <v>612</v>
      </c>
      <c r="E797" s="133">
        <f ca="1">INDIRECT(D799&amp;J797)</f>
        <v>0</v>
      </c>
      <c r="J797" s="133">
        <f ca="1">IF(ISBLANK(INDIRECT(B$799&amp;J792+1)), LOOKUP(2,1 / (E$2:(INDIRECT(B$799&amp;J792+2)) &lt;&gt; ""),ROW(E$2:(INDIRECT(B$799&amp;J792+2)))),LOOKUP(2,1 / (E$2:(INDIRECT(B$799&amp;J792+1)) &lt;&gt; ""),ROW(E$2:(INDIRECT(B$799&amp;J792+1)))))</f>
        <v>59</v>
      </c>
      <c r="P797" s="488" t="s">
        <v>612</v>
      </c>
      <c r="Q797" s="133">
        <f ca="1">INDIRECT(P799&amp;V797)</f>
        <v>0</v>
      </c>
      <c r="V797" s="133">
        <f ca="1">IF(ISBLANK(INDIRECT(N$799&amp;V792+1)), LOOKUP(2,1 / (Q$2:(INDIRECT(N$799&amp;V792+2)) &lt;&gt; ""),ROW(Q$2:(INDIRECT(N$799&amp;V792+2)))),LOOKUP(2,1 / (Q$2:(INDIRECT(N$799&amp;V792+1)) &lt;&gt; ""),ROW(Q$2:(INDIRECT(N$799&amp;V792+1)))))</f>
        <v>59</v>
      </c>
      <c r="AB797" s="488" t="s">
        <v>612</v>
      </c>
      <c r="AC797" s="133">
        <f ca="1">INDIRECT(AB799&amp;AH797)</f>
        <v>0</v>
      </c>
      <c r="AH797" s="133">
        <f ca="1">IF(ISBLANK(INDIRECT(Z$799&amp;AH792+1)), LOOKUP(2,1 / (AC$2:(INDIRECT(Z$799&amp;AH792+2)) &lt;&gt; ""),ROW(AC$2:(INDIRECT(Z$799&amp;AH792+2)))),LOOKUP(2,1 / (AC$2:(INDIRECT(Z$799&amp;AH792+1)) &lt;&gt; ""),ROW(AC$2:(INDIRECT(Z$799&amp;AH792+1)))))</f>
        <v>59</v>
      </c>
      <c r="AN797" s="488" t="s">
        <v>612</v>
      </c>
      <c r="AO797" s="133">
        <f ca="1">INDIRECT(AN799&amp;AT797)</f>
        <v>0</v>
      </c>
      <c r="AT797" s="133">
        <f ca="1">IF(ISBLANK(INDIRECT(AL$799&amp;AT792+1)), LOOKUP(2,1 / (AO$2:(INDIRECT(AL$799&amp;AT792+2)) &lt;&gt; ""),ROW(AO$2:(INDIRECT(AL$799&amp;AT792+2)))),LOOKUP(2,1 / (AO$2:(INDIRECT(AL$799&amp;AT792+1)) &lt;&gt; ""),ROW(AO$2:(INDIRECT(AL$799&amp;AT792+1)))))</f>
        <v>59</v>
      </c>
      <c r="AZ797" s="488" t="s">
        <v>612</v>
      </c>
      <c r="BA797" s="133">
        <f ca="1">INDIRECT(AZ799&amp;BF797)</f>
        <v>0</v>
      </c>
      <c r="BF797" s="133">
        <f ca="1">IF(ISBLANK(INDIRECT(AX$799&amp;BF792+1)), LOOKUP(2,1 / (BA$2:(INDIRECT(AX$799&amp;BF792+2)) &lt;&gt; ""),ROW(BA$2:(INDIRECT(AX$799&amp;BF792+2)))),LOOKUP(2,1 / (BA$2:(INDIRECT(AX$799&amp;BF792+1)) &lt;&gt; ""),ROW(BA$2:(INDIRECT(AX$799&amp;BF792+1)))))</f>
        <v>59</v>
      </c>
      <c r="BL797" s="488" t="s">
        <v>612</v>
      </c>
      <c r="BM797" s="133">
        <f ca="1">INDIRECT(BL799&amp;BR797)</f>
        <v>0</v>
      </c>
      <c r="BR797" s="133">
        <f ca="1">IF(ISBLANK(INDIRECT(BJ$799&amp;BR792+1)), LOOKUP(2,1 / (BM$2:(INDIRECT(BJ$799&amp;BR792+2)) &lt;&gt; ""),ROW(BM$2:(INDIRECT(BJ$799&amp;BR792+2)))),LOOKUP(2,1 / (BM$2:(INDIRECT(BJ$799&amp;BR792+1)) &lt;&gt; ""),ROW(BM$2:(INDIRECT(BJ$799&amp;BR792+1)))))</f>
        <v>59</v>
      </c>
      <c r="BX797" s="488" t="s">
        <v>612</v>
      </c>
      <c r="BY797" s="133">
        <f ca="1">INDIRECT(BX799&amp;CD797)</f>
        <v>0</v>
      </c>
      <c r="CD797" s="133">
        <f ca="1">IF(ISBLANK(INDIRECT(BV$799&amp;CD792+1)), LOOKUP(2,1 / (BY$2:(INDIRECT(BV$799&amp;CD792+2)) &lt;&gt; ""),ROW(BY$2:(INDIRECT(BV$799&amp;CD792+2)))),LOOKUP(2,1 / (BY$2:(INDIRECT(BV$799&amp;CD792+1)) &lt;&gt; ""),ROW(BY$2:(INDIRECT(BV$799&amp;CD792+1)))))</f>
        <v>59</v>
      </c>
      <c r="CJ797" s="488" t="s">
        <v>612</v>
      </c>
      <c r="CK797" s="133">
        <f ca="1">INDIRECT(CJ799&amp;CP797)</f>
        <v>0</v>
      </c>
      <c r="CP797" s="133">
        <f ca="1">IF(ISBLANK(INDIRECT(CH$799&amp;CP792+1)), LOOKUP(2,1 / (CK$2:(INDIRECT(CH$799&amp;CP792+2)) &lt;&gt; ""),ROW(CK$2:(INDIRECT(CH$799&amp;CP792+2)))),LOOKUP(2,1 / (CK$2:(INDIRECT(CH$799&amp;CP792+1)) &lt;&gt; ""),ROW(CK$2:(INDIRECT(CH$799&amp;CP792+1)))))</f>
        <v>59</v>
      </c>
      <c r="CV797" s="488" t="s">
        <v>612</v>
      </c>
      <c r="CW797" s="133">
        <f ca="1">INDIRECT(CV799&amp;DB797)</f>
        <v>0</v>
      </c>
      <c r="DB797" s="133">
        <f ca="1">IF(ISBLANK(INDIRECT(CT$799&amp;DB792+1)), LOOKUP(2,1 / (CW$2:(INDIRECT(CT$799&amp;DB792+2)) &lt;&gt; ""),ROW(CW$2:(INDIRECT(CT$799&amp;DB792+2)))),LOOKUP(2,1 / (CW$2:(INDIRECT(CT$799&amp;DB792+1)) &lt;&gt; ""),ROW(CW$2:(INDIRECT(CT$799&amp;DB792+1)))))</f>
        <v>59</v>
      </c>
      <c r="DH797" s="488" t="s">
        <v>612</v>
      </c>
      <c r="DI797" s="133">
        <f ca="1">INDIRECT(DH799&amp;DN797)</f>
        <v>0</v>
      </c>
      <c r="DN797" s="133">
        <f ca="1">IF(ISBLANK(INDIRECT(DF$799&amp;DN792+1)), LOOKUP(2,1 / (DI$2:(INDIRECT(DF$799&amp;DN792+2)) &lt;&gt; ""),ROW(DI$2:(INDIRECT(DF$799&amp;DN792+2)))),LOOKUP(2,1 / (DI$2:(INDIRECT(DF$799&amp;DN792+1)) &lt;&gt; ""),ROW(DI$2:(INDIRECT(DF$799&amp;DN792+1)))))</f>
        <v>59</v>
      </c>
      <c r="DT797" s="488" t="s">
        <v>612</v>
      </c>
      <c r="DU797" s="133">
        <f ca="1">INDIRECT(DT799&amp;DZ797)</f>
        <v>0</v>
      </c>
      <c r="DZ797" s="133">
        <f ca="1">IF(ISBLANK(INDIRECT(DR$799&amp;DZ792+1)), LOOKUP(2,1 / (DU$2:(INDIRECT(DR$799&amp;DZ792+2)) &lt;&gt; ""),ROW(DU$2:(INDIRECT(DR$799&amp;DZ792+2)))),LOOKUP(2,1 / (DU$2:(INDIRECT(DR$799&amp;DZ792+1)) &lt;&gt; ""),ROW(DU$2:(INDIRECT(DR$799&amp;DZ792+1)))))</f>
        <v>59</v>
      </c>
      <c r="EF797" s="488" t="s">
        <v>612</v>
      </c>
      <c r="EG797" s="133">
        <f ca="1">INDIRECT(EF799&amp;EL797)</f>
        <v>0</v>
      </c>
      <c r="EL797" s="133">
        <f ca="1">IF(ISBLANK(INDIRECT(ED$799&amp;EL792+1)), LOOKUP(2,1 / (EG$2:(INDIRECT(ED$799&amp;EL792+2)) &lt;&gt; ""),ROW(EG$2:(INDIRECT(ED$799&amp;EL792+2)))),LOOKUP(2,1 / (EG$2:(INDIRECT(ED$799&amp;EL792+1)) &lt;&gt; ""),ROW(EG$2:(INDIRECT(ED$799&amp;EL792+1)))))</f>
        <v>59</v>
      </c>
      <c r="ER797" s="488" t="s">
        <v>612</v>
      </c>
      <c r="ES797" s="133">
        <f ca="1">INDIRECT(ER799&amp;EX797)</f>
        <v>0</v>
      </c>
      <c r="EX797" s="133">
        <f ca="1">IF(ISBLANK(INDIRECT(EP$799&amp;EX792+1)), LOOKUP(2,1 / (ES$2:(INDIRECT(EP$799&amp;EX792+2)) &lt;&gt; ""),ROW(ES$2:(INDIRECT(EP$799&amp;EX792+2)))),LOOKUP(2,1 / (ES$2:(INDIRECT(EP$799&amp;EX792+1)) &lt;&gt; ""),ROW(ES$2:(INDIRECT(EP$799&amp;EX792+1)))))</f>
        <v>59</v>
      </c>
      <c r="FD797" s="488" t="s">
        <v>612</v>
      </c>
      <c r="FE797" s="133">
        <f ca="1">INDIRECT(FD799&amp;FJ797)</f>
        <v>0</v>
      </c>
      <c r="FJ797" s="133">
        <f ca="1">IF(ISBLANK(INDIRECT(FB$799&amp;FJ792+1)), LOOKUP(2,1 / (FE$2:(INDIRECT(FB$799&amp;FJ792+2)) &lt;&gt; ""),ROW(FE$2:(INDIRECT(FB$799&amp;FJ792+2)))),LOOKUP(2,1 / (FE$2:(INDIRECT(FB$799&amp;FJ792+1)) &lt;&gt; ""),ROW(FE$2:(INDIRECT(FB$799&amp;FJ792+1)))))</f>
        <v>59</v>
      </c>
      <c r="FP797" s="488" t="s">
        <v>612</v>
      </c>
      <c r="FQ797" s="133">
        <f ca="1">INDIRECT(FP799&amp;FV797)</f>
        <v>0</v>
      </c>
      <c r="FV797" s="133">
        <f ca="1">IF(ISBLANK(INDIRECT(FN$799&amp;FV792+1)), LOOKUP(2,1 / (FQ$2:(INDIRECT(FN$799&amp;FV792+2)) &lt;&gt; ""),ROW(FQ$2:(INDIRECT(FN$799&amp;FV792+2)))),LOOKUP(2,1 / (FQ$2:(INDIRECT(FN$799&amp;FV792+1)) &lt;&gt; ""),ROW(FQ$2:(INDIRECT(FN$799&amp;FV792+1)))))</f>
        <v>59</v>
      </c>
      <c r="GB797" s="488" t="s">
        <v>612</v>
      </c>
      <c r="GC797" s="133">
        <f ca="1">INDIRECT(GB799&amp;GH797)</f>
        <v>0</v>
      </c>
      <c r="GH797" s="133">
        <f ca="1">IF(ISBLANK(INDIRECT(FZ$799&amp;GH792+1)), LOOKUP(2,1 / (GC$2:(INDIRECT(FZ$799&amp;GH792+2)) &lt;&gt; ""),ROW(GC$2:(INDIRECT(FZ$799&amp;GH792+2)))),LOOKUP(2,1 / (GC$2:(INDIRECT(FZ$799&amp;GH792+1)) &lt;&gt; ""),ROW(GC$2:(INDIRECT(FZ$799&amp;GH792+1)))))</f>
        <v>59</v>
      </c>
      <c r="GN797" s="488" t="s">
        <v>612</v>
      </c>
      <c r="GO797" s="133">
        <f ca="1">INDIRECT(GN799&amp;GT797)</f>
        <v>0</v>
      </c>
      <c r="GT797" s="133">
        <f ca="1">IF(ISBLANK(INDIRECT(GL$799&amp;GT792+1)), LOOKUP(2,1 / (GO$2:(INDIRECT(GL$799&amp;GT792+2)) &lt;&gt; ""),ROW(GO$2:(INDIRECT(GL$799&amp;GT792+2)))),LOOKUP(2,1 / (GO$2:(INDIRECT(GL$799&amp;GT792+1)) &lt;&gt; ""),ROW(GO$2:(INDIRECT(GL$799&amp;GT792+1)))))</f>
        <v>59</v>
      </c>
      <c r="GZ797" s="488" t="s">
        <v>612</v>
      </c>
      <c r="HA797" s="133">
        <f ca="1">INDIRECT(GZ799&amp;HF797)</f>
        <v>0</v>
      </c>
      <c r="HF797" s="133">
        <f ca="1">IF(ISBLANK(INDIRECT(GX$799&amp;HF792+1)), LOOKUP(2,1 / (HA$2:(INDIRECT(GX$799&amp;HF792+2)) &lt;&gt; ""),ROW(HA$2:(INDIRECT(GX$799&amp;HF792+2)))),LOOKUP(2,1 / (HA$2:(INDIRECT(GX$799&amp;HF792+1)) &lt;&gt; ""),ROW(HA$2:(INDIRECT(GX$799&amp;HF792+1)))))</f>
        <v>59</v>
      </c>
      <c r="HL797" s="488" t="s">
        <v>612</v>
      </c>
      <c r="HM797" s="133">
        <f ca="1">INDIRECT(HL799&amp;HR797)</f>
        <v>0</v>
      </c>
      <c r="HR797" s="133">
        <f ca="1">IF(ISBLANK(INDIRECT(HJ$799&amp;HR792+1)), LOOKUP(2,1 / (HM$2:(INDIRECT(HJ$799&amp;HR792+2)) &lt;&gt; ""),ROW(HM$2:(INDIRECT(HJ$799&amp;HR792+2)))),LOOKUP(2,1 / (HM$2:(INDIRECT(HJ$799&amp;HR792+1)) &lt;&gt; ""),ROW(HM$2:(INDIRECT(HJ$799&amp;HR792+1)))))</f>
        <v>59</v>
      </c>
      <c r="HX797" s="488" t="s">
        <v>612</v>
      </c>
      <c r="HY797" s="133">
        <f ca="1">INDIRECT(HX799&amp;ID797)</f>
        <v>0</v>
      </c>
      <c r="ID797" s="133">
        <f ca="1">IF(ISBLANK(INDIRECT(HV$799&amp;ID792+1)), LOOKUP(2,1 / (HY$2:(INDIRECT(HV$799&amp;ID792+2)) &lt;&gt; ""),ROW(HY$2:(INDIRECT(HV$799&amp;ID792+2)))),LOOKUP(2,1 / (HY$2:(INDIRECT(HV$799&amp;ID792+1)) &lt;&gt; ""),ROW(HY$2:(INDIRECT(HV$799&amp;ID792+1)))))</f>
        <v>59</v>
      </c>
    </row>
    <row r="798" spans="1:239" hidden="1" x14ac:dyDescent="0.4"/>
    <row r="799" spans="1:239" hidden="1" x14ac:dyDescent="0.4">
      <c r="A799" s="145" t="str">
        <f>SUBSTITUTE(ADDRESS(1,COLUMN(J2),4),"1","")</f>
        <v>J</v>
      </c>
      <c r="B799" s="145" t="str">
        <f>SUBSTITUTE(ADDRESS(1,COLUMN(E2),4),"1","")</f>
        <v>E</v>
      </c>
      <c r="D799" s="145" t="str">
        <f>SUBSTITUTE(ADDRESS(1,COLUMN(F2),4),"1","")</f>
        <v>F</v>
      </c>
      <c r="M799" s="145" t="str">
        <f>SUBSTITUTE(ADDRESS(1,COLUMN(V2),4),"1","")</f>
        <v>V</v>
      </c>
      <c r="N799" s="145" t="str">
        <f>SUBSTITUTE(ADDRESS(1,COLUMN(Q2),4),"1","")</f>
        <v>Q</v>
      </c>
      <c r="P799" s="145" t="str">
        <f>SUBSTITUTE(ADDRESS(1,COLUMN(R2),4),"1","")</f>
        <v>R</v>
      </c>
      <c r="Y799" s="145" t="str">
        <f>SUBSTITUTE(ADDRESS(1,COLUMN(AH2),4),"1","")</f>
        <v>AH</v>
      </c>
      <c r="Z799" s="145" t="str">
        <f>SUBSTITUTE(ADDRESS(1,COLUMN(AC2),4),"1","")</f>
        <v>AC</v>
      </c>
      <c r="AB799" s="145" t="str">
        <f>SUBSTITUTE(ADDRESS(1,COLUMN(AD2),4),"1","")</f>
        <v>AD</v>
      </c>
      <c r="AK799" s="145" t="str">
        <f>SUBSTITUTE(ADDRESS(1,COLUMN(AT2),4),"1","")</f>
        <v>AT</v>
      </c>
      <c r="AL799" s="145" t="str">
        <f>SUBSTITUTE(ADDRESS(1,COLUMN(AO2),4),"1","")</f>
        <v>AO</v>
      </c>
      <c r="AN799" s="145" t="str">
        <f>SUBSTITUTE(ADDRESS(1,COLUMN(AP2),4),"1","")</f>
        <v>AP</v>
      </c>
      <c r="AW799" s="145" t="str">
        <f>SUBSTITUTE(ADDRESS(1,COLUMN(BF2),4),"1","")</f>
        <v>BF</v>
      </c>
      <c r="AX799" s="145" t="str">
        <f>SUBSTITUTE(ADDRESS(1,COLUMN(BA2),4),"1","")</f>
        <v>BA</v>
      </c>
      <c r="AZ799" s="145" t="str">
        <f>SUBSTITUTE(ADDRESS(1,COLUMN(BB2),4),"1","")</f>
        <v>BB</v>
      </c>
      <c r="BI799" s="145" t="str">
        <f>SUBSTITUTE(ADDRESS(1,COLUMN(BR2),4),"1","")</f>
        <v>BR</v>
      </c>
      <c r="BJ799" s="145" t="str">
        <f>SUBSTITUTE(ADDRESS(1,COLUMN(BM2),4),"1","")</f>
        <v>BM</v>
      </c>
      <c r="BL799" s="145" t="str">
        <f>SUBSTITUTE(ADDRESS(1,COLUMN(BN2),4),"1","")</f>
        <v>BN</v>
      </c>
      <c r="BU799" s="145" t="str">
        <f>SUBSTITUTE(ADDRESS(1,COLUMN(CD2),4),"1","")</f>
        <v>CD</v>
      </c>
      <c r="BV799" s="145" t="str">
        <f>SUBSTITUTE(ADDRESS(1,COLUMN(BY2),4),"1","")</f>
        <v>BY</v>
      </c>
      <c r="BX799" s="145" t="str">
        <f>SUBSTITUTE(ADDRESS(1,COLUMN(BZ2),4),"1","")</f>
        <v>BZ</v>
      </c>
      <c r="CG799" s="145" t="str">
        <f>SUBSTITUTE(ADDRESS(1,COLUMN(CP2),4),"1","")</f>
        <v>CP</v>
      </c>
      <c r="CH799" s="145" t="str">
        <f>SUBSTITUTE(ADDRESS(1,COLUMN(CK2),4),"1","")</f>
        <v>CK</v>
      </c>
      <c r="CJ799" s="145" t="str">
        <f>SUBSTITUTE(ADDRESS(1,COLUMN(CL2),4),"1","")</f>
        <v>CL</v>
      </c>
      <c r="CS799" s="145" t="str">
        <f>SUBSTITUTE(ADDRESS(1,COLUMN(DB2),4),"1","")</f>
        <v>DB</v>
      </c>
      <c r="CT799" s="145" t="str">
        <f>SUBSTITUTE(ADDRESS(1,COLUMN(CW2),4),"1","")</f>
        <v>CW</v>
      </c>
      <c r="CV799" s="145" t="str">
        <f>SUBSTITUTE(ADDRESS(1,COLUMN(CX2),4),"1","")</f>
        <v>CX</v>
      </c>
      <c r="DE799" s="145" t="str">
        <f>SUBSTITUTE(ADDRESS(1,COLUMN(DN2),4),"1","")</f>
        <v>DN</v>
      </c>
      <c r="DF799" s="145" t="str">
        <f>SUBSTITUTE(ADDRESS(1,COLUMN(DI2),4),"1","")</f>
        <v>DI</v>
      </c>
      <c r="DH799" s="145" t="str">
        <f>SUBSTITUTE(ADDRESS(1,COLUMN(DJ2),4),"1","")</f>
        <v>DJ</v>
      </c>
      <c r="DQ799" s="145" t="str">
        <f>SUBSTITUTE(ADDRESS(1,COLUMN(DZ2),4),"1","")</f>
        <v>DZ</v>
      </c>
      <c r="DR799" s="145" t="str">
        <f>SUBSTITUTE(ADDRESS(1,COLUMN(DU2),4),"1","")</f>
        <v>DU</v>
      </c>
      <c r="DT799" s="145" t="str">
        <f>SUBSTITUTE(ADDRESS(1,COLUMN(DV2),4),"1","")</f>
        <v>DV</v>
      </c>
      <c r="EC799" s="145" t="str">
        <f>SUBSTITUTE(ADDRESS(1,COLUMN(EL2),4),"1","")</f>
        <v>EL</v>
      </c>
      <c r="ED799" s="145" t="str">
        <f>SUBSTITUTE(ADDRESS(1,COLUMN(EG2),4),"1","")</f>
        <v>EG</v>
      </c>
      <c r="EF799" s="145" t="str">
        <f>SUBSTITUTE(ADDRESS(1,COLUMN(EH2),4),"1","")</f>
        <v>EH</v>
      </c>
      <c r="EO799" s="145" t="str">
        <f>SUBSTITUTE(ADDRESS(1,COLUMN(EX2),4),"1","")</f>
        <v>EX</v>
      </c>
      <c r="EP799" s="145" t="str">
        <f>SUBSTITUTE(ADDRESS(1,COLUMN(ES2),4),"1","")</f>
        <v>ES</v>
      </c>
      <c r="ER799" s="145" t="str">
        <f>SUBSTITUTE(ADDRESS(1,COLUMN(ET2),4),"1","")</f>
        <v>ET</v>
      </c>
      <c r="FA799" s="145" t="str">
        <f>SUBSTITUTE(ADDRESS(1,COLUMN(FJ2),4),"1","")</f>
        <v>FJ</v>
      </c>
      <c r="FB799" s="145" t="str">
        <f>SUBSTITUTE(ADDRESS(1,COLUMN(FE2),4),"1","")</f>
        <v>FE</v>
      </c>
      <c r="FD799" s="145" t="str">
        <f>SUBSTITUTE(ADDRESS(1,COLUMN(FF2),4),"1","")</f>
        <v>FF</v>
      </c>
      <c r="FM799" s="145" t="str">
        <f>SUBSTITUTE(ADDRESS(1,COLUMN(FV2),4),"1","")</f>
        <v>FV</v>
      </c>
      <c r="FN799" s="145" t="str">
        <f>SUBSTITUTE(ADDRESS(1,COLUMN(FQ2),4),"1","")</f>
        <v>FQ</v>
      </c>
      <c r="FP799" s="145" t="str">
        <f>SUBSTITUTE(ADDRESS(1,COLUMN(FR2),4),"1","")</f>
        <v>FR</v>
      </c>
      <c r="FY799" s="145" t="str">
        <f>SUBSTITUTE(ADDRESS(1,COLUMN(GH2),4),"1","")</f>
        <v>GH</v>
      </c>
      <c r="FZ799" s="145" t="str">
        <f>SUBSTITUTE(ADDRESS(1,COLUMN(GC2),4),"1","")</f>
        <v>GC</v>
      </c>
      <c r="GB799" s="145" t="str">
        <f>SUBSTITUTE(ADDRESS(1,COLUMN(GD2),4),"1","")</f>
        <v>GD</v>
      </c>
      <c r="GK799" s="145" t="str">
        <f>SUBSTITUTE(ADDRESS(1,COLUMN(GT2),4),"1","")</f>
        <v>GT</v>
      </c>
      <c r="GL799" s="145" t="str">
        <f>SUBSTITUTE(ADDRESS(1,COLUMN(GO2),4),"1","")</f>
        <v>GO</v>
      </c>
      <c r="GN799" s="145" t="str">
        <f>SUBSTITUTE(ADDRESS(1,COLUMN(GP2),4),"1","")</f>
        <v>GP</v>
      </c>
      <c r="GW799" s="145" t="str">
        <f>SUBSTITUTE(ADDRESS(1,COLUMN(HF2),4),"1","")</f>
        <v>HF</v>
      </c>
      <c r="GX799" s="145" t="str">
        <f>SUBSTITUTE(ADDRESS(1,COLUMN(HA2),4),"1","")</f>
        <v>HA</v>
      </c>
      <c r="GZ799" s="145" t="str">
        <f>SUBSTITUTE(ADDRESS(1,COLUMN(HB2),4),"1","")</f>
        <v>HB</v>
      </c>
      <c r="HI799" s="145" t="str">
        <f>SUBSTITUTE(ADDRESS(1,COLUMN(HR2),4),"1","")</f>
        <v>HR</v>
      </c>
      <c r="HJ799" s="145" t="str">
        <f>SUBSTITUTE(ADDRESS(1,COLUMN(HM2),4),"1","")</f>
        <v>HM</v>
      </c>
      <c r="HL799" s="145" t="str">
        <f>SUBSTITUTE(ADDRESS(1,COLUMN(HN2),4),"1","")</f>
        <v>HN</v>
      </c>
      <c r="HU799" s="145" t="str">
        <f>SUBSTITUTE(ADDRESS(1,COLUMN(ID2),4),"1","")</f>
        <v>ID</v>
      </c>
      <c r="HV799" s="145" t="str">
        <f>SUBSTITUTE(ADDRESS(1,COLUMN(HY2),4),"1","")</f>
        <v>HY</v>
      </c>
      <c r="HX799" s="145" t="str">
        <f>SUBSTITUTE(ADDRESS(1,COLUMN(HZ2),4),"1","")</f>
        <v>HZ</v>
      </c>
    </row>
    <row r="800" spans="1:239" hidden="1" x14ac:dyDescent="0.4"/>
    <row r="801" hidden="1" x14ac:dyDescent="0.4"/>
  </sheetData>
  <sheetProtection algorithmName="SHA-512" hashValue="I7HynZ+qCuZKheUdnTGl0nNjuVJr/R7bGnlCmNk6Mt8oNqWCPhxFIy2+r817mU6wK8Va7pLP8NEN8nshThOOlg==" saltValue="0S45IDyFuR0oEXUrrw7BCA==" spinCount="100000" sheet="1" objects="1" scenarios="1"/>
  <pageMargins left="0.7" right="0.7" top="0.75" bottom="0.75" header="0.3" footer="0.3"/>
  <pageSetup scale="50" fitToWidth="0" orientation="portrait" r:id="rId1"/>
  <colBreaks count="19" manualBreakCount="19">
    <brk id="12" max="1048575" man="1"/>
    <brk id="24" max="51" man="1"/>
    <brk id="36" max="1048575" man="1"/>
    <brk id="48" max="51" man="1"/>
    <brk id="60" max="1048575" man="1"/>
    <brk id="72" max="1048575" man="1"/>
    <brk id="84" max="1048575" man="1"/>
    <brk id="96" max="1048575" man="1"/>
    <brk id="108" max="1048575" man="1"/>
    <brk id="120" max="1048575" man="1"/>
    <brk id="132" max="1048575" man="1"/>
    <brk id="144" max="1048575" man="1"/>
    <brk id="156" max="1048575" man="1"/>
    <brk id="168" max="1048575" man="1"/>
    <brk id="180" max="1048575" man="1"/>
    <brk id="192" max="1048575" man="1"/>
    <brk id="204" max="1048575" man="1"/>
    <brk id="216" max="1048575" man="1"/>
    <brk id="228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2"/>
  <dimension ref="A1:U599"/>
  <sheetViews>
    <sheetView showGridLines="0" workbookViewId="0">
      <selection activeCell="A2" sqref="A2"/>
    </sheetView>
  </sheetViews>
  <sheetFormatPr defaultRowHeight="26.25" x14ac:dyDescent="0.4"/>
  <cols>
    <col min="1" max="1" width="25" style="2" customWidth="1"/>
    <col min="2" max="2" width="31.5703125" style="2" bestFit="1" customWidth="1"/>
    <col min="3" max="3" width="5.5703125" style="2" customWidth="1"/>
    <col min="4" max="4" width="4.7109375" style="2" customWidth="1"/>
    <col min="5" max="5" width="3.28515625" style="2" bestFit="1" customWidth="1"/>
    <col min="6" max="6" width="4.7109375" style="2" customWidth="1"/>
    <col min="7" max="7" width="6.5703125" style="2" customWidth="1"/>
    <col min="8" max="8" width="31.5703125" style="2" bestFit="1" customWidth="1"/>
    <col min="9" max="9" width="70.42578125" style="2" bestFit="1" customWidth="1"/>
    <col min="10" max="13" width="0.5703125" style="2" customWidth="1"/>
    <col min="14" max="14" width="17.140625" style="133" bestFit="1" customWidth="1"/>
    <col min="15" max="15" width="35.42578125" style="133" customWidth="1"/>
    <col min="16" max="16" width="32" style="133" customWidth="1"/>
    <col min="17" max="17" width="7.28515625" style="133" customWidth="1"/>
    <col min="18" max="18" width="8.5703125" style="133" customWidth="1"/>
    <col min="19" max="19" width="12.7109375" style="133" customWidth="1"/>
    <col min="20" max="20" width="4.140625" style="133" bestFit="1" customWidth="1"/>
    <col min="21" max="21" width="9.140625" style="133"/>
    <col min="22" max="22" width="9.140625" style="2"/>
    <col min="23" max="23" width="35.5703125" style="2" bestFit="1" customWidth="1"/>
    <col min="24" max="24" width="20.5703125" style="2" bestFit="1" customWidth="1"/>
    <col min="25" max="25" width="39.42578125" style="2" bestFit="1" customWidth="1"/>
    <col min="26" max="27" width="9.140625" style="2"/>
    <col min="28" max="28" width="4.140625" style="2" bestFit="1" customWidth="1"/>
    <col min="29" max="30" width="9.140625" style="2"/>
    <col min="31" max="31" width="35.5703125" style="2" bestFit="1" customWidth="1"/>
    <col min="32" max="32" width="20.5703125" style="2" bestFit="1" customWidth="1"/>
    <col min="33" max="33" width="39.140625" style="2" bestFit="1" customWidth="1"/>
    <col min="34" max="35" width="9.140625" style="2"/>
    <col min="36" max="36" width="4.140625" style="2" bestFit="1" customWidth="1"/>
    <col min="37" max="38" width="9.140625" style="2"/>
    <col min="39" max="39" width="35.5703125" style="2" bestFit="1" customWidth="1"/>
    <col min="40" max="40" width="20.5703125" style="2" bestFit="1" customWidth="1"/>
    <col min="41" max="41" width="35.5703125" style="2" bestFit="1" customWidth="1"/>
    <col min="42" max="43" width="9.140625" style="2"/>
    <col min="44" max="44" width="4.140625" style="2" bestFit="1" customWidth="1"/>
    <col min="45" max="46" width="9.140625" style="2"/>
    <col min="47" max="47" width="35.5703125" style="2" bestFit="1" customWidth="1"/>
    <col min="48" max="48" width="22" style="2" bestFit="1" customWidth="1"/>
    <col min="49" max="16384" width="9.140625" style="2"/>
  </cols>
  <sheetData>
    <row r="1" spans="1:21" ht="31.5" x14ac:dyDescent="0.5">
      <c r="A1" s="89">
        <v>599</v>
      </c>
      <c r="B1" s="5"/>
      <c r="C1" s="5"/>
      <c r="D1" s="5"/>
      <c r="E1" s="5"/>
      <c r="F1" s="5"/>
      <c r="G1" s="5"/>
      <c r="H1" s="90" t="s">
        <v>64</v>
      </c>
      <c r="I1" s="5"/>
      <c r="J1" s="5"/>
      <c r="K1" s="5"/>
      <c r="L1" s="5"/>
      <c r="M1" s="5"/>
      <c r="O1" s="490" t="s">
        <v>145</v>
      </c>
      <c r="P1" s="491">
        <v>45122.343842592592</v>
      </c>
      <c r="Q1" s="491"/>
    </row>
    <row r="2" spans="1:21" x14ac:dyDescent="0.4">
      <c r="A2" s="187" t="s">
        <v>540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486"/>
      <c r="O2" s="486"/>
      <c r="P2" s="486"/>
      <c r="Q2" s="486"/>
      <c r="R2" s="486"/>
      <c r="S2" s="486"/>
      <c r="T2" s="486"/>
      <c r="U2" s="486"/>
    </row>
    <row r="3" spans="1:21" x14ac:dyDescent="0.4">
      <c r="A3" s="167">
        <f ca="1">IFERROR(INDIRECT("fixtures!" &amp; Dashboard!J1 &amp;2) - Dashboard!K1/24,"TBC")</f>
        <v>44778.916666666664</v>
      </c>
      <c r="B3" s="91" t="s">
        <v>6</v>
      </c>
      <c r="C3" s="6"/>
      <c r="D3" s="91">
        <f>IF(ISBLANK(fixtures!$K2),"",fixtures!$K2)</f>
        <v>0</v>
      </c>
      <c r="E3" s="92" t="str">
        <f>IF(ISBLANK(fixtures!$L2),"",":")</f>
        <v>:</v>
      </c>
      <c r="F3" s="93">
        <f>IF(ISBLANK(fixtures!$L2),"",fixtures!$L2)</f>
        <v>2</v>
      </c>
      <c r="G3" s="6"/>
      <c r="H3" s="93" t="s">
        <v>1</v>
      </c>
      <c r="I3" s="93" t="s">
        <v>52</v>
      </c>
      <c r="J3" s="6"/>
      <c r="K3" s="6"/>
      <c r="L3" s="6"/>
      <c r="M3" s="6"/>
    </row>
    <row r="4" spans="1:21" x14ac:dyDescent="0.4">
      <c r="A4" s="187" t="s">
        <v>541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</row>
    <row r="5" spans="1:21" x14ac:dyDescent="0.4">
      <c r="A5" s="167">
        <f ca="1">IFERROR(INDIRECT("fixtures!" &amp; Dashboard!J1 &amp;3) - Dashboard!K1/24,"TBC")</f>
        <v>44779.604166666664</v>
      </c>
      <c r="B5" s="91" t="s">
        <v>126</v>
      </c>
      <c r="C5" s="6"/>
      <c r="D5" s="91">
        <f>IF(ISBLANK(fixtures!$K3),"",fixtures!$K3)</f>
        <v>2</v>
      </c>
      <c r="E5" s="92" t="str">
        <f>IF(ISBLANK(fixtures!$L3),"",":")</f>
        <v>:</v>
      </c>
      <c r="F5" s="93">
        <f>IF(ISBLANK(fixtures!$L3),"",fixtures!$L3)</f>
        <v>2</v>
      </c>
      <c r="G5" s="6"/>
      <c r="H5" s="93" t="s">
        <v>9</v>
      </c>
      <c r="I5" s="93" t="s">
        <v>431</v>
      </c>
      <c r="J5" s="6"/>
      <c r="K5" s="6"/>
      <c r="L5" s="6"/>
      <c r="M5" s="6"/>
    </row>
    <row r="6" spans="1:21" x14ac:dyDescent="0.4">
      <c r="A6" s="167">
        <f ca="1">IFERROR(INDIRECT("fixtures!" &amp; Dashboard!J1 &amp;4) - Dashboard!K1/24,"TBC")</f>
        <v>44779.708333333336</v>
      </c>
      <c r="B6" s="91" t="s">
        <v>3</v>
      </c>
      <c r="C6" s="6"/>
      <c r="D6" s="91">
        <f>IF(ISBLANK(fixtures!$K4),"",fixtures!$K4)</f>
        <v>2</v>
      </c>
      <c r="E6" s="92" t="str">
        <f>IF(ISBLANK(fixtures!$L4),"",":")</f>
        <v>:</v>
      </c>
      <c r="F6" s="93">
        <f>IF(ISBLANK(fixtures!$L4),"",fixtures!$L4)</f>
        <v>0</v>
      </c>
      <c r="G6" s="6"/>
      <c r="H6" s="93" t="s">
        <v>2</v>
      </c>
      <c r="I6" s="93" t="s">
        <v>51</v>
      </c>
      <c r="J6" s="6"/>
      <c r="K6" s="6"/>
      <c r="L6" s="6"/>
      <c r="M6" s="6"/>
    </row>
    <row r="7" spans="1:21" x14ac:dyDescent="0.4">
      <c r="A7" s="167">
        <f ca="1">IFERROR(INDIRECT("fixtures!" &amp; Dashboard!J1 &amp;5) - Dashboard!K1/24,"TBC")</f>
        <v>44779.708333333336</v>
      </c>
      <c r="B7" s="91" t="s">
        <v>139</v>
      </c>
      <c r="C7" s="6"/>
      <c r="D7" s="91">
        <f>IF(ISBLANK(fixtures!$K5),"",fixtures!$K5)</f>
        <v>2</v>
      </c>
      <c r="E7" s="92" t="str">
        <f>IF(ISBLANK(fixtures!$L5),"",":")</f>
        <v>:</v>
      </c>
      <c r="F7" s="93">
        <f>IF(ISBLANK(fixtures!$L5),"",fixtures!$L5)</f>
        <v>1</v>
      </c>
      <c r="G7" s="6"/>
      <c r="H7" s="93" t="s">
        <v>16</v>
      </c>
      <c r="I7" s="93" t="s">
        <v>140</v>
      </c>
      <c r="J7" s="6"/>
      <c r="K7" s="6"/>
      <c r="L7" s="6"/>
      <c r="M7" s="6"/>
    </row>
    <row r="8" spans="1:21" x14ac:dyDescent="0.4">
      <c r="A8" s="167">
        <f ca="1">IFERROR(INDIRECT("fixtures!" &amp; Dashboard!J1 &amp;6) - Dashboard!K1/24,"TBC")</f>
        <v>44779.708333333336</v>
      </c>
      <c r="B8" s="91" t="s">
        <v>12</v>
      </c>
      <c r="C8" s="6"/>
      <c r="D8" s="91">
        <f>IF(ISBLANK(fixtures!$K6),"",fixtures!$K6)</f>
        <v>2</v>
      </c>
      <c r="E8" s="92" t="str">
        <f>IF(ISBLANK(fixtures!$L6),"",":")</f>
        <v>:</v>
      </c>
      <c r="F8" s="93">
        <f>IF(ISBLANK(fixtures!$L6),"",fixtures!$L6)</f>
        <v>0</v>
      </c>
      <c r="G8" s="6"/>
      <c r="H8" s="93" t="s">
        <v>204</v>
      </c>
      <c r="I8" s="93" t="s">
        <v>55</v>
      </c>
      <c r="J8" s="6"/>
      <c r="K8" s="6"/>
      <c r="L8" s="6"/>
      <c r="M8" s="6"/>
    </row>
    <row r="9" spans="1:21" x14ac:dyDescent="0.4">
      <c r="A9" s="167">
        <f ca="1">IFERROR(INDIRECT("fixtures!" &amp; Dashboard!J1 &amp;7) - Dashboard!K1/24,"TBC")</f>
        <v>44779.708333333336</v>
      </c>
      <c r="B9" s="91" t="s">
        <v>14</v>
      </c>
      <c r="C9" s="6"/>
      <c r="D9" s="91">
        <f>IF(ISBLANK(fixtures!$K7),"",fixtures!$K7)</f>
        <v>4</v>
      </c>
      <c r="E9" s="92" t="str">
        <f>IF(ISBLANK(fixtures!$L7),"",":")</f>
        <v>:</v>
      </c>
      <c r="F9" s="93">
        <f>IF(ISBLANK(fixtures!$L7),"",fixtures!$L7)</f>
        <v>1</v>
      </c>
      <c r="G9" s="6"/>
      <c r="H9" s="93" t="s">
        <v>13</v>
      </c>
      <c r="I9" s="93" t="s">
        <v>53</v>
      </c>
      <c r="J9" s="6"/>
      <c r="K9" s="6"/>
      <c r="L9" s="6"/>
      <c r="M9" s="6"/>
    </row>
    <row r="10" spans="1:21" x14ac:dyDescent="0.4">
      <c r="A10" s="167">
        <f ca="1">IFERROR(INDIRECT("fixtures!" &amp; Dashboard!J1 &amp;8) - Dashboard!K1/24,"TBC")</f>
        <v>44779.8125</v>
      </c>
      <c r="B10" s="91" t="s">
        <v>7</v>
      </c>
      <c r="C10" s="6"/>
      <c r="D10" s="91">
        <f>IF(ISBLANK(fixtures!$K8),"",fixtures!$K8)</f>
        <v>0</v>
      </c>
      <c r="E10" s="92" t="str">
        <f>IF(ISBLANK(fixtures!$L8),"",":")</f>
        <v>:</v>
      </c>
      <c r="F10" s="93">
        <f>IF(ISBLANK(fixtures!$L8),"",fixtures!$L8)</f>
        <v>1</v>
      </c>
      <c r="G10" s="6"/>
      <c r="H10" s="93" t="s">
        <v>5</v>
      </c>
      <c r="I10" s="93" t="s">
        <v>59</v>
      </c>
      <c r="J10" s="6"/>
      <c r="K10" s="6"/>
      <c r="L10" s="6"/>
      <c r="M10" s="6"/>
    </row>
    <row r="11" spans="1:21" x14ac:dyDescent="0.4">
      <c r="A11" s="187" t="s">
        <v>542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</row>
    <row r="12" spans="1:21" x14ac:dyDescent="0.4">
      <c r="A12" s="167">
        <f ca="1">IFERROR(INDIRECT("fixtures!" &amp; Dashboard!J1 &amp;9) - Dashboard!K1/24,"TBC")</f>
        <v>44780.666666666664</v>
      </c>
      <c r="B12" s="91" t="s">
        <v>8</v>
      </c>
      <c r="C12" s="6"/>
      <c r="D12" s="91">
        <f>IF(ISBLANK(fixtures!$K9),"",fixtures!$K9)</f>
        <v>2</v>
      </c>
      <c r="E12" s="92" t="str">
        <f>IF(ISBLANK(fixtures!$L9),"",":")</f>
        <v>:</v>
      </c>
      <c r="F12" s="93">
        <f>IF(ISBLANK(fixtures!$L9),"",fixtures!$L9)</f>
        <v>2</v>
      </c>
      <c r="G12" s="6"/>
      <c r="H12" s="93" t="s">
        <v>125</v>
      </c>
      <c r="I12" s="93" t="s">
        <v>54</v>
      </c>
      <c r="J12" s="6"/>
      <c r="K12" s="6"/>
      <c r="L12" s="6"/>
      <c r="M12" s="6"/>
    </row>
    <row r="13" spans="1:21" x14ac:dyDescent="0.4">
      <c r="A13" s="167">
        <f ca="1">IFERROR(INDIRECT("fixtures!" &amp; Dashboard!J1 &amp;10) - Dashboard!K1/24,"TBC")</f>
        <v>44780.666666666664</v>
      </c>
      <c r="B13" s="91" t="s">
        <v>11</v>
      </c>
      <c r="C13" s="6"/>
      <c r="D13" s="91">
        <f>IF(ISBLANK(fixtures!$K10),"",fixtures!$K10)</f>
        <v>1</v>
      </c>
      <c r="E13" s="92" t="str">
        <f>IF(ISBLANK(fixtures!$L10),"",":")</f>
        <v>:</v>
      </c>
      <c r="F13" s="93">
        <f>IF(ISBLANK(fixtures!$L10),"",fixtures!$L10)</f>
        <v>2</v>
      </c>
      <c r="G13" s="6"/>
      <c r="H13" s="93" t="s">
        <v>4</v>
      </c>
      <c r="I13" s="93" t="s">
        <v>56</v>
      </c>
      <c r="J13" s="6"/>
      <c r="K13" s="6"/>
      <c r="L13" s="6"/>
      <c r="M13" s="6"/>
    </row>
    <row r="14" spans="1:21" x14ac:dyDescent="0.4">
      <c r="A14" s="167">
        <f ca="1">IFERROR(INDIRECT("fixtures!" &amp; Dashboard!J1 &amp;11) - Dashboard!K1/24,"TBC")</f>
        <v>44780.770833333336</v>
      </c>
      <c r="B14" s="91" t="s">
        <v>15</v>
      </c>
      <c r="C14" s="6"/>
      <c r="D14" s="91">
        <f>IF(ISBLANK(fixtures!$K11),"",fixtures!$K11)</f>
        <v>0</v>
      </c>
      <c r="E14" s="92" t="str">
        <f>IF(ISBLANK(fixtures!$L11),"",":")</f>
        <v>:</v>
      </c>
      <c r="F14" s="93">
        <f>IF(ISBLANK(fixtures!$L11),"",fixtures!$L11)</f>
        <v>2</v>
      </c>
      <c r="G14" s="6"/>
      <c r="H14" s="93" t="s">
        <v>10</v>
      </c>
      <c r="I14" s="93" t="s">
        <v>50</v>
      </c>
      <c r="J14" s="6"/>
      <c r="K14" s="6"/>
      <c r="L14" s="6"/>
      <c r="M14" s="6"/>
    </row>
    <row r="15" spans="1:21" ht="26.25" customHeight="1" x14ac:dyDescent="0.4">
      <c r="A15" s="94" t="str">
        <f>"Time Zone: " &amp; Dashboard!D1</f>
        <v>Time Zone: Europe Western</v>
      </c>
      <c r="B15" s="6"/>
      <c r="C15" s="6"/>
      <c r="D15" s="6"/>
      <c r="E15" s="6"/>
      <c r="F15" s="6"/>
      <c r="G15" s="6"/>
      <c r="H15" s="6"/>
      <c r="I15" s="447" t="s">
        <v>592</v>
      </c>
      <c r="J15" s="6"/>
      <c r="K15" s="6"/>
      <c r="L15" s="6"/>
      <c r="M15" s="6"/>
    </row>
    <row r="16" spans="1:21" ht="31.5" x14ac:dyDescent="0.5">
      <c r="A16" s="10"/>
      <c r="B16" s="10"/>
      <c r="C16" s="10"/>
      <c r="D16" s="10"/>
      <c r="E16" s="10"/>
      <c r="F16" s="10"/>
      <c r="G16" s="10"/>
      <c r="H16" s="95" t="s">
        <v>65</v>
      </c>
      <c r="I16" s="10"/>
      <c r="J16" s="10"/>
      <c r="K16" s="10"/>
      <c r="L16" s="10"/>
      <c r="M16" s="10"/>
      <c r="N16" s="486"/>
      <c r="O16" s="486"/>
      <c r="P16" s="486"/>
      <c r="Q16" s="486"/>
      <c r="R16" s="486"/>
      <c r="S16" s="486"/>
      <c r="T16" s="486"/>
      <c r="U16" s="486"/>
    </row>
    <row r="17" spans="1:21" x14ac:dyDescent="0.4">
      <c r="A17" s="189" t="s">
        <v>543</v>
      </c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</row>
    <row r="18" spans="1:21" x14ac:dyDescent="0.4">
      <c r="A18" s="168">
        <f ca="1">IFERROR(INDIRECT("fixtures!" &amp; Dashboard!J1 &amp;12) - Dashboard!K1/24,"TBC")</f>
        <v>44786.604166666664</v>
      </c>
      <c r="B18" s="96" t="s">
        <v>2</v>
      </c>
      <c r="C18" s="11"/>
      <c r="D18" s="96">
        <f>IF(ISBLANK(fixtures!$K12),"",fixtures!$K12)</f>
        <v>2</v>
      </c>
      <c r="E18" s="97" t="str">
        <f>IF(ISBLANK(fixtures!$L12),"",":")</f>
        <v>:</v>
      </c>
      <c r="F18" s="98">
        <f>IF(ISBLANK(fixtures!$L12),"",fixtures!$L12)</f>
        <v>1</v>
      </c>
      <c r="G18" s="11"/>
      <c r="H18" s="98" t="s">
        <v>7</v>
      </c>
      <c r="I18" s="98" t="s">
        <v>58</v>
      </c>
      <c r="J18" s="11"/>
      <c r="K18" s="11"/>
      <c r="L18" s="11"/>
      <c r="M18" s="11"/>
      <c r="N18" s="486"/>
      <c r="O18" s="486"/>
      <c r="P18" s="486"/>
      <c r="Q18" s="486"/>
      <c r="R18" s="486"/>
      <c r="S18" s="486"/>
      <c r="T18" s="486"/>
      <c r="U18" s="486"/>
    </row>
    <row r="19" spans="1:21" x14ac:dyDescent="0.4">
      <c r="A19" s="168">
        <f ca="1">IFERROR(INDIRECT("fixtures!" &amp; Dashboard!J1 &amp;13) - Dashboard!K1/24,"TBC")</f>
        <v>44786.708333333336</v>
      </c>
      <c r="B19" s="96" t="s">
        <v>1</v>
      </c>
      <c r="C19" s="11"/>
      <c r="D19" s="96">
        <f>IF(ISBLANK(fixtures!$K13),"",fixtures!$K13)</f>
        <v>4</v>
      </c>
      <c r="E19" s="97" t="str">
        <f>IF(ISBLANK(fixtures!$L13),"",":")</f>
        <v>:</v>
      </c>
      <c r="F19" s="98">
        <f>IF(ISBLANK(fixtures!$L13),"",fixtures!$L13)</f>
        <v>2</v>
      </c>
      <c r="G19" s="11"/>
      <c r="H19" s="98" t="s">
        <v>8</v>
      </c>
      <c r="I19" s="98" t="s">
        <v>57</v>
      </c>
      <c r="J19" s="11"/>
      <c r="K19" s="11"/>
      <c r="L19" s="11"/>
      <c r="M19" s="11"/>
    </row>
    <row r="20" spans="1:21" x14ac:dyDescent="0.4">
      <c r="A20" s="168">
        <f ca="1">IFERROR(INDIRECT("fixtures!" &amp; Dashboard!J1 &amp;14) - Dashboard!K1/24,"TBC")</f>
        <v>44786.708333333336</v>
      </c>
      <c r="B20" s="96" t="s">
        <v>4</v>
      </c>
      <c r="C20" s="11"/>
      <c r="D20" s="96">
        <f>IF(ISBLANK(fixtures!$K14),"",fixtures!$K14)</f>
        <v>0</v>
      </c>
      <c r="E20" s="97" t="str">
        <f>IF(ISBLANK(fixtures!$L14),"",":")</f>
        <v>:</v>
      </c>
      <c r="F20" s="98">
        <f>IF(ISBLANK(fixtures!$L14),"",fixtures!$L14)</f>
        <v>0</v>
      </c>
      <c r="G20" s="11"/>
      <c r="H20" s="98" t="s">
        <v>12</v>
      </c>
      <c r="I20" s="98" t="s">
        <v>151</v>
      </c>
      <c r="J20" s="11"/>
      <c r="K20" s="11"/>
      <c r="L20" s="11"/>
      <c r="M20" s="11"/>
    </row>
    <row r="21" spans="1:21" x14ac:dyDescent="0.4">
      <c r="A21" s="168">
        <f ca="1">IFERROR(INDIRECT("fixtures!" &amp; Dashboard!J1 &amp;15) - Dashboard!K1/24,"TBC")</f>
        <v>44786.708333333336</v>
      </c>
      <c r="B21" s="96" t="s">
        <v>10</v>
      </c>
      <c r="C21" s="11"/>
      <c r="D21" s="96">
        <f>IF(ISBLANK(fixtures!$K15),"",fixtures!$K15)</f>
        <v>4</v>
      </c>
      <c r="E21" s="97" t="str">
        <f>IF(ISBLANK(fixtures!$L15),"",":")</f>
        <v>:</v>
      </c>
      <c r="F21" s="98">
        <f>IF(ISBLANK(fixtures!$L15),"",fixtures!$L15)</f>
        <v>0</v>
      </c>
      <c r="G21" s="11"/>
      <c r="H21" s="98" t="s">
        <v>3</v>
      </c>
      <c r="I21" s="98" t="s">
        <v>61</v>
      </c>
      <c r="J21" s="11"/>
      <c r="K21" s="11"/>
      <c r="L21" s="11"/>
      <c r="M21" s="11"/>
    </row>
    <row r="22" spans="1:21" x14ac:dyDescent="0.4">
      <c r="A22" s="168">
        <f ca="1">IFERROR(INDIRECT("fixtures!" &amp; Dashboard!J1 &amp;16) - Dashboard!K1/24,"TBC")</f>
        <v>44786.708333333336</v>
      </c>
      <c r="B22" s="96" t="s">
        <v>13</v>
      </c>
      <c r="C22" s="11"/>
      <c r="D22" s="96">
        <f>IF(ISBLANK(fixtures!$K16),"",fixtures!$K16)</f>
        <v>2</v>
      </c>
      <c r="E22" s="97" t="str">
        <f>IF(ISBLANK(fixtures!$L16),"",":")</f>
        <v>:</v>
      </c>
      <c r="F22" s="98">
        <f>IF(ISBLANK(fixtures!$L16),"",fixtures!$L16)</f>
        <v>2</v>
      </c>
      <c r="G22" s="11"/>
      <c r="H22" s="98" t="s">
        <v>139</v>
      </c>
      <c r="I22" s="98" t="s">
        <v>60</v>
      </c>
      <c r="J22" s="11"/>
      <c r="K22" s="11"/>
      <c r="L22" s="11"/>
      <c r="M22" s="11"/>
    </row>
    <row r="23" spans="1:21" x14ac:dyDescent="0.4">
      <c r="A23" s="168">
        <f ca="1">IFERROR(INDIRECT("fixtures!" &amp; Dashboard!J1 &amp;17) - Dashboard!K1/24,"TBC")</f>
        <v>44786.708333333336</v>
      </c>
      <c r="B23" s="96" t="s">
        <v>16</v>
      </c>
      <c r="C23" s="11"/>
      <c r="D23" s="96">
        <f>IF(ISBLANK(fixtures!$K17),"",fixtures!$K17)</f>
        <v>0</v>
      </c>
      <c r="E23" s="97" t="str">
        <f>IF(ISBLANK(fixtures!$L17),"",":")</f>
        <v>:</v>
      </c>
      <c r="F23" s="98">
        <f>IF(ISBLANK(fixtures!$L17),"",fixtures!$L17)</f>
        <v>0</v>
      </c>
      <c r="G23" s="11"/>
      <c r="H23" s="98" t="s">
        <v>126</v>
      </c>
      <c r="I23" s="98" t="s">
        <v>63</v>
      </c>
      <c r="J23" s="11"/>
      <c r="K23" s="11"/>
      <c r="L23" s="11"/>
      <c r="M23" s="11"/>
    </row>
    <row r="24" spans="1:21" x14ac:dyDescent="0.4">
      <c r="A24" s="168">
        <f ca="1">IFERROR(INDIRECT("fixtures!" &amp; Dashboard!J1 &amp;18) - Dashboard!K1/24,"TBC")</f>
        <v>44786.8125</v>
      </c>
      <c r="B24" s="96" t="s">
        <v>125</v>
      </c>
      <c r="C24" s="11"/>
      <c r="D24" s="96">
        <f>IF(ISBLANK(fixtures!$K18),"",fixtures!$K18)</f>
        <v>4</v>
      </c>
      <c r="E24" s="97" t="str">
        <f>IF(ISBLANK(fixtures!$L18),"",":")</f>
        <v>:</v>
      </c>
      <c r="F24" s="98">
        <f>IF(ISBLANK(fixtures!$L18),"",fixtures!$L18)</f>
        <v>0</v>
      </c>
      <c r="G24" s="11"/>
      <c r="H24" s="98" t="s">
        <v>11</v>
      </c>
      <c r="I24" s="98" t="s">
        <v>593</v>
      </c>
      <c r="J24" s="11"/>
      <c r="K24" s="11"/>
      <c r="L24" s="11"/>
      <c r="M24" s="11"/>
    </row>
    <row r="25" spans="1:21" x14ac:dyDescent="0.4">
      <c r="A25" s="189" t="s">
        <v>583</v>
      </c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486"/>
      <c r="O25" s="486"/>
      <c r="P25" s="486"/>
      <c r="Q25" s="486"/>
      <c r="R25" s="486"/>
      <c r="S25" s="486"/>
      <c r="T25" s="486"/>
      <c r="U25" s="486"/>
    </row>
    <row r="26" spans="1:21" x14ac:dyDescent="0.4">
      <c r="A26" s="168">
        <f ca="1">IFERROR(INDIRECT("fixtures!" &amp; Dashboard!J1 &amp;19) - Dashboard!K1/24,"TBC")</f>
        <v>44787.666666666664</v>
      </c>
      <c r="B26" s="96" t="s">
        <v>204</v>
      </c>
      <c r="C26" s="11"/>
      <c r="D26" s="96">
        <f>IF(ISBLANK(fixtures!$K19),"",fixtures!$K19)</f>
        <v>1</v>
      </c>
      <c r="E26" s="97" t="str">
        <f>IF(ISBLANK(fixtures!$L19),"",":")</f>
        <v>:</v>
      </c>
      <c r="F26" s="98">
        <f>IF(ISBLANK(fixtures!$L19),"",fixtures!$L19)</f>
        <v>0</v>
      </c>
      <c r="G26" s="11"/>
      <c r="H26" s="98" t="s">
        <v>15</v>
      </c>
      <c r="I26" s="98" t="s">
        <v>436</v>
      </c>
      <c r="J26" s="11"/>
      <c r="K26" s="11"/>
      <c r="L26" s="11"/>
      <c r="M26" s="11"/>
    </row>
    <row r="27" spans="1:21" x14ac:dyDescent="0.4">
      <c r="A27" s="168">
        <f ca="1">IFERROR(INDIRECT("fixtures!" &amp; Dashboard!J1 &amp;20) - Dashboard!K1/24,"TBC")</f>
        <v>44787.770833333336</v>
      </c>
      <c r="B27" s="96" t="s">
        <v>5</v>
      </c>
      <c r="C27" s="11"/>
      <c r="D27" s="96">
        <f>IF(ISBLANK(fixtures!$K20),"",fixtures!$K20)</f>
        <v>2</v>
      </c>
      <c r="E27" s="97" t="str">
        <f>IF(ISBLANK(fixtures!$L20),"",":")</f>
        <v>:</v>
      </c>
      <c r="F27" s="98">
        <f>IF(ISBLANK(fixtures!$L20),"",fixtures!$L20)</f>
        <v>2</v>
      </c>
      <c r="G27" s="11"/>
      <c r="H27" s="98" t="s">
        <v>14</v>
      </c>
      <c r="I27" s="98" t="s">
        <v>62</v>
      </c>
      <c r="J27" s="11"/>
      <c r="K27" s="11"/>
      <c r="L27" s="11"/>
      <c r="M27" s="11"/>
    </row>
    <row r="28" spans="1:21" x14ac:dyDescent="0.4">
      <c r="A28" s="189" t="s">
        <v>584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</row>
    <row r="29" spans="1:21" x14ac:dyDescent="0.4">
      <c r="A29" s="168">
        <f ca="1">IFERROR(INDIRECT("fixtures!" &amp; Dashboard!J1 &amp;21) - Dashboard!K1/24,"TBC")</f>
        <v>44788.916666666664</v>
      </c>
      <c r="B29" s="96" t="s">
        <v>9</v>
      </c>
      <c r="C29" s="11"/>
      <c r="D29" s="96">
        <f>IF(ISBLANK(fixtures!$K21),"",fixtures!$K21)</f>
        <v>1</v>
      </c>
      <c r="E29" s="97" t="str">
        <f>IF(ISBLANK(fixtures!$L21),"",":")</f>
        <v>:</v>
      </c>
      <c r="F29" s="98">
        <f>IF(ISBLANK(fixtures!$L21),"",fixtures!$L21)</f>
        <v>1</v>
      </c>
      <c r="G29" s="11"/>
      <c r="H29" s="98" t="s">
        <v>6</v>
      </c>
      <c r="I29" s="98" t="s">
        <v>48</v>
      </c>
      <c r="J29" s="11"/>
      <c r="K29" s="11"/>
      <c r="L29" s="11"/>
      <c r="M29" s="11"/>
    </row>
    <row r="30" spans="1:21" x14ac:dyDescent="0.4">
      <c r="A30" s="99" t="str">
        <f>"Time Zone: " &amp; Dashboard!D1</f>
        <v>Time Zone: Europe Western</v>
      </c>
      <c r="B30" s="11"/>
      <c r="C30" s="11"/>
      <c r="D30" s="11"/>
      <c r="E30" s="11"/>
      <c r="F30" s="11"/>
      <c r="G30" s="11"/>
      <c r="H30" s="11"/>
      <c r="I30" s="448" t="s">
        <v>592</v>
      </c>
      <c r="J30" s="11"/>
      <c r="K30" s="11"/>
      <c r="L30" s="11"/>
      <c r="M30" s="11"/>
    </row>
    <row r="31" spans="1:21" ht="31.5" x14ac:dyDescent="0.5">
      <c r="A31" s="12"/>
      <c r="B31" s="12"/>
      <c r="C31" s="12"/>
      <c r="D31" s="12"/>
      <c r="E31" s="12"/>
      <c r="F31" s="12"/>
      <c r="G31" s="12"/>
      <c r="H31" s="100" t="s">
        <v>66</v>
      </c>
      <c r="I31" s="12"/>
      <c r="J31" s="12"/>
      <c r="K31" s="12"/>
      <c r="L31" s="12"/>
      <c r="M31" s="12"/>
      <c r="N31" s="486"/>
      <c r="O31" s="486"/>
      <c r="P31" s="486"/>
      <c r="Q31" s="486"/>
      <c r="R31" s="486"/>
      <c r="S31" s="486"/>
      <c r="T31" s="486"/>
      <c r="U31" s="486"/>
    </row>
    <row r="32" spans="1:21" x14ac:dyDescent="0.4">
      <c r="A32" s="191" t="s">
        <v>544</v>
      </c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</row>
    <row r="33" spans="1:21" x14ac:dyDescent="0.4">
      <c r="A33" s="169">
        <f ca="1">IFERROR(INDIRECT("fixtures!" &amp; Dashboard!J1 &amp;22) - Dashboard!K1/24,"TBC")</f>
        <v>44793.604166666664</v>
      </c>
      <c r="B33" s="101" t="s">
        <v>14</v>
      </c>
      <c r="C33" s="13"/>
      <c r="D33" s="101">
        <f>IF(ISBLANK(fixtures!$K22),"",fixtures!$K22)</f>
        <v>1</v>
      </c>
      <c r="E33" s="102" t="str">
        <f>IF(ISBLANK(fixtures!$L22),"",":")</f>
        <v>:</v>
      </c>
      <c r="F33" s="103">
        <f>IF(ISBLANK(fixtures!$L22),"",fixtures!$L22)</f>
        <v>0</v>
      </c>
      <c r="G33" s="13"/>
      <c r="H33" s="103" t="s">
        <v>16</v>
      </c>
      <c r="I33" s="103" t="s">
        <v>53</v>
      </c>
      <c r="J33" s="13"/>
      <c r="K33" s="13"/>
      <c r="L33" s="13"/>
      <c r="M33" s="13"/>
    </row>
    <row r="34" spans="1:21" x14ac:dyDescent="0.4">
      <c r="A34" s="169">
        <f ca="1">IFERROR(INDIRECT("fixtures!" &amp; Dashboard!J1 &amp;23) - Dashboard!K1/24,"TBC")</f>
        <v>44793.708333333336</v>
      </c>
      <c r="B34" s="101" t="s">
        <v>6</v>
      </c>
      <c r="C34" s="13"/>
      <c r="D34" s="101">
        <f>IF(ISBLANK(fixtures!$K23),"",fixtures!$K23)</f>
        <v>3</v>
      </c>
      <c r="E34" s="102" t="str">
        <f>IF(ISBLANK(fixtures!$L23),"",":")</f>
        <v>:</v>
      </c>
      <c r="F34" s="103">
        <f>IF(ISBLANK(fixtures!$L23),"",fixtures!$L23)</f>
        <v>1</v>
      </c>
      <c r="G34" s="13"/>
      <c r="H34" s="103" t="s">
        <v>2</v>
      </c>
      <c r="I34" s="103" t="s">
        <v>52</v>
      </c>
      <c r="J34" s="13"/>
      <c r="K34" s="13"/>
      <c r="L34" s="13"/>
      <c r="M34" s="13"/>
    </row>
    <row r="35" spans="1:21" x14ac:dyDescent="0.4">
      <c r="A35" s="169">
        <f ca="1">IFERROR(INDIRECT("fixtures!" &amp; Dashboard!J1 &amp;24) - Dashboard!K1/24,"TBC")</f>
        <v>44793.708333333336</v>
      </c>
      <c r="B35" s="101" t="s">
        <v>7</v>
      </c>
      <c r="C35" s="13"/>
      <c r="D35" s="101">
        <f>IF(ISBLANK(fixtures!$K24),"",fixtures!$K24)</f>
        <v>1</v>
      </c>
      <c r="E35" s="102" t="str">
        <f>IF(ISBLANK(fixtures!$L24),"",":")</f>
        <v>:</v>
      </c>
      <c r="F35" s="103">
        <f>IF(ISBLANK(fixtures!$L24),"",fixtures!$L24)</f>
        <v>1</v>
      </c>
      <c r="G35" s="13"/>
      <c r="H35" s="103" t="s">
        <v>204</v>
      </c>
      <c r="I35" s="103" t="s">
        <v>59</v>
      </c>
      <c r="J35" s="13"/>
      <c r="K35" s="13"/>
      <c r="L35" s="13"/>
      <c r="M35" s="13"/>
    </row>
    <row r="36" spans="1:21" x14ac:dyDescent="0.4">
      <c r="A36" s="169">
        <f ca="1">IFERROR(INDIRECT("fixtures!" &amp; Dashboard!J1 &amp;25) - Dashboard!K1/24,"TBC")</f>
        <v>44793.708333333336</v>
      </c>
      <c r="B36" s="101" t="s">
        <v>126</v>
      </c>
      <c r="C36" s="13"/>
      <c r="D36" s="101">
        <f>IF(ISBLANK(fixtures!$K25),"",fixtures!$K25)</f>
        <v>3</v>
      </c>
      <c r="E36" s="102" t="str">
        <f>IF(ISBLANK(fixtures!$L25),"",":")</f>
        <v>:</v>
      </c>
      <c r="F36" s="103">
        <f>IF(ISBLANK(fixtures!$L25),"",fixtures!$L25)</f>
        <v>2</v>
      </c>
      <c r="G36" s="13"/>
      <c r="H36" s="103" t="s">
        <v>125</v>
      </c>
      <c r="I36" s="103" t="s">
        <v>431</v>
      </c>
      <c r="J36" s="13"/>
      <c r="K36" s="13"/>
      <c r="L36" s="13"/>
      <c r="M36" s="13"/>
    </row>
    <row r="37" spans="1:21" x14ac:dyDescent="0.4">
      <c r="A37" s="169">
        <f ca="1">IFERROR(INDIRECT("fixtures!" &amp; Dashboard!J1 &amp;26) - Dashboard!K1/24,"TBC")</f>
        <v>44793.708333333336</v>
      </c>
      <c r="B37" s="101" t="s">
        <v>8</v>
      </c>
      <c r="C37" s="13"/>
      <c r="D37" s="101">
        <f>IF(ISBLANK(fixtures!$K26),"",fixtures!$K26)</f>
        <v>1</v>
      </c>
      <c r="E37" s="102" t="str">
        <f>IF(ISBLANK(fixtures!$L26),"",":")</f>
        <v>:</v>
      </c>
      <c r="F37" s="103">
        <f>IF(ISBLANK(fixtures!$L26),"",fixtures!$L26)</f>
        <v>2</v>
      </c>
      <c r="G37" s="13"/>
      <c r="H37" s="103" t="s">
        <v>13</v>
      </c>
      <c r="I37" s="103" t="s">
        <v>54</v>
      </c>
      <c r="J37" s="13"/>
      <c r="K37" s="13"/>
      <c r="L37" s="13"/>
      <c r="M37" s="13"/>
    </row>
    <row r="38" spans="1:21" x14ac:dyDescent="0.4">
      <c r="A38" s="169">
        <f ca="1">IFERROR(INDIRECT("fixtures!" &amp; Dashboard!J1 &amp;27) - Dashboard!K1/24,"TBC")</f>
        <v>44793.8125</v>
      </c>
      <c r="B38" s="101" t="s">
        <v>3</v>
      </c>
      <c r="C38" s="13"/>
      <c r="D38" s="101">
        <f>IF(ISBLANK(fixtures!$K27),"",fixtures!$K27)</f>
        <v>0</v>
      </c>
      <c r="E38" s="102" t="str">
        <f>IF(ISBLANK(fixtures!$L27),"",":")</f>
        <v>:</v>
      </c>
      <c r="F38" s="103">
        <f>IF(ISBLANK(fixtures!$L27),"",fixtures!$L27)</f>
        <v>3</v>
      </c>
      <c r="G38" s="13"/>
      <c r="H38" s="103" t="s">
        <v>1</v>
      </c>
      <c r="I38" s="103" t="s">
        <v>51</v>
      </c>
      <c r="J38" s="13"/>
      <c r="K38" s="13"/>
      <c r="L38" s="13"/>
      <c r="M38" s="13"/>
    </row>
    <row r="39" spans="1:21" x14ac:dyDescent="0.4">
      <c r="A39" s="191" t="s">
        <v>585</v>
      </c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486"/>
      <c r="O39" s="486"/>
      <c r="P39" s="486"/>
      <c r="Q39" s="486"/>
      <c r="R39" s="486"/>
      <c r="S39" s="486"/>
      <c r="T39" s="486"/>
      <c r="U39" s="486"/>
    </row>
    <row r="40" spans="1:21" x14ac:dyDescent="0.4">
      <c r="A40" s="169">
        <f ca="1">IFERROR(INDIRECT("fixtures!" &amp; Dashboard!J1 &amp;28) - Dashboard!K1/24,"TBC")</f>
        <v>44794.666666666664</v>
      </c>
      <c r="B40" s="101" t="s">
        <v>139</v>
      </c>
      <c r="C40" s="13"/>
      <c r="D40" s="101">
        <f>IF(ISBLANK(fixtures!$K28),"",fixtures!$K28)</f>
        <v>3</v>
      </c>
      <c r="E40" s="102" t="str">
        <f>IF(ISBLANK(fixtures!$L28),"",":")</f>
        <v>:</v>
      </c>
      <c r="F40" s="103">
        <f>IF(ISBLANK(fixtures!$L28),"",fixtures!$L28)</f>
        <v>0</v>
      </c>
      <c r="G40" s="13"/>
      <c r="H40" s="103" t="s">
        <v>5</v>
      </c>
      <c r="I40" s="103" t="s">
        <v>140</v>
      </c>
      <c r="J40" s="13"/>
      <c r="K40" s="13"/>
      <c r="L40" s="13"/>
      <c r="M40" s="13"/>
    </row>
    <row r="41" spans="1:21" x14ac:dyDescent="0.4">
      <c r="A41" s="169">
        <f ca="1">IFERROR(INDIRECT("fixtures!" &amp; Dashboard!J1 &amp;29) - Dashboard!K1/24,"TBC")</f>
        <v>44794.666666666664</v>
      </c>
      <c r="B41" s="101" t="s">
        <v>15</v>
      </c>
      <c r="C41" s="13"/>
      <c r="D41" s="101">
        <f>IF(ISBLANK(fixtures!$K29),"",fixtures!$K29)</f>
        <v>0</v>
      </c>
      <c r="E41" s="102" t="str">
        <f>IF(ISBLANK(fixtures!$L29),"",":")</f>
        <v>:</v>
      </c>
      <c r="F41" s="103">
        <f>IF(ISBLANK(fixtures!$L29),"",fixtures!$L29)</f>
        <v>2</v>
      </c>
      <c r="G41" s="13"/>
      <c r="H41" s="103" t="s">
        <v>4</v>
      </c>
      <c r="I41" s="103" t="s">
        <v>50</v>
      </c>
      <c r="J41" s="13"/>
      <c r="K41" s="13"/>
      <c r="L41" s="13"/>
      <c r="M41" s="13"/>
    </row>
    <row r="42" spans="1:21" x14ac:dyDescent="0.4">
      <c r="A42" s="169">
        <f ca="1">IFERROR(INDIRECT("fixtures!" &amp; Dashboard!J1 &amp;30) - Dashboard!K1/24,"TBC")</f>
        <v>44794.770833333336</v>
      </c>
      <c r="B42" s="101" t="s">
        <v>12</v>
      </c>
      <c r="C42" s="13"/>
      <c r="D42" s="101">
        <f>IF(ISBLANK(fixtures!$K30),"",fixtures!$K30)</f>
        <v>3</v>
      </c>
      <c r="E42" s="102" t="str">
        <f>IF(ISBLANK(fixtures!$L30),"",":")</f>
        <v>:</v>
      </c>
      <c r="F42" s="103">
        <f>IF(ISBLANK(fixtures!$L30),"",fixtures!$L30)</f>
        <v>3</v>
      </c>
      <c r="G42" s="13"/>
      <c r="H42" s="103" t="s">
        <v>10</v>
      </c>
      <c r="I42" s="103" t="s">
        <v>55</v>
      </c>
      <c r="J42" s="13"/>
      <c r="K42" s="13"/>
      <c r="L42" s="13"/>
      <c r="M42" s="13"/>
      <c r="N42" s="486"/>
      <c r="O42" s="486"/>
      <c r="P42" s="486"/>
      <c r="Q42" s="486"/>
      <c r="R42" s="486"/>
      <c r="S42" s="486"/>
      <c r="T42" s="486"/>
      <c r="U42" s="486"/>
    </row>
    <row r="43" spans="1:21" x14ac:dyDescent="0.4">
      <c r="A43" s="191" t="s">
        <v>586</v>
      </c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</row>
    <row r="44" spans="1:21" x14ac:dyDescent="0.4">
      <c r="A44" s="169">
        <f ca="1">IFERROR(INDIRECT("fixtures!" &amp; Dashboard!J1 &amp;31) - Dashboard!K1/24,"TBC")</f>
        <v>44795.916666666664</v>
      </c>
      <c r="B44" s="101" t="s">
        <v>11</v>
      </c>
      <c r="C44" s="13"/>
      <c r="D44" s="101">
        <f>IF(ISBLANK(fixtures!$K31),"",fixtures!$K31)</f>
        <v>2</v>
      </c>
      <c r="E44" s="102" t="str">
        <f>IF(ISBLANK(fixtures!$L31),"",":")</f>
        <v>:</v>
      </c>
      <c r="F44" s="103">
        <f>IF(ISBLANK(fixtures!$L31),"",fixtures!$L31)</f>
        <v>1</v>
      </c>
      <c r="G44" s="13"/>
      <c r="H44" s="103" t="s">
        <v>9</v>
      </c>
      <c r="I44" s="103" t="s">
        <v>56</v>
      </c>
      <c r="J44" s="13"/>
      <c r="K44" s="13"/>
      <c r="L44" s="13"/>
      <c r="M44" s="13"/>
    </row>
    <row r="45" spans="1:21" x14ac:dyDescent="0.4">
      <c r="A45" s="104" t="str">
        <f>"Time Zone: " &amp; Dashboard!D1</f>
        <v>Time Zone: Europe Western</v>
      </c>
      <c r="B45" s="13"/>
      <c r="C45" s="13"/>
      <c r="D45" s="13"/>
      <c r="E45" s="13"/>
      <c r="F45" s="13"/>
      <c r="G45" s="13"/>
      <c r="H45" s="13"/>
      <c r="I45" s="449" t="s">
        <v>592</v>
      </c>
      <c r="J45" s="13"/>
      <c r="K45" s="13"/>
      <c r="L45" s="13"/>
      <c r="M45" s="13"/>
    </row>
    <row r="46" spans="1:21" ht="31.5" x14ac:dyDescent="0.5">
      <c r="A46" s="14"/>
      <c r="B46" s="14"/>
      <c r="C46" s="14"/>
      <c r="D46" s="14"/>
      <c r="E46" s="14"/>
      <c r="F46" s="14"/>
      <c r="G46" s="14"/>
      <c r="H46" s="179" t="s">
        <v>67</v>
      </c>
      <c r="I46" s="14"/>
      <c r="J46" s="14"/>
      <c r="K46" s="14"/>
      <c r="L46" s="14"/>
      <c r="M46" s="14"/>
      <c r="N46" s="486"/>
      <c r="O46" s="486"/>
      <c r="P46" s="486"/>
      <c r="Q46" s="486"/>
      <c r="R46" s="486"/>
      <c r="S46" s="486"/>
      <c r="T46" s="486"/>
      <c r="U46" s="486"/>
    </row>
    <row r="47" spans="1:21" x14ac:dyDescent="0.4">
      <c r="A47" s="193" t="s">
        <v>545</v>
      </c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</row>
    <row r="48" spans="1:21" x14ac:dyDescent="0.4">
      <c r="A48" s="180">
        <f ca="1">IFERROR(INDIRECT("fixtures!" &amp; Dashboard!J1 &amp;32) - Dashboard!K1/24,"TBC")</f>
        <v>44800.604166666664</v>
      </c>
      <c r="B48" s="181" t="s">
        <v>13</v>
      </c>
      <c r="C48" s="15"/>
      <c r="D48" s="181">
        <f>IF(ISBLANK(fixtures!$K32),"",fixtures!$K32)</f>
        <v>0</v>
      </c>
      <c r="E48" s="182" t="str">
        <f>IF(ISBLANK(fixtures!$L32),"",":")</f>
        <v>:</v>
      </c>
      <c r="F48" s="183">
        <f>IF(ISBLANK(fixtures!$L32),"",fixtures!$L32)</f>
        <v>1</v>
      </c>
      <c r="G48" s="15"/>
      <c r="H48" s="183" t="s">
        <v>11</v>
      </c>
      <c r="I48" s="183" t="s">
        <v>60</v>
      </c>
      <c r="J48" s="15"/>
      <c r="K48" s="15"/>
      <c r="L48" s="15"/>
      <c r="M48" s="15"/>
    </row>
    <row r="49" spans="1:21" x14ac:dyDescent="0.4">
      <c r="A49" s="180">
        <f ca="1">IFERROR(INDIRECT("fixtures!" &amp; Dashboard!J1 &amp;33) - Dashboard!K1/24,"TBC")</f>
        <v>44800.708333333336</v>
      </c>
      <c r="B49" s="181" t="s">
        <v>125</v>
      </c>
      <c r="C49" s="15"/>
      <c r="D49" s="181">
        <f>IF(ISBLANK(fixtures!$K33),"",fixtures!$K33)</f>
        <v>1</v>
      </c>
      <c r="E49" s="182" t="str">
        <f>IF(ISBLANK(fixtures!$L33),"",":")</f>
        <v>:</v>
      </c>
      <c r="F49" s="183">
        <f>IF(ISBLANK(fixtures!$L33),"",fixtures!$L33)</f>
        <v>1</v>
      </c>
      <c r="G49" s="15"/>
      <c r="H49" s="183" t="s">
        <v>7</v>
      </c>
      <c r="I49" s="183" t="s">
        <v>593</v>
      </c>
      <c r="J49" s="15"/>
      <c r="K49" s="15"/>
      <c r="L49" s="15"/>
      <c r="M49" s="15"/>
    </row>
    <row r="50" spans="1:21" x14ac:dyDescent="0.4">
      <c r="A50" s="180">
        <f ca="1">IFERROR(INDIRECT("fixtures!" &amp; Dashboard!J1 &amp;34) - Dashboard!K1/24,"TBC")</f>
        <v>44800.708333333336</v>
      </c>
      <c r="B50" s="181" t="s">
        <v>4</v>
      </c>
      <c r="C50" s="15"/>
      <c r="D50" s="181">
        <f>IF(ISBLANK(fixtures!$K34),"",fixtures!$K34)</f>
        <v>1</v>
      </c>
      <c r="E50" s="182" t="str">
        <f>IF(ISBLANK(fixtures!$L34),"",":")</f>
        <v>:</v>
      </c>
      <c r="F50" s="183">
        <f>IF(ISBLANK(fixtures!$L34),"",fixtures!$L34)</f>
        <v>0</v>
      </c>
      <c r="G50" s="15"/>
      <c r="H50" s="183" t="s">
        <v>139</v>
      </c>
      <c r="I50" s="183" t="s">
        <v>151</v>
      </c>
      <c r="J50" s="15"/>
      <c r="K50" s="15"/>
      <c r="L50" s="15"/>
      <c r="M50" s="15"/>
    </row>
    <row r="51" spans="1:21" x14ac:dyDescent="0.4">
      <c r="A51" s="180">
        <f ca="1">IFERROR(INDIRECT("fixtures!" &amp; Dashboard!J1 &amp;35) - Dashboard!K1/24,"TBC")</f>
        <v>44800.708333333336</v>
      </c>
      <c r="B51" s="181" t="s">
        <v>5</v>
      </c>
      <c r="C51" s="15"/>
      <c r="D51" s="181">
        <f>IF(ISBLANK(fixtures!$K35),"",fixtures!$K35)</f>
        <v>2</v>
      </c>
      <c r="E51" s="182" t="str">
        <f>IF(ISBLANK(fixtures!$L35),"",":")</f>
        <v>:</v>
      </c>
      <c r="F51" s="183">
        <f>IF(ISBLANK(fixtures!$L35),"",fixtures!$L35)</f>
        <v>1</v>
      </c>
      <c r="G51" s="15"/>
      <c r="H51" s="183" t="s">
        <v>8</v>
      </c>
      <c r="I51" s="183" t="s">
        <v>62</v>
      </c>
      <c r="J51" s="15"/>
      <c r="K51" s="15"/>
      <c r="L51" s="15"/>
      <c r="M51" s="15"/>
    </row>
    <row r="52" spans="1:21" x14ac:dyDescent="0.4">
      <c r="A52" s="180">
        <f ca="1">IFERROR(INDIRECT("fixtures!" &amp; Dashboard!J1 &amp;36) - Dashboard!K1/24,"TBC")</f>
        <v>44800.708333333336</v>
      </c>
      <c r="B52" s="181" t="s">
        <v>9</v>
      </c>
      <c r="C52" s="15"/>
      <c r="D52" s="181">
        <f>IF(ISBLANK(fixtures!$K36),"",fixtures!$K36)</f>
        <v>9</v>
      </c>
      <c r="E52" s="182" t="str">
        <f>IF(ISBLANK(fixtures!$L36),"",":")</f>
        <v>:</v>
      </c>
      <c r="F52" s="183">
        <f>IF(ISBLANK(fixtures!$L36),"",fixtures!$L36)</f>
        <v>0</v>
      </c>
      <c r="G52" s="15"/>
      <c r="H52" s="183" t="s">
        <v>3</v>
      </c>
      <c r="I52" s="183" t="s">
        <v>48</v>
      </c>
      <c r="J52" s="15"/>
      <c r="K52" s="15"/>
      <c r="L52" s="15"/>
      <c r="M52" s="15"/>
    </row>
    <row r="53" spans="1:21" x14ac:dyDescent="0.4">
      <c r="A53" s="180">
        <f ca="1">IFERROR(INDIRECT("fixtures!" &amp; Dashboard!J1 &amp;37) - Dashboard!K1/24,"TBC")</f>
        <v>44800.708333333336</v>
      </c>
      <c r="B53" s="181" t="s">
        <v>10</v>
      </c>
      <c r="C53" s="15"/>
      <c r="D53" s="181">
        <f>IF(ISBLANK(fixtures!$K37),"",fixtures!$K37)</f>
        <v>4</v>
      </c>
      <c r="E53" s="182" t="str">
        <f>IF(ISBLANK(fixtures!$L37),"",":")</f>
        <v>:</v>
      </c>
      <c r="F53" s="183">
        <f>IF(ISBLANK(fixtures!$L37),"",fixtures!$L37)</f>
        <v>2</v>
      </c>
      <c r="G53" s="15"/>
      <c r="H53" s="183" t="s">
        <v>6</v>
      </c>
      <c r="I53" s="183" t="s">
        <v>61</v>
      </c>
      <c r="J53" s="15"/>
      <c r="K53" s="15"/>
      <c r="L53" s="15"/>
      <c r="M53" s="15"/>
      <c r="N53" s="486"/>
      <c r="O53" s="486"/>
      <c r="P53" s="486"/>
      <c r="Q53" s="486"/>
      <c r="R53" s="486"/>
      <c r="S53" s="486"/>
      <c r="T53" s="486"/>
      <c r="U53" s="486"/>
    </row>
    <row r="54" spans="1:21" x14ac:dyDescent="0.4">
      <c r="A54" s="180">
        <f ca="1">IFERROR(INDIRECT("fixtures!" &amp; Dashboard!J1 &amp;38) - Dashboard!K1/24,"TBC")</f>
        <v>44800.8125</v>
      </c>
      <c r="B54" s="181" t="s">
        <v>1</v>
      </c>
      <c r="C54" s="15"/>
      <c r="D54" s="181">
        <f>IF(ISBLANK(fixtures!$K38),"",fixtures!$K38)</f>
        <v>2</v>
      </c>
      <c r="E54" s="182" t="str">
        <f>IF(ISBLANK(fixtures!$L38),"",":")</f>
        <v>:</v>
      </c>
      <c r="F54" s="183">
        <f>IF(ISBLANK(fixtures!$L38),"",fixtures!$L38)</f>
        <v>1</v>
      </c>
      <c r="G54" s="15"/>
      <c r="H54" s="183" t="s">
        <v>126</v>
      </c>
      <c r="I54" s="183" t="s">
        <v>57</v>
      </c>
      <c r="J54" s="15"/>
      <c r="K54" s="15"/>
      <c r="L54" s="15"/>
      <c r="M54" s="15"/>
    </row>
    <row r="55" spans="1:21" x14ac:dyDescent="0.4">
      <c r="A55" s="193" t="s">
        <v>587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</row>
    <row r="56" spans="1:21" x14ac:dyDescent="0.4">
      <c r="A56" s="180">
        <f ca="1">IFERROR(INDIRECT("fixtures!" &amp; Dashboard!J1 &amp;39) - Dashboard!K1/24,"TBC")</f>
        <v>44801.666666666664</v>
      </c>
      <c r="B56" s="181" t="s">
        <v>2</v>
      </c>
      <c r="C56" s="15"/>
      <c r="D56" s="181">
        <f>IF(ISBLANK(fixtures!$K39),"",fixtures!$K39)</f>
        <v>0</v>
      </c>
      <c r="E56" s="182" t="str">
        <f>IF(ISBLANK(fixtures!$L39),"",":")</f>
        <v>:</v>
      </c>
      <c r="F56" s="183">
        <f>IF(ISBLANK(fixtures!$L39),"",fixtures!$L39)</f>
        <v>1</v>
      </c>
      <c r="G56" s="15"/>
      <c r="H56" s="183" t="s">
        <v>15</v>
      </c>
      <c r="I56" s="183" t="s">
        <v>58</v>
      </c>
      <c r="J56" s="15"/>
      <c r="K56" s="15"/>
      <c r="L56" s="15"/>
      <c r="M56" s="15"/>
    </row>
    <row r="57" spans="1:21" x14ac:dyDescent="0.4">
      <c r="A57" s="180">
        <f ca="1">IFERROR(INDIRECT("fixtures!" &amp; Dashboard!J1 &amp;40) - Dashboard!K1/24,"TBC")</f>
        <v>44801.666666666664</v>
      </c>
      <c r="B57" s="181" t="s">
        <v>16</v>
      </c>
      <c r="C57" s="15"/>
      <c r="D57" s="181">
        <f>IF(ISBLANK(fixtures!$K40),"",fixtures!$K40)</f>
        <v>1</v>
      </c>
      <c r="E57" s="182" t="str">
        <f>IF(ISBLANK(fixtures!$L40),"",":")</f>
        <v>:</v>
      </c>
      <c r="F57" s="183">
        <f>IF(ISBLANK(fixtures!$L40),"",fixtures!$L40)</f>
        <v>1</v>
      </c>
      <c r="G57" s="15"/>
      <c r="H57" s="183" t="s">
        <v>12</v>
      </c>
      <c r="I57" s="183" t="s">
        <v>63</v>
      </c>
      <c r="J57" s="15"/>
      <c r="K57" s="15"/>
      <c r="L57" s="15"/>
      <c r="M57" s="15"/>
      <c r="N57" s="486"/>
      <c r="O57" s="486"/>
      <c r="P57" s="486"/>
      <c r="Q57" s="486"/>
      <c r="R57" s="486"/>
      <c r="S57" s="486"/>
      <c r="T57" s="486"/>
      <c r="U57" s="486"/>
    </row>
    <row r="58" spans="1:21" x14ac:dyDescent="0.4">
      <c r="A58" s="180">
        <f ca="1">IFERROR(INDIRECT("fixtures!" &amp; Dashboard!J1 &amp;41) - Dashboard!K1/24,"TBC")</f>
        <v>44801.770833333336</v>
      </c>
      <c r="B58" s="181" t="s">
        <v>204</v>
      </c>
      <c r="C58" s="15"/>
      <c r="D58" s="181">
        <f>IF(ISBLANK(fixtures!$K41),"",fixtures!$K41)</f>
        <v>0</v>
      </c>
      <c r="E58" s="182" t="str">
        <f>IF(ISBLANK(fixtures!$L41),"",":")</f>
        <v>:</v>
      </c>
      <c r="F58" s="183">
        <f>IF(ISBLANK(fixtures!$L41),"",fixtures!$L41)</f>
        <v>2</v>
      </c>
      <c r="G58" s="15"/>
      <c r="H58" s="183" t="s">
        <v>14</v>
      </c>
      <c r="I58" s="183" t="s">
        <v>436</v>
      </c>
      <c r="J58" s="15"/>
      <c r="K58" s="15"/>
      <c r="L58" s="15"/>
      <c r="M58" s="15"/>
    </row>
    <row r="59" spans="1:21" x14ac:dyDescent="0.4">
      <c r="A59" s="184" t="str">
        <f>"Time Zone: " &amp; Dashboard!D1</f>
        <v>Time Zone: Europe Western</v>
      </c>
      <c r="B59" s="15"/>
      <c r="C59" s="15"/>
      <c r="D59" s="15"/>
      <c r="E59" s="15"/>
      <c r="F59" s="15"/>
      <c r="G59" s="15"/>
      <c r="H59" s="15"/>
      <c r="I59" s="450" t="s">
        <v>592</v>
      </c>
      <c r="J59" s="15"/>
      <c r="K59" s="15"/>
      <c r="L59" s="15"/>
      <c r="M59" s="15"/>
    </row>
    <row r="60" spans="1:21" ht="31.5" x14ac:dyDescent="0.5">
      <c r="A60" s="205"/>
      <c r="B60" s="205"/>
      <c r="C60" s="205"/>
      <c r="D60" s="205"/>
      <c r="E60" s="205"/>
      <c r="F60" s="205"/>
      <c r="G60" s="205"/>
      <c r="H60" s="266" t="s">
        <v>68</v>
      </c>
      <c r="I60" s="205"/>
      <c r="J60" s="205"/>
      <c r="K60" s="205"/>
      <c r="L60" s="205"/>
      <c r="M60" s="205"/>
    </row>
    <row r="61" spans="1:21" x14ac:dyDescent="0.4">
      <c r="A61" s="267" t="s">
        <v>546</v>
      </c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486"/>
      <c r="O61" s="486"/>
      <c r="P61" s="486"/>
      <c r="Q61" s="486"/>
      <c r="R61" s="486"/>
      <c r="S61" s="486"/>
      <c r="T61" s="486"/>
      <c r="U61" s="486"/>
    </row>
    <row r="62" spans="1:21" x14ac:dyDescent="0.4">
      <c r="A62" s="269">
        <f ca="1">IFERROR(INDIRECT("fixtures!" &amp; Dashboard!J1 &amp;42) - Dashboard!K1/24,"TBC")</f>
        <v>44803.895833333336</v>
      </c>
      <c r="B62" s="270" t="s">
        <v>6</v>
      </c>
      <c r="C62" s="23"/>
      <c r="D62" s="270">
        <f>IF(ISBLANK(fixtures!$K42),"",fixtures!$K42)</f>
        <v>1</v>
      </c>
      <c r="E62" s="271" t="str">
        <f>IF(ISBLANK(fixtures!$L42),"",":")</f>
        <v>:</v>
      </c>
      <c r="F62" s="272">
        <f>IF(ISBLANK(fixtures!$L42),"",fixtures!$L42)</f>
        <v>1</v>
      </c>
      <c r="G62" s="23"/>
      <c r="H62" s="272" t="s">
        <v>125</v>
      </c>
      <c r="I62" s="272" t="s">
        <v>52</v>
      </c>
      <c r="J62" s="23"/>
      <c r="K62" s="23"/>
      <c r="L62" s="23"/>
      <c r="M62" s="23"/>
    </row>
    <row r="63" spans="1:21" x14ac:dyDescent="0.4">
      <c r="A63" s="269">
        <f ca="1">IFERROR(INDIRECT("fixtures!" &amp; Dashboard!J1 &amp;43) - Dashboard!K1/24,"TBC")</f>
        <v>44803.895833333336</v>
      </c>
      <c r="B63" s="270" t="s">
        <v>126</v>
      </c>
      <c r="C63" s="23"/>
      <c r="D63" s="270">
        <f>IF(ISBLANK(fixtures!$K43),"",fixtures!$K43)</f>
        <v>2</v>
      </c>
      <c r="E63" s="271" t="str">
        <f>IF(ISBLANK(fixtures!$L43),"",":")</f>
        <v>:</v>
      </c>
      <c r="F63" s="272">
        <f>IF(ISBLANK(fixtures!$L43),"",fixtures!$L43)</f>
        <v>1</v>
      </c>
      <c r="G63" s="23"/>
      <c r="H63" s="272" t="s">
        <v>4</v>
      </c>
      <c r="I63" s="272" t="s">
        <v>431</v>
      </c>
      <c r="J63" s="23"/>
      <c r="K63" s="23"/>
      <c r="L63" s="23"/>
      <c r="M63" s="23"/>
    </row>
    <row r="64" spans="1:21" x14ac:dyDescent="0.4">
      <c r="A64" s="269">
        <f ca="1">IFERROR(INDIRECT("fixtures!" &amp; Dashboard!J1 &amp;44) - Dashboard!K1/24,"TBC")</f>
        <v>44803.90625</v>
      </c>
      <c r="B64" s="270" t="s">
        <v>13</v>
      </c>
      <c r="C64" s="23"/>
      <c r="D64" s="270">
        <f>IF(ISBLANK(fixtures!$K44),"",fixtures!$K44)</f>
        <v>2</v>
      </c>
      <c r="E64" s="271" t="str">
        <f>IF(ISBLANK(fixtures!$L44),"",":")</f>
        <v>:</v>
      </c>
      <c r="F64" s="272">
        <f>IF(ISBLANK(fixtures!$L44),"",fixtures!$L44)</f>
        <v>1</v>
      </c>
      <c r="G64" s="23"/>
      <c r="H64" s="272" t="s">
        <v>5</v>
      </c>
      <c r="I64" s="272" t="s">
        <v>60</v>
      </c>
      <c r="J64" s="23"/>
      <c r="K64" s="23"/>
      <c r="L64" s="23"/>
      <c r="M64" s="23"/>
    </row>
    <row r="65" spans="1:21" x14ac:dyDescent="0.4">
      <c r="A65" s="269">
        <f ca="1">IFERROR(INDIRECT("fixtures!" &amp; Dashboard!J1 &amp;45) - Dashboard!K1/24,"TBC")</f>
        <v>44803.916666666664</v>
      </c>
      <c r="B65" s="270" t="s">
        <v>139</v>
      </c>
      <c r="C65" s="23"/>
      <c r="D65" s="270">
        <f>IF(ISBLANK(fixtures!$K45),"",fixtures!$K45)</f>
        <v>1</v>
      </c>
      <c r="E65" s="271" t="str">
        <f>IF(ISBLANK(fixtures!$L45),"",":")</f>
        <v>:</v>
      </c>
      <c r="F65" s="272">
        <f>IF(ISBLANK(fixtures!$L45),"",fixtures!$L45)</f>
        <v>1</v>
      </c>
      <c r="G65" s="23"/>
      <c r="H65" s="272" t="s">
        <v>7</v>
      </c>
      <c r="I65" s="272" t="s">
        <v>140</v>
      </c>
      <c r="J65" s="23"/>
      <c r="K65" s="23"/>
      <c r="L65" s="23"/>
      <c r="M65" s="23"/>
    </row>
    <row r="66" spans="1:21" x14ac:dyDescent="0.4">
      <c r="A66" s="267" t="s">
        <v>547</v>
      </c>
      <c r="B66" s="268"/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</row>
    <row r="67" spans="1:21" x14ac:dyDescent="0.4">
      <c r="A67" s="269">
        <f ca="1">IFERROR(INDIRECT("fixtures!" &amp; Dashboard!J1 &amp;46) - Dashboard!K1/24,"TBC")</f>
        <v>44804.895833333336</v>
      </c>
      <c r="B67" s="270" t="s">
        <v>1</v>
      </c>
      <c r="C67" s="23"/>
      <c r="D67" s="270">
        <f>IF(ISBLANK(fixtures!$K46),"",fixtures!$K46)</f>
        <v>2</v>
      </c>
      <c r="E67" s="271" t="str">
        <f>IF(ISBLANK(fixtures!$L46),"",":")</f>
        <v>:</v>
      </c>
      <c r="F67" s="272">
        <f>IF(ISBLANK(fixtures!$L46),"",fixtures!$L46)</f>
        <v>1</v>
      </c>
      <c r="G67" s="23"/>
      <c r="H67" s="272" t="s">
        <v>2</v>
      </c>
      <c r="I67" s="272" t="s">
        <v>57</v>
      </c>
      <c r="J67" s="23"/>
      <c r="K67" s="23"/>
      <c r="L67" s="23"/>
      <c r="M67" s="23"/>
    </row>
    <row r="68" spans="1:21" x14ac:dyDescent="0.4">
      <c r="A68" s="269">
        <f ca="1">IFERROR(INDIRECT("fixtures!" &amp; Dashboard!J1 &amp;47) - Dashboard!K1/24,"TBC")</f>
        <v>44804.895833333336</v>
      </c>
      <c r="B68" s="270" t="s">
        <v>3</v>
      </c>
      <c r="C68" s="23"/>
      <c r="D68" s="270">
        <f>IF(ISBLANK(fixtures!$K47),"",fixtures!$K47)</f>
        <v>0</v>
      </c>
      <c r="E68" s="271" t="str">
        <f>IF(ISBLANK(fixtures!$L47),"",":")</f>
        <v>:</v>
      </c>
      <c r="F68" s="272">
        <f>IF(ISBLANK(fixtures!$L47),"",fixtures!$L47)</f>
        <v>0</v>
      </c>
      <c r="G68" s="23"/>
      <c r="H68" s="272" t="s">
        <v>16</v>
      </c>
      <c r="I68" s="272" t="s">
        <v>51</v>
      </c>
      <c r="J68" s="23"/>
      <c r="K68" s="23"/>
      <c r="L68" s="23"/>
      <c r="M68" s="23"/>
    </row>
    <row r="69" spans="1:21" x14ac:dyDescent="0.4">
      <c r="A69" s="269">
        <f ca="1">IFERROR(INDIRECT("fixtures!" &amp; Dashboard!J1 &amp;48) - Dashboard!K1/24,"TBC")</f>
        <v>44804.895833333336</v>
      </c>
      <c r="B69" s="270" t="s">
        <v>10</v>
      </c>
      <c r="C69" s="23"/>
      <c r="D69" s="270">
        <f>IF(ISBLANK(fixtures!$K48),"",fixtures!$K48)</f>
        <v>6</v>
      </c>
      <c r="E69" s="271" t="str">
        <f>IF(ISBLANK(fixtures!$L48),"",":")</f>
        <v>:</v>
      </c>
      <c r="F69" s="272">
        <f>IF(ISBLANK(fixtures!$L48),"",fixtures!$L48)</f>
        <v>0</v>
      </c>
      <c r="G69" s="23"/>
      <c r="H69" s="272" t="s">
        <v>204</v>
      </c>
      <c r="I69" s="272" t="s">
        <v>61</v>
      </c>
      <c r="J69" s="23"/>
      <c r="K69" s="23"/>
      <c r="L69" s="23"/>
      <c r="M69" s="23"/>
      <c r="N69" s="486"/>
      <c r="O69" s="486"/>
      <c r="P69" s="486"/>
      <c r="Q69" s="486"/>
      <c r="R69" s="486"/>
      <c r="S69" s="486"/>
      <c r="T69" s="486"/>
      <c r="U69" s="486"/>
    </row>
    <row r="70" spans="1:21" x14ac:dyDescent="0.4">
      <c r="A70" s="269">
        <f ca="1">IFERROR(INDIRECT("fixtures!" &amp; Dashboard!J1 &amp;49) - Dashboard!K1/24,"TBC")</f>
        <v>44804.90625</v>
      </c>
      <c r="B70" s="270" t="s">
        <v>15</v>
      </c>
      <c r="C70" s="23"/>
      <c r="D70" s="270">
        <f>IF(ISBLANK(fixtures!$K49),"",fixtures!$K49)</f>
        <v>1</v>
      </c>
      <c r="E70" s="271" t="str">
        <f>IF(ISBLANK(fixtures!$L49),"",":")</f>
        <v>:</v>
      </c>
      <c r="F70" s="272">
        <f>IF(ISBLANK(fixtures!$L49),"",fixtures!$L49)</f>
        <v>1</v>
      </c>
      <c r="G70" s="23"/>
      <c r="H70" s="272" t="s">
        <v>14</v>
      </c>
      <c r="I70" s="272" t="s">
        <v>50</v>
      </c>
      <c r="J70" s="23"/>
      <c r="K70" s="23"/>
      <c r="L70" s="23"/>
      <c r="M70" s="23"/>
    </row>
    <row r="71" spans="1:21" x14ac:dyDescent="0.4">
      <c r="A71" s="269">
        <f ca="1">IFERROR(INDIRECT("fixtures!" &amp; Dashboard!J1 &amp;50) - Dashboard!K1/24,"TBC")</f>
        <v>44804.916666666664</v>
      </c>
      <c r="B71" s="270" t="s">
        <v>9</v>
      </c>
      <c r="C71" s="23"/>
      <c r="D71" s="270">
        <f>IF(ISBLANK(fixtures!$K50),"",fixtures!$K50)</f>
        <v>2</v>
      </c>
      <c r="E71" s="271" t="str">
        <f>IF(ISBLANK(fixtures!$L50),"",":")</f>
        <v>:</v>
      </c>
      <c r="F71" s="272">
        <f>IF(ISBLANK(fixtures!$L50),"",fixtures!$L50)</f>
        <v>1</v>
      </c>
      <c r="G71" s="23"/>
      <c r="H71" s="272" t="s">
        <v>12</v>
      </c>
      <c r="I71" s="272" t="s">
        <v>48</v>
      </c>
      <c r="J71" s="23"/>
      <c r="K71" s="23"/>
      <c r="L71" s="23"/>
      <c r="M71" s="23"/>
    </row>
    <row r="72" spans="1:21" x14ac:dyDescent="0.4">
      <c r="A72" s="267" t="s">
        <v>588</v>
      </c>
      <c r="B72" s="268"/>
      <c r="C72" s="268"/>
      <c r="D72" s="268"/>
      <c r="E72" s="268"/>
      <c r="F72" s="268"/>
      <c r="G72" s="268"/>
      <c r="H72" s="268"/>
      <c r="I72" s="268"/>
      <c r="J72" s="268"/>
      <c r="K72" s="268"/>
      <c r="L72" s="268"/>
      <c r="M72" s="268"/>
    </row>
    <row r="73" spans="1:21" x14ac:dyDescent="0.4">
      <c r="A73" s="269">
        <f ca="1">IFERROR(INDIRECT("fixtures!" &amp; Dashboard!J1 &amp;51) - Dashboard!K1/24,"TBC")</f>
        <v>44805.916666666664</v>
      </c>
      <c r="B73" s="270" t="s">
        <v>8</v>
      </c>
      <c r="C73" s="23"/>
      <c r="D73" s="270">
        <f>IF(ISBLANK(fixtures!$K51),"",fixtures!$K51)</f>
        <v>0</v>
      </c>
      <c r="E73" s="271" t="str">
        <f>IF(ISBLANK(fixtures!$L51),"",":")</f>
        <v>:</v>
      </c>
      <c r="F73" s="272">
        <f>IF(ISBLANK(fixtures!$L51),"",fixtures!$L51)</f>
        <v>1</v>
      </c>
      <c r="G73" s="23"/>
      <c r="H73" s="272" t="s">
        <v>11</v>
      </c>
      <c r="I73" s="272" t="s">
        <v>54</v>
      </c>
      <c r="J73" s="23"/>
      <c r="K73" s="23"/>
      <c r="L73" s="23"/>
      <c r="M73" s="23"/>
    </row>
    <row r="74" spans="1:21" x14ac:dyDescent="0.4">
      <c r="A74" s="273" t="str">
        <f>"Time Zone: " &amp; Dashboard!D1</f>
        <v>Time Zone: Europe Western</v>
      </c>
      <c r="B74" s="23"/>
      <c r="C74" s="23"/>
      <c r="D74" s="23"/>
      <c r="E74" s="23"/>
      <c r="F74" s="23"/>
      <c r="G74" s="23"/>
      <c r="H74" s="23"/>
      <c r="I74" s="451" t="s">
        <v>592</v>
      </c>
      <c r="J74" s="23"/>
      <c r="K74" s="23"/>
      <c r="L74" s="23"/>
      <c r="M74" s="23"/>
    </row>
    <row r="75" spans="1:21" ht="31.5" x14ac:dyDescent="0.5">
      <c r="A75" s="28"/>
      <c r="B75" s="28"/>
      <c r="C75" s="28"/>
      <c r="D75" s="28"/>
      <c r="E75" s="28"/>
      <c r="F75" s="28"/>
      <c r="G75" s="28"/>
      <c r="H75" s="109" t="s">
        <v>69</v>
      </c>
      <c r="I75" s="28"/>
      <c r="J75" s="28"/>
      <c r="K75" s="28"/>
      <c r="L75" s="28"/>
      <c r="M75" s="28"/>
      <c r="N75" s="486"/>
      <c r="O75" s="486"/>
      <c r="P75" s="486"/>
      <c r="Q75" s="486"/>
      <c r="R75" s="486"/>
      <c r="S75" s="486"/>
      <c r="T75" s="486"/>
      <c r="U75" s="486"/>
    </row>
    <row r="76" spans="1:21" x14ac:dyDescent="0.4">
      <c r="A76" s="197" t="s">
        <v>548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</row>
    <row r="77" spans="1:21" x14ac:dyDescent="0.4">
      <c r="A77" s="171">
        <f ca="1">IFERROR(INDIRECT("fixtures!" &amp; Dashboard!J1 &amp;52) - Dashboard!K1/24,"TBC")</f>
        <v>44807.604166666664</v>
      </c>
      <c r="B77" s="110" t="s">
        <v>7</v>
      </c>
      <c r="C77" s="29"/>
      <c r="D77" s="110">
        <f>IF(ISBLANK(fixtures!$K52),"",fixtures!$K52)</f>
        <v>0</v>
      </c>
      <c r="E77" s="111" t="str">
        <f>IF(ISBLANK(fixtures!$L52),"",":")</f>
        <v>:</v>
      </c>
      <c r="F77" s="112">
        <f>IF(ISBLANK(fixtures!$L52),"",fixtures!$L52)</f>
        <v>0</v>
      </c>
      <c r="G77" s="29"/>
      <c r="H77" s="112" t="s">
        <v>9</v>
      </c>
      <c r="I77" s="112" t="s">
        <v>59</v>
      </c>
      <c r="J77" s="29"/>
      <c r="K77" s="29"/>
      <c r="L77" s="29"/>
      <c r="M77" s="29"/>
    </row>
    <row r="78" spans="1:21" x14ac:dyDescent="0.4">
      <c r="A78" s="171">
        <f ca="1">IFERROR(INDIRECT("fixtures!" &amp; Dashboard!J1 &amp;53) - Dashboard!K1/24,"TBC")</f>
        <v>44807.708333333336</v>
      </c>
      <c r="B78" s="110" t="s">
        <v>125</v>
      </c>
      <c r="C78" s="29"/>
      <c r="D78" s="110">
        <f>IF(ISBLANK(fixtures!$K53),"",fixtures!$K53)</f>
        <v>5</v>
      </c>
      <c r="E78" s="111" t="str">
        <f>IF(ISBLANK(fixtures!$L53),"",":")</f>
        <v>:</v>
      </c>
      <c r="F78" s="112">
        <f>IF(ISBLANK(fixtures!$L53),"",fixtures!$L53)</f>
        <v>2</v>
      </c>
      <c r="G78" s="29"/>
      <c r="H78" s="112" t="s">
        <v>139</v>
      </c>
      <c r="I78" s="112" t="s">
        <v>593</v>
      </c>
      <c r="J78" s="29"/>
      <c r="K78" s="29"/>
      <c r="L78" s="29"/>
      <c r="M78" s="29"/>
    </row>
    <row r="79" spans="1:21" x14ac:dyDescent="0.4">
      <c r="A79" s="171">
        <f ca="1">IFERROR(INDIRECT("fixtures!" &amp; Dashboard!J1 &amp;54) - Dashboard!K1/24,"TBC")</f>
        <v>44807.708333333336</v>
      </c>
      <c r="B79" s="110" t="s">
        <v>5</v>
      </c>
      <c r="C79" s="29"/>
      <c r="D79" s="110">
        <f>IF(ISBLANK(fixtures!$K54),"",fixtures!$K54)</f>
        <v>2</v>
      </c>
      <c r="E79" s="111" t="str">
        <f>IF(ISBLANK(fixtures!$L54),"",":")</f>
        <v>:</v>
      </c>
      <c r="F79" s="112">
        <f>IF(ISBLANK(fixtures!$L54),"",fixtures!$L54)</f>
        <v>1</v>
      </c>
      <c r="G79" s="29"/>
      <c r="H79" s="112" t="s">
        <v>15</v>
      </c>
      <c r="I79" s="112" t="s">
        <v>62</v>
      </c>
      <c r="J79" s="29"/>
      <c r="K79" s="29"/>
      <c r="L79" s="29"/>
      <c r="M79" s="29"/>
    </row>
    <row r="80" spans="1:21" x14ac:dyDescent="0.4">
      <c r="A80" s="171">
        <f ca="1">IFERROR(INDIRECT("fixtures!" &amp; Dashboard!J1 &amp;55) - Dashboard!K1/24,"TBC")</f>
        <v>44807.708333333336</v>
      </c>
      <c r="B80" s="110" t="s">
        <v>12</v>
      </c>
      <c r="C80" s="29"/>
      <c r="D80" s="110">
        <f>IF(ISBLANK(fixtures!$K55),"",fixtures!$K55)</f>
        <v>0</v>
      </c>
      <c r="E80" s="111" t="str">
        <f>IF(ISBLANK(fixtures!$L55),"",":")</f>
        <v>:</v>
      </c>
      <c r="F80" s="112">
        <f>IF(ISBLANK(fixtures!$L55),"",fixtures!$L55)</f>
        <v>0</v>
      </c>
      <c r="G80" s="29"/>
      <c r="H80" s="112" t="s">
        <v>6</v>
      </c>
      <c r="I80" s="112" t="s">
        <v>55</v>
      </c>
      <c r="J80" s="29"/>
      <c r="K80" s="29"/>
      <c r="L80" s="29"/>
      <c r="M80" s="29"/>
      <c r="N80" s="486"/>
      <c r="O80" s="486"/>
      <c r="P80" s="486"/>
      <c r="Q80" s="486"/>
      <c r="R80" s="486"/>
      <c r="S80" s="486"/>
      <c r="T80" s="486"/>
      <c r="U80" s="486"/>
    </row>
    <row r="81" spans="1:21" x14ac:dyDescent="0.4">
      <c r="A81" s="171">
        <f ca="1">IFERROR(INDIRECT("fixtures!" &amp; Dashboard!J1 &amp;56) - Dashboard!K1/24,"TBC")</f>
        <v>44807.708333333336</v>
      </c>
      <c r="B81" s="110" t="s">
        <v>204</v>
      </c>
      <c r="C81" s="29"/>
      <c r="D81" s="110">
        <f>IF(ISBLANK(fixtures!$K56),"",fixtures!$K56)</f>
        <v>2</v>
      </c>
      <c r="E81" s="111" t="str">
        <f>IF(ISBLANK(fixtures!$L56),"",":")</f>
        <v>:</v>
      </c>
      <c r="F81" s="112">
        <f>IF(ISBLANK(fixtures!$L56),"",fixtures!$L56)</f>
        <v>3</v>
      </c>
      <c r="G81" s="29"/>
      <c r="H81" s="112" t="s">
        <v>3</v>
      </c>
      <c r="I81" s="112" t="s">
        <v>436</v>
      </c>
      <c r="J81" s="29"/>
      <c r="K81" s="29"/>
      <c r="L81" s="29"/>
      <c r="M81" s="29"/>
    </row>
    <row r="82" spans="1:21" x14ac:dyDescent="0.4">
      <c r="A82" s="171">
        <f ca="1">IFERROR(INDIRECT("fixtures!" &amp; Dashboard!J1 &amp;57) - Dashboard!K1/24,"TBC")</f>
        <v>44807.708333333336</v>
      </c>
      <c r="B82" s="110" t="s">
        <v>14</v>
      </c>
      <c r="C82" s="29"/>
      <c r="D82" s="110">
        <f>IF(ISBLANK(fixtures!$K57),"",fixtures!$K57)</f>
        <v>2</v>
      </c>
      <c r="E82" s="111" t="str">
        <f>IF(ISBLANK(fixtures!$L57),"",":")</f>
        <v>:</v>
      </c>
      <c r="F82" s="112">
        <f>IF(ISBLANK(fixtures!$L57),"",fixtures!$L57)</f>
        <v>1</v>
      </c>
      <c r="G82" s="29"/>
      <c r="H82" s="112" t="s">
        <v>126</v>
      </c>
      <c r="I82" s="112" t="s">
        <v>53</v>
      </c>
      <c r="J82" s="29"/>
      <c r="K82" s="29"/>
      <c r="L82" s="29"/>
      <c r="M82" s="29"/>
    </row>
    <row r="83" spans="1:21" x14ac:dyDescent="0.4">
      <c r="A83" s="171">
        <f ca="1">IFERROR(INDIRECT("fixtures!" &amp; Dashboard!J1 &amp;58) - Dashboard!K1/24,"TBC")</f>
        <v>44807.708333333336</v>
      </c>
      <c r="B83" s="110" t="s">
        <v>16</v>
      </c>
      <c r="C83" s="29"/>
      <c r="D83" s="110">
        <f>IF(ISBLANK(fixtures!$K58),"",fixtures!$K58)</f>
        <v>1</v>
      </c>
      <c r="E83" s="111" t="str">
        <f>IF(ISBLANK(fixtures!$L58),"",":")</f>
        <v>:</v>
      </c>
      <c r="F83" s="112">
        <f>IF(ISBLANK(fixtures!$L58),"",fixtures!$L58)</f>
        <v>0</v>
      </c>
      <c r="G83" s="29"/>
      <c r="H83" s="112" t="s">
        <v>13</v>
      </c>
      <c r="I83" s="112" t="s">
        <v>63</v>
      </c>
      <c r="J83" s="29"/>
      <c r="K83" s="29"/>
      <c r="L83" s="29"/>
      <c r="M83" s="29"/>
    </row>
    <row r="84" spans="1:21" x14ac:dyDescent="0.4">
      <c r="A84" s="171">
        <f ca="1">IFERROR(INDIRECT("fixtures!" &amp; Dashboard!J1 &amp;59) - Dashboard!K1/24,"TBC")</f>
        <v>44807.8125</v>
      </c>
      <c r="B84" s="110" t="s">
        <v>2</v>
      </c>
      <c r="C84" s="29"/>
      <c r="D84" s="110">
        <f>IF(ISBLANK(fixtures!$K59),"",fixtures!$K59)</f>
        <v>1</v>
      </c>
      <c r="E84" s="111" t="str">
        <f>IF(ISBLANK(fixtures!$L59),"",":")</f>
        <v>:</v>
      </c>
      <c r="F84" s="112">
        <f>IF(ISBLANK(fixtures!$L59),"",fixtures!$L59)</f>
        <v>1</v>
      </c>
      <c r="G84" s="29"/>
      <c r="H84" s="112" t="s">
        <v>10</v>
      </c>
      <c r="I84" s="112" t="s">
        <v>58</v>
      </c>
      <c r="J84" s="29"/>
      <c r="K84" s="29"/>
      <c r="L84" s="29"/>
      <c r="M84" s="29"/>
    </row>
    <row r="85" spans="1:21" x14ac:dyDescent="0.4">
      <c r="A85" s="197" t="s">
        <v>589</v>
      </c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</row>
    <row r="86" spans="1:21" x14ac:dyDescent="0.4">
      <c r="A86" s="171">
        <f ca="1">IFERROR(INDIRECT("fixtures!" &amp; Dashboard!J1 &amp;60) - Dashboard!K1/24,"TBC")</f>
        <v>44808.666666666664</v>
      </c>
      <c r="B86" s="110" t="s">
        <v>4</v>
      </c>
      <c r="C86" s="29"/>
      <c r="D86" s="110">
        <f>IF(ISBLANK(fixtures!$K60),"",fixtures!$K60)</f>
        <v>5</v>
      </c>
      <c r="E86" s="111" t="str">
        <f>IF(ISBLANK(fixtures!$L60),"",":")</f>
        <v>:</v>
      </c>
      <c r="F86" s="112">
        <f>IF(ISBLANK(fixtures!$L60),"",fixtures!$L60)</f>
        <v>2</v>
      </c>
      <c r="G86" s="29"/>
      <c r="H86" s="112" t="s">
        <v>8</v>
      </c>
      <c r="I86" s="112" t="s">
        <v>151</v>
      </c>
      <c r="J86" s="29"/>
      <c r="K86" s="29"/>
      <c r="L86" s="29"/>
      <c r="M86" s="29"/>
      <c r="N86" s="486"/>
      <c r="O86" s="486"/>
      <c r="P86" s="486"/>
      <c r="Q86" s="486"/>
      <c r="R86" s="486"/>
      <c r="S86" s="486"/>
      <c r="T86" s="486"/>
      <c r="U86" s="486"/>
    </row>
    <row r="87" spans="1:21" x14ac:dyDescent="0.4">
      <c r="A87" s="171">
        <f ca="1">IFERROR(INDIRECT("fixtures!" &amp; Dashboard!J1 &amp;61) - Dashboard!K1/24,"TBC")</f>
        <v>44808.770833333336</v>
      </c>
      <c r="B87" s="110" t="s">
        <v>11</v>
      </c>
      <c r="C87" s="29"/>
      <c r="D87" s="110">
        <f>IF(ISBLANK(fixtures!$K61),"",fixtures!$K61)</f>
        <v>3</v>
      </c>
      <c r="E87" s="111" t="str">
        <f>IF(ISBLANK(fixtures!$L61),"",":")</f>
        <v>:</v>
      </c>
      <c r="F87" s="112">
        <f>IF(ISBLANK(fixtures!$L61),"",fixtures!$L61)</f>
        <v>1</v>
      </c>
      <c r="G87" s="29"/>
      <c r="H87" s="112" t="s">
        <v>1</v>
      </c>
      <c r="I87" s="112" t="s">
        <v>56</v>
      </c>
      <c r="J87" s="29"/>
      <c r="K87" s="29"/>
      <c r="L87" s="29"/>
      <c r="M87" s="29"/>
    </row>
    <row r="88" spans="1:21" x14ac:dyDescent="0.4">
      <c r="A88" s="113" t="str">
        <f>"Time Zone: " &amp; Dashboard!D1</f>
        <v>Time Zone: Europe Western</v>
      </c>
      <c r="B88" s="29"/>
      <c r="C88" s="29"/>
      <c r="D88" s="29"/>
      <c r="E88" s="29"/>
      <c r="F88" s="29"/>
      <c r="G88" s="29"/>
      <c r="H88" s="29"/>
      <c r="I88" s="452" t="s">
        <v>592</v>
      </c>
      <c r="J88" s="29"/>
      <c r="K88" s="29"/>
      <c r="L88" s="29"/>
      <c r="M88" s="29"/>
    </row>
    <row r="89" spans="1:21" ht="31.5" x14ac:dyDescent="0.5">
      <c r="A89" s="31"/>
      <c r="B89" s="31"/>
      <c r="C89" s="31"/>
      <c r="D89" s="31"/>
      <c r="E89" s="31"/>
      <c r="F89" s="31"/>
      <c r="G89" s="31"/>
      <c r="H89" s="114" t="s">
        <v>70</v>
      </c>
      <c r="I89" s="31"/>
      <c r="J89" s="31"/>
      <c r="K89" s="31"/>
      <c r="L89" s="31"/>
      <c r="M89" s="31"/>
    </row>
    <row r="90" spans="1:21" x14ac:dyDescent="0.4">
      <c r="A90" s="199" t="s">
        <v>590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486"/>
      <c r="O90" s="486"/>
      <c r="P90" s="486"/>
      <c r="Q90" s="486"/>
      <c r="R90" s="486"/>
      <c r="S90" s="486"/>
      <c r="T90" s="486"/>
      <c r="U90" s="486"/>
    </row>
    <row r="91" spans="1:21" x14ac:dyDescent="0.4">
      <c r="A91" s="172">
        <f ca="1">IFERROR(INDIRECT("fixtures!" &amp; Dashboard!J1 &amp;62) - Dashboard!K1/24,"TBC")</f>
        <v>44820.916666666664</v>
      </c>
      <c r="B91" s="115" t="s">
        <v>2</v>
      </c>
      <c r="C91" s="32"/>
      <c r="D91" s="115">
        <f>IF(ISBLANK(fixtures!$K62),"",fixtures!$K62)</f>
        <v>1</v>
      </c>
      <c r="E91" s="116" t="str">
        <f>IF(ISBLANK(fixtures!$L62),"",":")</f>
        <v>:</v>
      </c>
      <c r="F91" s="117">
        <f>IF(ISBLANK(fixtures!$L62),"",fixtures!$L62)</f>
        <v>0</v>
      </c>
      <c r="G91" s="32"/>
      <c r="H91" s="117" t="s">
        <v>13</v>
      </c>
      <c r="I91" s="117" t="s">
        <v>58</v>
      </c>
      <c r="J91" s="32"/>
      <c r="K91" s="32"/>
      <c r="L91" s="32"/>
      <c r="M91" s="32"/>
    </row>
    <row r="92" spans="1:21" x14ac:dyDescent="0.4">
      <c r="A92" s="172">
        <f ca="1">IFERROR(INDIRECT("fixtures!" &amp; Dashboard!J1 &amp;63) - Dashboard!K1/24,"TBC")</f>
        <v>44820.916666666664</v>
      </c>
      <c r="B92" s="115" t="s">
        <v>204</v>
      </c>
      <c r="C92" s="32"/>
      <c r="D92" s="115">
        <f>IF(ISBLANK(fixtures!$K63),"",fixtures!$K63)</f>
        <v>2</v>
      </c>
      <c r="E92" s="116" t="str">
        <f>IF(ISBLANK(fixtures!$L63),"",":")</f>
        <v>:</v>
      </c>
      <c r="F92" s="117">
        <f>IF(ISBLANK(fixtures!$L63),"",fixtures!$L63)</f>
        <v>3</v>
      </c>
      <c r="G92" s="32"/>
      <c r="H92" s="117" t="s">
        <v>126</v>
      </c>
      <c r="I92" s="117" t="s">
        <v>436</v>
      </c>
      <c r="J92" s="32"/>
      <c r="K92" s="32"/>
      <c r="L92" s="32"/>
      <c r="M92" s="32"/>
    </row>
    <row r="93" spans="1:21" x14ac:dyDescent="0.4">
      <c r="A93" s="199" t="s">
        <v>549</v>
      </c>
      <c r="B93" s="200"/>
      <c r="C93" s="200"/>
      <c r="D93" s="200"/>
      <c r="E93" s="200"/>
      <c r="F93" s="200"/>
      <c r="G93" s="200"/>
      <c r="H93" s="200"/>
      <c r="I93" s="200"/>
      <c r="J93" s="200"/>
      <c r="K93" s="200"/>
      <c r="L93" s="200"/>
      <c r="M93" s="200"/>
    </row>
    <row r="94" spans="1:21" x14ac:dyDescent="0.4">
      <c r="A94" s="172">
        <f ca="1">IFERROR(INDIRECT("fixtures!" &amp; Dashboard!J1 &amp;64) - Dashboard!K1/24,"TBC")</f>
        <v>44821.604166666664</v>
      </c>
      <c r="B94" s="115" t="s">
        <v>16</v>
      </c>
      <c r="C94" s="32"/>
      <c r="D94" s="115">
        <f>IF(ISBLANK(fixtures!$K64),"",fixtures!$K64)</f>
        <v>0</v>
      </c>
      <c r="E94" s="116" t="str">
        <f>IF(ISBLANK(fixtures!$L64),"",":")</f>
        <v>:</v>
      </c>
      <c r="F94" s="117">
        <f>IF(ISBLANK(fixtures!$L64),"",fixtures!$L64)</f>
        <v>3</v>
      </c>
      <c r="G94" s="32"/>
      <c r="H94" s="117" t="s">
        <v>10</v>
      </c>
      <c r="I94" s="117" t="s">
        <v>63</v>
      </c>
      <c r="J94" s="32"/>
      <c r="K94" s="32"/>
      <c r="L94" s="32"/>
      <c r="M94" s="32"/>
    </row>
    <row r="95" spans="1:21" x14ac:dyDescent="0.4">
      <c r="A95" s="172">
        <f ca="1">IFERROR(INDIRECT("fixtures!" &amp; Dashboard!J1 &amp;65) - Dashboard!K1/24,"TBC")</f>
        <v>44821.708333333336</v>
      </c>
      <c r="B95" s="115" t="s">
        <v>12</v>
      </c>
      <c r="C95" s="32"/>
      <c r="D95" s="115">
        <f>IF(ISBLANK(fixtures!$K65),"",fixtures!$K65)</f>
        <v>1</v>
      </c>
      <c r="E95" s="116" t="str">
        <f>IF(ISBLANK(fixtures!$L65),"",":")</f>
        <v>:</v>
      </c>
      <c r="F95" s="117">
        <f>IF(ISBLANK(fixtures!$L65),"",fixtures!$L65)</f>
        <v>1</v>
      </c>
      <c r="G95" s="32"/>
      <c r="H95" s="117" t="s">
        <v>3</v>
      </c>
      <c r="I95" s="117" t="s">
        <v>55</v>
      </c>
      <c r="J95" s="32"/>
      <c r="K95" s="32"/>
      <c r="L95" s="32"/>
      <c r="M95" s="32"/>
    </row>
    <row r="96" spans="1:21" x14ac:dyDescent="0.4">
      <c r="A96" s="172">
        <f ca="1">IFERROR(INDIRECT("fixtures!" &amp; Dashboard!J1 &amp;66) - Dashboard!K1/24,"TBC")</f>
        <v>44821.8125</v>
      </c>
      <c r="B96" s="115" t="s">
        <v>14</v>
      </c>
      <c r="C96" s="32"/>
      <c r="D96" s="115">
        <f>IF(ISBLANK(fixtures!$K66),"",fixtures!$K66)</f>
        <v>6</v>
      </c>
      <c r="E96" s="116" t="str">
        <f>IF(ISBLANK(fixtures!$L66),"",":")</f>
        <v>:</v>
      </c>
      <c r="F96" s="117">
        <f>IF(ISBLANK(fixtures!$L66),"",fixtures!$L66)</f>
        <v>2</v>
      </c>
      <c r="G96" s="32"/>
      <c r="H96" s="117" t="s">
        <v>8</v>
      </c>
      <c r="I96" s="117" t="s">
        <v>53</v>
      </c>
      <c r="J96" s="32"/>
      <c r="K96" s="32"/>
      <c r="L96" s="32"/>
      <c r="M96" s="32"/>
    </row>
    <row r="97" spans="1:21" x14ac:dyDescent="0.4">
      <c r="A97" s="199" t="s">
        <v>591</v>
      </c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</row>
    <row r="98" spans="1:21" x14ac:dyDescent="0.4">
      <c r="A98" s="172">
        <f ca="1">IFERROR(INDIRECT("fixtures!" &amp; Dashboard!J1 &amp;67) - Dashboard!K1/24,"TBC")</f>
        <v>44822.583333333336</v>
      </c>
      <c r="B98" s="115" t="s">
        <v>125</v>
      </c>
      <c r="C98" s="32"/>
      <c r="D98" s="115">
        <f>IF(ISBLANK(fixtures!$K67),"",fixtures!$K67)</f>
        <v>0</v>
      </c>
      <c r="E98" s="116" t="str">
        <f>IF(ISBLANK(fixtures!$L67),"",":")</f>
        <v>:</v>
      </c>
      <c r="F98" s="117">
        <f>IF(ISBLANK(fixtures!$L67),"",fixtures!$L67)</f>
        <v>3</v>
      </c>
      <c r="G98" s="32"/>
      <c r="H98" s="117" t="s">
        <v>1</v>
      </c>
      <c r="I98" s="117" t="s">
        <v>593</v>
      </c>
      <c r="J98" s="32"/>
      <c r="K98" s="32"/>
      <c r="L98" s="32"/>
      <c r="M98" s="32"/>
    </row>
    <row r="99" spans="1:21" x14ac:dyDescent="0.4">
      <c r="A99" s="172">
        <f ca="1">IFERROR(INDIRECT("fixtures!" &amp; Dashboard!J1 &amp;68) - Dashboard!K1/24,"TBC")</f>
        <v>44822.677083333336</v>
      </c>
      <c r="B99" s="115" t="s">
        <v>7</v>
      </c>
      <c r="C99" s="32"/>
      <c r="D99" s="115">
        <f>IF(ISBLANK(fixtures!$K68),"",fixtures!$K68)</f>
        <v>1</v>
      </c>
      <c r="E99" s="116" t="str">
        <f>IF(ISBLANK(fixtures!$L68),"",":")</f>
        <v>:</v>
      </c>
      <c r="F99" s="117">
        <f>IF(ISBLANK(fixtures!$L68),"",fixtures!$L68)</f>
        <v>0</v>
      </c>
      <c r="G99" s="32"/>
      <c r="H99" s="117" t="s">
        <v>15</v>
      </c>
      <c r="I99" s="117" t="s">
        <v>59</v>
      </c>
      <c r="J99" s="32"/>
      <c r="K99" s="32"/>
      <c r="L99" s="32"/>
      <c r="M99" s="32"/>
      <c r="N99" s="486"/>
      <c r="O99" s="486"/>
      <c r="P99" s="486"/>
      <c r="Q99" s="486"/>
      <c r="R99" s="486"/>
      <c r="S99" s="486"/>
      <c r="T99" s="486"/>
      <c r="U99" s="486"/>
    </row>
    <row r="100" spans="1:21" x14ac:dyDescent="0.4">
      <c r="A100" s="118" t="str">
        <f>"Time Zone: " &amp; Dashboard!D1</f>
        <v>Time Zone: Europe Western</v>
      </c>
      <c r="B100" s="32"/>
      <c r="C100" s="32"/>
      <c r="D100" s="32"/>
      <c r="E100" s="32"/>
      <c r="F100" s="32"/>
      <c r="G100" s="32"/>
      <c r="H100" s="32"/>
      <c r="I100" s="453" t="s">
        <v>592</v>
      </c>
      <c r="J100" s="32"/>
      <c r="K100" s="32"/>
      <c r="L100" s="32"/>
      <c r="M100" s="32"/>
    </row>
    <row r="101" spans="1:21" ht="31.5" x14ac:dyDescent="0.5">
      <c r="A101" s="24"/>
      <c r="B101" s="24"/>
      <c r="C101" s="24"/>
      <c r="D101" s="24"/>
      <c r="E101" s="24"/>
      <c r="F101" s="24"/>
      <c r="G101" s="24"/>
      <c r="H101" s="186" t="s">
        <v>71</v>
      </c>
      <c r="I101" s="24"/>
      <c r="J101" s="24"/>
      <c r="K101" s="24"/>
      <c r="L101" s="24"/>
      <c r="M101" s="24"/>
    </row>
    <row r="102" spans="1:21" x14ac:dyDescent="0.4">
      <c r="A102" s="195" t="s">
        <v>550</v>
      </c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</row>
    <row r="103" spans="1:21" x14ac:dyDescent="0.4">
      <c r="A103" s="170">
        <f ca="1">IFERROR(INDIRECT("fixtures!" &amp; Dashboard!J1 &amp;69) - Dashboard!K1/24,"TBC")</f>
        <v>44835.604166666664</v>
      </c>
      <c r="B103" s="105" t="s">
        <v>1</v>
      </c>
      <c r="C103" s="25"/>
      <c r="D103" s="105">
        <f>IF(ISBLANK(fixtures!$K69),"",fixtures!$K69)</f>
        <v>3</v>
      </c>
      <c r="E103" s="106" t="str">
        <f>IF(ISBLANK(fixtures!$L69),"",":")</f>
        <v>:</v>
      </c>
      <c r="F103" s="107">
        <f>IF(ISBLANK(fixtures!$L69),"",fixtures!$L69)</f>
        <v>1</v>
      </c>
      <c r="G103" s="25"/>
      <c r="H103" s="107" t="s">
        <v>14</v>
      </c>
      <c r="I103" s="107" t="s">
        <v>57</v>
      </c>
      <c r="J103" s="25"/>
      <c r="K103" s="25"/>
      <c r="L103" s="25"/>
      <c r="M103" s="25"/>
    </row>
    <row r="104" spans="1:21" x14ac:dyDescent="0.4">
      <c r="A104" s="170">
        <f ca="1">IFERROR(INDIRECT("fixtures!" &amp; Dashboard!J1 &amp;70) - Dashboard!K1/24,"TBC")</f>
        <v>44835.708333333336</v>
      </c>
      <c r="B104" s="105" t="s">
        <v>3</v>
      </c>
      <c r="C104" s="25"/>
      <c r="D104" s="105">
        <f>IF(ISBLANK(fixtures!$K70),"",fixtures!$K70)</f>
        <v>0</v>
      </c>
      <c r="E104" s="106" t="str">
        <f>IF(ISBLANK(fixtures!$L70),"",":")</f>
        <v>:</v>
      </c>
      <c r="F104" s="107">
        <f>IF(ISBLANK(fixtures!$L70),"",fixtures!$L70)</f>
        <v>0</v>
      </c>
      <c r="G104" s="25"/>
      <c r="H104" s="107" t="s">
        <v>125</v>
      </c>
      <c r="I104" s="107" t="s">
        <v>51</v>
      </c>
      <c r="J104" s="25"/>
      <c r="K104" s="25"/>
      <c r="L104" s="25"/>
      <c r="M104" s="25"/>
      <c r="N104" s="486"/>
      <c r="O104" s="486"/>
      <c r="P104" s="486"/>
      <c r="Q104" s="486"/>
      <c r="R104" s="486"/>
      <c r="S104" s="486"/>
      <c r="T104" s="486"/>
      <c r="U104" s="486"/>
    </row>
    <row r="105" spans="1:21" x14ac:dyDescent="0.4">
      <c r="A105" s="170">
        <f ca="1">IFERROR(INDIRECT("fixtures!" &amp; Dashboard!J1 &amp;71) - Dashboard!K1/24,"TBC")</f>
        <v>44835.708333333336</v>
      </c>
      <c r="B105" s="105" t="s">
        <v>6</v>
      </c>
      <c r="C105" s="25"/>
      <c r="D105" s="105">
        <f>IF(ISBLANK(fixtures!$K71),"",fixtures!$K71)</f>
        <v>1</v>
      </c>
      <c r="E105" s="106" t="str">
        <f>IF(ISBLANK(fixtures!$L71),"",":")</f>
        <v>:</v>
      </c>
      <c r="F105" s="107">
        <f>IF(ISBLANK(fixtures!$L71),"",fixtures!$L71)</f>
        <v>2</v>
      </c>
      <c r="G105" s="25"/>
      <c r="H105" s="107" t="s">
        <v>5</v>
      </c>
      <c r="I105" s="107" t="s">
        <v>52</v>
      </c>
      <c r="J105" s="25"/>
      <c r="K105" s="25"/>
      <c r="L105" s="25"/>
      <c r="M105" s="25"/>
    </row>
    <row r="106" spans="1:21" x14ac:dyDescent="0.4">
      <c r="A106" s="170">
        <f ca="1">IFERROR(INDIRECT("fixtures!" &amp; Dashboard!J1 &amp;72) - Dashboard!K1/24,"TBC")</f>
        <v>44835.708333333336</v>
      </c>
      <c r="B106" s="105" t="s">
        <v>126</v>
      </c>
      <c r="C106" s="25"/>
      <c r="D106" s="105">
        <f>IF(ISBLANK(fixtures!$K72),"",fixtures!$K72)</f>
        <v>1</v>
      </c>
      <c r="E106" s="106" t="str">
        <f>IF(ISBLANK(fixtures!$L72),"",":")</f>
        <v>:</v>
      </c>
      <c r="F106" s="107">
        <f>IF(ISBLANK(fixtures!$L72),"",fixtures!$L72)</f>
        <v>4</v>
      </c>
      <c r="G106" s="25"/>
      <c r="H106" s="107" t="s">
        <v>12</v>
      </c>
      <c r="I106" s="107" t="s">
        <v>431</v>
      </c>
      <c r="J106" s="25"/>
      <c r="K106" s="25"/>
      <c r="L106" s="25"/>
      <c r="M106" s="25"/>
    </row>
    <row r="107" spans="1:21" x14ac:dyDescent="0.4">
      <c r="A107" s="170">
        <f ca="1">IFERROR(INDIRECT("fixtures!" &amp; Dashboard!J1 &amp;73) - Dashboard!K1/24,"TBC")</f>
        <v>44835.708333333336</v>
      </c>
      <c r="B107" s="105" t="s">
        <v>9</v>
      </c>
      <c r="C107" s="25"/>
      <c r="D107" s="105">
        <f>IF(ISBLANK(fixtures!$K73),"",fixtures!$K73)</f>
        <v>3</v>
      </c>
      <c r="E107" s="106" t="str">
        <f>IF(ISBLANK(fixtures!$L73),"",":")</f>
        <v>:</v>
      </c>
      <c r="F107" s="107">
        <f>IF(ISBLANK(fixtures!$L73),"",fixtures!$L73)</f>
        <v>3</v>
      </c>
      <c r="G107" s="25"/>
      <c r="H107" s="107" t="s">
        <v>4</v>
      </c>
      <c r="I107" s="107" t="s">
        <v>48</v>
      </c>
      <c r="J107" s="25"/>
      <c r="K107" s="25"/>
      <c r="L107" s="25"/>
      <c r="M107" s="25"/>
      <c r="N107" s="486"/>
      <c r="O107" s="486"/>
      <c r="P107" s="486"/>
      <c r="Q107" s="486"/>
      <c r="R107" s="486"/>
      <c r="S107" s="486"/>
      <c r="T107" s="486"/>
      <c r="U107" s="486"/>
    </row>
    <row r="108" spans="1:21" x14ac:dyDescent="0.4">
      <c r="A108" s="170">
        <f ca="1">IFERROR(INDIRECT("fixtures!" &amp; Dashboard!J1 &amp;74) - Dashboard!K1/24,"TBC")</f>
        <v>44835.708333333336</v>
      </c>
      <c r="B108" s="105" t="s">
        <v>13</v>
      </c>
      <c r="C108" s="25"/>
      <c r="D108" s="105">
        <f>IF(ISBLANK(fixtures!$K74),"",fixtures!$K74)</f>
        <v>1</v>
      </c>
      <c r="E108" s="106" t="str">
        <f>IF(ISBLANK(fixtures!$L74),"",":")</f>
        <v>:</v>
      </c>
      <c r="F108" s="107">
        <f>IF(ISBLANK(fixtures!$L74),"",fixtures!$L74)</f>
        <v>2</v>
      </c>
      <c r="G108" s="25"/>
      <c r="H108" s="107" t="s">
        <v>7</v>
      </c>
      <c r="I108" s="107" t="s">
        <v>60</v>
      </c>
      <c r="J108" s="25"/>
      <c r="K108" s="25"/>
      <c r="L108" s="25"/>
      <c r="M108" s="25"/>
    </row>
    <row r="109" spans="1:21" x14ac:dyDescent="0.4">
      <c r="A109" s="170">
        <f ca="1">IFERROR(INDIRECT("fixtures!" &amp; Dashboard!J1 &amp;75) - Dashboard!K1/24,"TBC")</f>
        <v>44835.8125</v>
      </c>
      <c r="B109" s="105" t="s">
        <v>15</v>
      </c>
      <c r="C109" s="25"/>
      <c r="D109" s="105">
        <f>IF(ISBLANK(fixtures!$K75),"",fixtures!$K75)</f>
        <v>2</v>
      </c>
      <c r="E109" s="106" t="str">
        <f>IF(ISBLANK(fixtures!$L75),"",":")</f>
        <v>:</v>
      </c>
      <c r="F109" s="107">
        <f>IF(ISBLANK(fixtures!$L75),"",fixtures!$L75)</f>
        <v>0</v>
      </c>
      <c r="G109" s="25"/>
      <c r="H109" s="107" t="s">
        <v>16</v>
      </c>
      <c r="I109" s="107" t="s">
        <v>50</v>
      </c>
      <c r="J109" s="25"/>
      <c r="K109" s="25"/>
      <c r="L109" s="25"/>
      <c r="M109" s="25"/>
    </row>
    <row r="110" spans="1:21" x14ac:dyDescent="0.4">
      <c r="A110" s="195" t="s">
        <v>594</v>
      </c>
      <c r="B110" s="196"/>
      <c r="C110" s="196"/>
      <c r="D110" s="196"/>
      <c r="E110" s="196"/>
      <c r="F110" s="196"/>
      <c r="G110" s="196"/>
      <c r="H110" s="196"/>
      <c r="I110" s="196"/>
      <c r="J110" s="196"/>
      <c r="K110" s="196"/>
      <c r="L110" s="196"/>
      <c r="M110" s="196"/>
    </row>
    <row r="111" spans="1:21" x14ac:dyDescent="0.4">
      <c r="A111" s="170">
        <f ca="1">IFERROR(INDIRECT("fixtures!" &amp; Dashboard!J1 &amp;76) - Dashboard!K1/24,"TBC")</f>
        <v>44836.666666666664</v>
      </c>
      <c r="B111" s="105" t="s">
        <v>10</v>
      </c>
      <c r="C111" s="25"/>
      <c r="D111" s="105">
        <f>IF(ISBLANK(fixtures!$K76),"",fixtures!$K76)</f>
        <v>6</v>
      </c>
      <c r="E111" s="106" t="str">
        <f>IF(ISBLANK(fixtures!$L76),"",":")</f>
        <v>:</v>
      </c>
      <c r="F111" s="107">
        <f>IF(ISBLANK(fixtures!$L76),"",fixtures!$L76)</f>
        <v>3</v>
      </c>
      <c r="G111" s="25"/>
      <c r="H111" s="107" t="s">
        <v>11</v>
      </c>
      <c r="I111" s="107" t="s">
        <v>61</v>
      </c>
      <c r="J111" s="25"/>
      <c r="K111" s="25"/>
      <c r="L111" s="25"/>
      <c r="M111" s="25"/>
      <c r="N111" s="486"/>
      <c r="O111" s="486"/>
      <c r="P111" s="486"/>
      <c r="Q111" s="486"/>
      <c r="R111" s="486"/>
      <c r="S111" s="486"/>
      <c r="T111" s="486"/>
      <c r="U111" s="486"/>
    </row>
    <row r="112" spans="1:21" x14ac:dyDescent="0.4">
      <c r="A112" s="170">
        <f ca="1">IFERROR(INDIRECT("fixtures!" &amp; Dashboard!J1 &amp;77) - Dashboard!K1/24,"TBC")</f>
        <v>44836.770833333336</v>
      </c>
      <c r="B112" s="105" t="s">
        <v>139</v>
      </c>
      <c r="C112" s="25"/>
      <c r="D112" s="105">
        <f>IF(ISBLANK(fixtures!$K77),"",fixtures!$K77)</f>
        <v>0</v>
      </c>
      <c r="E112" s="106" t="str">
        <f>IF(ISBLANK(fixtures!$L77),"",":")</f>
        <v>:</v>
      </c>
      <c r="F112" s="107">
        <f>IF(ISBLANK(fixtures!$L77),"",fixtures!$L77)</f>
        <v>0</v>
      </c>
      <c r="G112" s="25"/>
      <c r="H112" s="107" t="s">
        <v>2</v>
      </c>
      <c r="I112" s="107" t="s">
        <v>140</v>
      </c>
      <c r="J112" s="25"/>
      <c r="K112" s="25"/>
      <c r="L112" s="25"/>
      <c r="M112" s="25"/>
    </row>
    <row r="113" spans="1:21" x14ac:dyDescent="0.4">
      <c r="A113" s="195" t="s">
        <v>606</v>
      </c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</row>
    <row r="114" spans="1:21" x14ac:dyDescent="0.4">
      <c r="A114" s="170">
        <f ca="1">IFERROR(INDIRECT("fixtures!" &amp; Dashboard!J1 &amp;78) - Dashboard!K1/24,"TBC")</f>
        <v>44837.916666666664</v>
      </c>
      <c r="B114" s="105" t="s">
        <v>8</v>
      </c>
      <c r="C114" s="25"/>
      <c r="D114" s="105">
        <f>IF(ISBLANK(fixtures!$K78),"",fixtures!$K78)</f>
        <v>4</v>
      </c>
      <c r="E114" s="106" t="str">
        <f>IF(ISBLANK(fixtures!$L78),"",":")</f>
        <v>:</v>
      </c>
      <c r="F114" s="107">
        <f>IF(ISBLANK(fixtures!$L78),"",fixtures!$L78)</f>
        <v>0</v>
      </c>
      <c r="G114" s="25"/>
      <c r="H114" s="107" t="s">
        <v>204</v>
      </c>
      <c r="I114" s="107" t="s">
        <v>54</v>
      </c>
      <c r="J114" s="25"/>
      <c r="K114" s="25"/>
      <c r="L114" s="25"/>
      <c r="M114" s="25"/>
    </row>
    <row r="115" spans="1:21" x14ac:dyDescent="0.4">
      <c r="A115" s="108" t="str">
        <f>"Time Zone: " &amp; Dashboard!D1</f>
        <v>Time Zone: Europe Western</v>
      </c>
      <c r="B115" s="25"/>
      <c r="C115" s="25"/>
      <c r="D115" s="25"/>
      <c r="E115" s="25"/>
      <c r="F115" s="25"/>
      <c r="G115" s="25"/>
      <c r="H115" s="25"/>
      <c r="I115" s="454" t="s">
        <v>592</v>
      </c>
      <c r="J115" s="25"/>
      <c r="K115" s="25"/>
      <c r="L115" s="25"/>
      <c r="M115" s="25"/>
    </row>
    <row r="116" spans="1:21" ht="31.5" x14ac:dyDescent="0.5">
      <c r="A116" s="33"/>
      <c r="B116" s="33"/>
      <c r="C116" s="33"/>
      <c r="D116" s="33"/>
      <c r="E116" s="33"/>
      <c r="F116" s="33"/>
      <c r="G116" s="33"/>
      <c r="H116" s="119" t="s">
        <v>72</v>
      </c>
      <c r="I116" s="33"/>
      <c r="J116" s="33"/>
      <c r="K116" s="33"/>
      <c r="L116" s="33"/>
      <c r="M116" s="33"/>
      <c r="N116" s="486"/>
      <c r="O116" s="486"/>
      <c r="P116" s="486"/>
      <c r="Q116" s="486"/>
      <c r="R116" s="486"/>
      <c r="S116" s="486"/>
      <c r="T116" s="486"/>
      <c r="U116" s="486"/>
    </row>
    <row r="117" spans="1:21" x14ac:dyDescent="0.4">
      <c r="A117" s="201" t="s">
        <v>551</v>
      </c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</row>
    <row r="118" spans="1:21" x14ac:dyDescent="0.4">
      <c r="A118" s="173">
        <f ca="1">IFERROR(INDIRECT("fixtures!" &amp; Dashboard!J1 &amp;79) - Dashboard!K1/24,"TBC")</f>
        <v>44842.708333333336</v>
      </c>
      <c r="B118" s="120" t="s">
        <v>3</v>
      </c>
      <c r="C118" s="34"/>
      <c r="D118" s="120">
        <f>IF(ISBLANK(fixtures!$K79),"",fixtures!$K79)</f>
        <v>2</v>
      </c>
      <c r="E118" s="121" t="str">
        <f>IF(ISBLANK(fixtures!$L79),"",":")</f>
        <v>:</v>
      </c>
      <c r="F118" s="122">
        <f>IF(ISBLANK(fixtures!$L79),"",fixtures!$L79)</f>
        <v>1</v>
      </c>
      <c r="G118" s="34"/>
      <c r="H118" s="122" t="s">
        <v>8</v>
      </c>
      <c r="I118" s="122" t="s">
        <v>51</v>
      </c>
      <c r="J118" s="34"/>
      <c r="K118" s="34"/>
      <c r="L118" s="34"/>
      <c r="M118" s="34"/>
    </row>
    <row r="119" spans="1:21" x14ac:dyDescent="0.4">
      <c r="A119" s="173">
        <f ca="1">IFERROR(INDIRECT("fixtures!" &amp; Dashboard!J1 &amp;80) - Dashboard!K1/24,"TBC")</f>
        <v>44842.708333333336</v>
      </c>
      <c r="B119" s="120" t="s">
        <v>5</v>
      </c>
      <c r="C119" s="34"/>
      <c r="D119" s="120">
        <f>IF(ISBLANK(fixtures!$K80),"",fixtures!$K80)</f>
        <v>3</v>
      </c>
      <c r="E119" s="121" t="str">
        <f>IF(ISBLANK(fixtures!$L80),"",":")</f>
        <v>:</v>
      </c>
      <c r="F119" s="122">
        <f>IF(ISBLANK(fixtures!$L80),"",fixtures!$L80)</f>
        <v>0</v>
      </c>
      <c r="G119" s="34"/>
      <c r="H119" s="122" t="s">
        <v>16</v>
      </c>
      <c r="I119" s="122" t="s">
        <v>62</v>
      </c>
      <c r="J119" s="34"/>
      <c r="K119" s="34"/>
      <c r="L119" s="34"/>
      <c r="M119" s="34"/>
    </row>
    <row r="120" spans="1:21" x14ac:dyDescent="0.4">
      <c r="A120" s="173">
        <f ca="1">IFERROR(INDIRECT("fixtures!" &amp; Dashboard!J1 &amp;81) - Dashboard!K1/24,"TBC")</f>
        <v>44842.708333333336</v>
      </c>
      <c r="B120" s="120" t="s">
        <v>10</v>
      </c>
      <c r="C120" s="34"/>
      <c r="D120" s="120">
        <f>IF(ISBLANK(fixtures!$K81),"",fixtures!$K81)</f>
        <v>4</v>
      </c>
      <c r="E120" s="121" t="str">
        <f>IF(ISBLANK(fixtures!$L81),"",":")</f>
        <v>:</v>
      </c>
      <c r="F120" s="122">
        <f>IF(ISBLANK(fixtures!$L81),"",fixtures!$L81)</f>
        <v>0</v>
      </c>
      <c r="G120" s="34"/>
      <c r="H120" s="122" t="s">
        <v>13</v>
      </c>
      <c r="I120" s="122" t="s">
        <v>61</v>
      </c>
      <c r="J120" s="34"/>
      <c r="K120" s="34"/>
      <c r="L120" s="34"/>
      <c r="M120" s="34"/>
    </row>
    <row r="121" spans="1:21" x14ac:dyDescent="0.4">
      <c r="A121" s="173">
        <f ca="1">IFERROR(INDIRECT("fixtures!" &amp; Dashboard!J1 &amp;82) - Dashboard!K1/24,"TBC")</f>
        <v>44842.708333333336</v>
      </c>
      <c r="B121" s="120" t="s">
        <v>12</v>
      </c>
      <c r="C121" s="34"/>
      <c r="D121" s="120">
        <f>IF(ISBLANK(fixtures!$K82),"",fixtures!$K82)</f>
        <v>5</v>
      </c>
      <c r="E121" s="121" t="str">
        <f>IF(ISBLANK(fixtures!$L82),"",":")</f>
        <v>:</v>
      </c>
      <c r="F121" s="122">
        <f>IF(ISBLANK(fixtures!$L82),"",fixtures!$L82)</f>
        <v>1</v>
      </c>
      <c r="G121" s="34"/>
      <c r="H121" s="122" t="s">
        <v>125</v>
      </c>
      <c r="I121" s="122" t="s">
        <v>55</v>
      </c>
      <c r="J121" s="34"/>
      <c r="K121" s="34"/>
      <c r="L121" s="34"/>
      <c r="M121" s="34"/>
    </row>
    <row r="122" spans="1:21" x14ac:dyDescent="0.4">
      <c r="A122" s="173">
        <f ca="1">IFERROR(INDIRECT("fixtures!" &amp; Dashboard!J1 &amp;83) - Dashboard!K1/24,"TBC")</f>
        <v>44842.8125</v>
      </c>
      <c r="B122" s="120" t="s">
        <v>4</v>
      </c>
      <c r="C122" s="34"/>
      <c r="D122" s="120">
        <f>IF(ISBLANK(fixtures!$K83),"",fixtures!$K83)</f>
        <v>0</v>
      </c>
      <c r="E122" s="121" t="str">
        <f>IF(ISBLANK(fixtures!$L83),"",":")</f>
        <v>:</v>
      </c>
      <c r="F122" s="122">
        <f>IF(ISBLANK(fixtures!$L83),"",fixtures!$L83)</f>
        <v>1</v>
      </c>
      <c r="G122" s="34"/>
      <c r="H122" s="122" t="s">
        <v>14</v>
      </c>
      <c r="I122" s="122" t="s">
        <v>151</v>
      </c>
      <c r="J122" s="34"/>
      <c r="K122" s="34"/>
      <c r="L122" s="34"/>
      <c r="M122" s="34"/>
    </row>
    <row r="123" spans="1:21" x14ac:dyDescent="0.4">
      <c r="A123" s="201" t="s">
        <v>595</v>
      </c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</row>
    <row r="124" spans="1:21" x14ac:dyDescent="0.4">
      <c r="A124" s="173">
        <f ca="1">IFERROR(INDIRECT("fixtures!" &amp; Dashboard!J1 &amp;84) - Dashboard!K1/24,"TBC")</f>
        <v>44843.666666666664</v>
      </c>
      <c r="B124" s="120" t="s">
        <v>6</v>
      </c>
      <c r="C124" s="34"/>
      <c r="D124" s="120">
        <f>IF(ISBLANK(fixtures!$K84),"",fixtures!$K84)</f>
        <v>2</v>
      </c>
      <c r="E124" s="121" t="str">
        <f>IF(ISBLANK(fixtures!$L84),"",":")</f>
        <v>:</v>
      </c>
      <c r="F124" s="122">
        <f>IF(ISBLANK(fixtures!$L84),"",fixtures!$L84)</f>
        <v>1</v>
      </c>
      <c r="G124" s="34"/>
      <c r="H124" s="122" t="s">
        <v>139</v>
      </c>
      <c r="I124" s="122" t="s">
        <v>52</v>
      </c>
      <c r="J124" s="34"/>
      <c r="K124" s="34"/>
      <c r="L124" s="34"/>
      <c r="M124" s="34"/>
      <c r="N124" s="486"/>
      <c r="O124" s="486"/>
      <c r="P124" s="486"/>
      <c r="Q124" s="486"/>
      <c r="R124" s="486"/>
      <c r="S124" s="486"/>
      <c r="T124" s="486"/>
      <c r="U124" s="486"/>
    </row>
    <row r="125" spans="1:21" x14ac:dyDescent="0.4">
      <c r="A125" s="173">
        <f ca="1">IFERROR(INDIRECT("fixtures!" &amp; Dashboard!J1 &amp;85) - Dashboard!K1/24,"TBC")</f>
        <v>44843.666666666664</v>
      </c>
      <c r="B125" s="120" t="s">
        <v>15</v>
      </c>
      <c r="C125" s="34"/>
      <c r="D125" s="120">
        <f>IF(ISBLANK(fixtures!$K85),"",fixtures!$K85)</f>
        <v>3</v>
      </c>
      <c r="E125" s="121" t="str">
        <f>IF(ISBLANK(fixtures!$L85),"",":")</f>
        <v>:</v>
      </c>
      <c r="F125" s="122">
        <f>IF(ISBLANK(fixtures!$L85),"",fixtures!$L85)</f>
        <v>1</v>
      </c>
      <c r="G125" s="34"/>
      <c r="H125" s="122" t="s">
        <v>126</v>
      </c>
      <c r="I125" s="122" t="s">
        <v>50</v>
      </c>
      <c r="J125" s="34"/>
      <c r="K125" s="34"/>
      <c r="L125" s="34"/>
      <c r="M125" s="34"/>
    </row>
    <row r="126" spans="1:21" x14ac:dyDescent="0.4">
      <c r="A126" s="173">
        <f ca="1">IFERROR(INDIRECT("fixtures!" &amp; Dashboard!J1 &amp;86) - Dashboard!K1/24,"TBC")</f>
        <v>44843.770833333336</v>
      </c>
      <c r="B126" s="120" t="s">
        <v>1</v>
      </c>
      <c r="C126" s="34"/>
      <c r="D126" s="120">
        <f>IF(ISBLANK(fixtures!$K86),"",fixtures!$K86)</f>
        <v>3</v>
      </c>
      <c r="E126" s="121" t="str">
        <f>IF(ISBLANK(fixtures!$L86),"",":")</f>
        <v>:</v>
      </c>
      <c r="F126" s="122">
        <f>IF(ISBLANK(fixtures!$L86),"",fixtures!$L86)</f>
        <v>2</v>
      </c>
      <c r="G126" s="34"/>
      <c r="H126" s="122" t="s">
        <v>9</v>
      </c>
      <c r="I126" s="122" t="s">
        <v>57</v>
      </c>
      <c r="J126" s="34"/>
      <c r="K126" s="34"/>
      <c r="L126" s="34"/>
      <c r="M126" s="34"/>
    </row>
    <row r="127" spans="1:21" x14ac:dyDescent="0.4">
      <c r="A127" s="173">
        <f ca="1">IFERROR(INDIRECT("fixtures!" &amp; Dashboard!J1 &amp;87) - Dashboard!K1/24,"TBC")</f>
        <v>44843.875</v>
      </c>
      <c r="B127" s="120" t="s">
        <v>7</v>
      </c>
      <c r="C127" s="34"/>
      <c r="D127" s="120">
        <f>IF(ISBLANK(fixtures!$K87),"",fixtures!$K87)</f>
        <v>1</v>
      </c>
      <c r="E127" s="121" t="str">
        <f>IF(ISBLANK(fixtures!$L87),"",":")</f>
        <v>:</v>
      </c>
      <c r="F127" s="122">
        <f>IF(ISBLANK(fixtures!$L87),"",fixtures!$L87)</f>
        <v>2</v>
      </c>
      <c r="G127" s="34"/>
      <c r="H127" s="122" t="s">
        <v>11</v>
      </c>
      <c r="I127" s="122" t="s">
        <v>59</v>
      </c>
      <c r="J127" s="34"/>
      <c r="K127" s="34"/>
      <c r="L127" s="34"/>
      <c r="M127" s="34"/>
      <c r="N127" s="486"/>
      <c r="O127" s="486"/>
      <c r="P127" s="486"/>
      <c r="Q127" s="486"/>
      <c r="R127" s="486"/>
      <c r="S127" s="486"/>
      <c r="T127" s="486"/>
      <c r="U127" s="486"/>
    </row>
    <row r="128" spans="1:21" x14ac:dyDescent="0.4">
      <c r="A128" s="201" t="s">
        <v>596</v>
      </c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</row>
    <row r="129" spans="1:21" x14ac:dyDescent="0.4">
      <c r="A129" s="173">
        <f ca="1">IFERROR(INDIRECT("fixtures!" &amp; Dashboard!J1 &amp;88) - Dashboard!K1/24,"TBC")</f>
        <v>44844.916666666664</v>
      </c>
      <c r="B129" s="120" t="s">
        <v>204</v>
      </c>
      <c r="C129" s="34"/>
      <c r="D129" s="120">
        <f>IF(ISBLANK(fixtures!$K88),"",fixtures!$K88)</f>
        <v>1</v>
      </c>
      <c r="E129" s="121" t="str">
        <f>IF(ISBLANK(fixtures!$L88),"",":")</f>
        <v>:</v>
      </c>
      <c r="F129" s="122">
        <f>IF(ISBLANK(fixtures!$L88),"",fixtures!$L88)</f>
        <v>1</v>
      </c>
      <c r="G129" s="34"/>
      <c r="H129" s="122" t="s">
        <v>2</v>
      </c>
      <c r="I129" s="122" t="s">
        <v>436</v>
      </c>
      <c r="J129" s="34"/>
      <c r="K129" s="34"/>
      <c r="L129" s="34"/>
      <c r="M129" s="34"/>
    </row>
    <row r="130" spans="1:21" x14ac:dyDescent="0.4">
      <c r="A130" s="123" t="str">
        <f>"Time Zone: " &amp; Dashboard!D1</f>
        <v>Time Zone: Europe Western</v>
      </c>
      <c r="B130" s="34"/>
      <c r="C130" s="34"/>
      <c r="D130" s="34"/>
      <c r="E130" s="34"/>
      <c r="F130" s="34"/>
      <c r="G130" s="34"/>
      <c r="H130" s="34"/>
      <c r="I130" s="455" t="s">
        <v>592</v>
      </c>
      <c r="J130" s="34"/>
      <c r="K130" s="34"/>
      <c r="L130" s="34"/>
      <c r="M130" s="34"/>
    </row>
    <row r="131" spans="1:21" ht="31.5" x14ac:dyDescent="0.5">
      <c r="A131" s="35"/>
      <c r="B131" s="35"/>
      <c r="C131" s="35"/>
      <c r="D131" s="35"/>
      <c r="E131" s="35"/>
      <c r="F131" s="35"/>
      <c r="G131" s="35"/>
      <c r="H131" s="124" t="s">
        <v>73</v>
      </c>
      <c r="I131" s="35"/>
      <c r="J131" s="35"/>
      <c r="K131" s="35"/>
      <c r="L131" s="35"/>
      <c r="M131" s="35"/>
      <c r="N131" s="486"/>
      <c r="O131" s="486"/>
      <c r="P131" s="486"/>
      <c r="Q131" s="486"/>
      <c r="R131" s="486"/>
      <c r="S131" s="486"/>
      <c r="T131" s="486"/>
      <c r="U131" s="486"/>
    </row>
    <row r="132" spans="1:21" x14ac:dyDescent="0.4">
      <c r="A132" s="203" t="s">
        <v>597</v>
      </c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</row>
    <row r="133" spans="1:21" x14ac:dyDescent="0.4">
      <c r="A133" s="174">
        <f ca="1">IFERROR(INDIRECT("fixtures!" &amp; Dashboard!J1 &amp;89) - Dashboard!K1/24,"TBC")</f>
        <v>44848.916666666664</v>
      </c>
      <c r="B133" s="125" t="s">
        <v>125</v>
      </c>
      <c r="C133" s="36"/>
      <c r="D133" s="125">
        <f>IF(ISBLANK(fixtures!$K89),"",fixtures!$K89)</f>
        <v>2</v>
      </c>
      <c r="E133" s="126" t="str">
        <f>IF(ISBLANK(fixtures!$L89),"",":")</f>
        <v>:</v>
      </c>
      <c r="F133" s="127">
        <f>IF(ISBLANK(fixtures!$L89),"",fixtures!$L89)</f>
        <v>0</v>
      </c>
      <c r="G133" s="36"/>
      <c r="H133" s="127" t="s">
        <v>4</v>
      </c>
      <c r="I133" s="127" t="s">
        <v>593</v>
      </c>
      <c r="J133" s="36"/>
      <c r="K133" s="36"/>
      <c r="L133" s="36"/>
      <c r="M133" s="36"/>
    </row>
    <row r="134" spans="1:21" x14ac:dyDescent="0.4">
      <c r="A134" s="203" t="s">
        <v>552</v>
      </c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</row>
    <row r="135" spans="1:21" x14ac:dyDescent="0.4">
      <c r="A135" s="174">
        <f ca="1">IFERROR(INDIRECT("fixtures!" &amp; Dashboard!J1 &amp;90) - Dashboard!K1/24,"TBC")</f>
        <v>44849.604166666664</v>
      </c>
      <c r="B135" s="125" t="s">
        <v>8</v>
      </c>
      <c r="C135" s="36"/>
      <c r="D135" s="125">
        <f>IF(ISBLANK(fixtures!$K90),"",fixtures!$K90)</f>
        <v>0</v>
      </c>
      <c r="E135" s="126" t="str">
        <f>IF(ISBLANK(fixtures!$L90),"",":")</f>
        <v>:</v>
      </c>
      <c r="F135" s="127">
        <f>IF(ISBLANK(fixtures!$L90),"",fixtures!$L90)</f>
        <v>0</v>
      </c>
      <c r="G135" s="36"/>
      <c r="H135" s="127" t="s">
        <v>6</v>
      </c>
      <c r="I135" s="127" t="s">
        <v>54</v>
      </c>
      <c r="J135" s="36"/>
      <c r="K135" s="36"/>
      <c r="L135" s="36"/>
      <c r="M135" s="36"/>
    </row>
    <row r="136" spans="1:21" x14ac:dyDescent="0.4">
      <c r="A136" s="174">
        <f ca="1">IFERROR(INDIRECT("fixtures!" &amp; Dashboard!J1 &amp;91) - Dashboard!K1/24,"TBC")</f>
        <v>44849.708333333336</v>
      </c>
      <c r="B136" s="125" t="s">
        <v>126</v>
      </c>
      <c r="C136" s="36"/>
      <c r="D136" s="125">
        <f>IF(ISBLANK(fixtures!$K91),"",fixtures!$K91)</f>
        <v>2</v>
      </c>
      <c r="E136" s="126" t="str">
        <f>IF(ISBLANK(fixtures!$L91),"",":")</f>
        <v>:</v>
      </c>
      <c r="F136" s="127">
        <f>IF(ISBLANK(fixtures!$L91),"",fixtures!$L91)</f>
        <v>2</v>
      </c>
      <c r="G136" s="36"/>
      <c r="H136" s="127" t="s">
        <v>3</v>
      </c>
      <c r="I136" s="127" t="s">
        <v>431</v>
      </c>
      <c r="J136" s="36"/>
      <c r="K136" s="36"/>
      <c r="L136" s="36"/>
      <c r="M136" s="36"/>
    </row>
    <row r="137" spans="1:21" x14ac:dyDescent="0.4">
      <c r="A137" s="174">
        <f ca="1">IFERROR(INDIRECT("fixtures!" &amp; Dashboard!J1 &amp;92) - Dashboard!K1/24,"TBC")</f>
        <v>44849.708333333336</v>
      </c>
      <c r="B137" s="125" t="s">
        <v>16</v>
      </c>
      <c r="C137" s="36"/>
      <c r="D137" s="125">
        <f>IF(ISBLANK(fixtures!$K92),"",fixtures!$K92)</f>
        <v>1</v>
      </c>
      <c r="E137" s="126" t="str">
        <f>IF(ISBLANK(fixtures!$L92),"",":")</f>
        <v>:</v>
      </c>
      <c r="F137" s="127">
        <f>IF(ISBLANK(fixtures!$L92),"",fixtures!$L92)</f>
        <v>0</v>
      </c>
      <c r="G137" s="36"/>
      <c r="H137" s="127" t="s">
        <v>204</v>
      </c>
      <c r="I137" s="127" t="s">
        <v>63</v>
      </c>
      <c r="J137" s="36"/>
      <c r="K137" s="36"/>
      <c r="L137" s="36"/>
      <c r="M137" s="36"/>
      <c r="N137" s="486"/>
      <c r="O137" s="486"/>
      <c r="P137" s="486"/>
      <c r="Q137" s="486"/>
      <c r="R137" s="486"/>
      <c r="S137" s="486"/>
      <c r="T137" s="486"/>
      <c r="U137" s="486"/>
    </row>
    <row r="138" spans="1:21" x14ac:dyDescent="0.4">
      <c r="A138" s="174">
        <f ca="1">IFERROR(INDIRECT("fixtures!" &amp; Dashboard!J1 &amp;93) - Dashboard!K1/24,"TBC")</f>
        <v>44849.8125</v>
      </c>
      <c r="B138" s="125" t="s">
        <v>14</v>
      </c>
      <c r="C138" s="36"/>
      <c r="D138" s="125">
        <f>IF(ISBLANK(fixtures!$K93),"",fixtures!$K93)</f>
        <v>2</v>
      </c>
      <c r="E138" s="126" t="str">
        <f>IF(ISBLANK(fixtures!$L93),"",":")</f>
        <v>:</v>
      </c>
      <c r="F138" s="127">
        <f>IF(ISBLANK(fixtures!$L93),"",fixtures!$L93)</f>
        <v>0</v>
      </c>
      <c r="G138" s="36"/>
      <c r="H138" s="127" t="s">
        <v>7</v>
      </c>
      <c r="I138" s="127" t="s">
        <v>53</v>
      </c>
      <c r="J138" s="36"/>
      <c r="K138" s="36"/>
      <c r="L138" s="36"/>
      <c r="M138" s="36"/>
    </row>
    <row r="139" spans="1:21" x14ac:dyDescent="0.4">
      <c r="A139" s="203" t="s">
        <v>598</v>
      </c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</row>
    <row r="140" spans="1:21" x14ac:dyDescent="0.4">
      <c r="A140" s="174">
        <f ca="1">IFERROR(INDIRECT("fixtures!" &amp; Dashboard!J1 &amp;94) - Dashboard!K1/24,"TBC")</f>
        <v>44850.666666666664</v>
      </c>
      <c r="B140" s="125" t="s">
        <v>2</v>
      </c>
      <c r="C140" s="36"/>
      <c r="D140" s="125">
        <f>IF(ISBLANK(fixtures!$K94),"",fixtures!$K94)</f>
        <v>0</v>
      </c>
      <c r="E140" s="126" t="str">
        <f>IF(ISBLANK(fixtures!$L94),"",":")</f>
        <v>:</v>
      </c>
      <c r="F140" s="127">
        <f>IF(ISBLANK(fixtures!$L94),"",fixtures!$L94)</f>
        <v>2</v>
      </c>
      <c r="G140" s="36"/>
      <c r="H140" s="127" t="s">
        <v>5</v>
      </c>
      <c r="I140" s="127" t="s">
        <v>58</v>
      </c>
      <c r="J140" s="36"/>
      <c r="K140" s="36"/>
      <c r="L140" s="36"/>
      <c r="M140" s="36"/>
    </row>
    <row r="141" spans="1:21" x14ac:dyDescent="0.4">
      <c r="A141" s="174">
        <f ca="1">IFERROR(INDIRECT("fixtures!" &amp; Dashboard!J1 &amp;95) - Dashboard!K1/24,"TBC")</f>
        <v>44850.666666666664</v>
      </c>
      <c r="B141" s="125" t="s">
        <v>139</v>
      </c>
      <c r="C141" s="36"/>
      <c r="D141" s="125">
        <f>IF(ISBLANK(fixtures!$K95),"",fixtures!$K95)</f>
        <v>0</v>
      </c>
      <c r="E141" s="126" t="str">
        <f>IF(ISBLANK(fixtures!$L95),"",":")</f>
        <v>:</v>
      </c>
      <c r="F141" s="127">
        <f>IF(ISBLANK(fixtures!$L95),"",fixtures!$L95)</f>
        <v>1</v>
      </c>
      <c r="G141" s="36"/>
      <c r="H141" s="127" t="s">
        <v>1</v>
      </c>
      <c r="I141" s="127" t="s">
        <v>140</v>
      </c>
      <c r="J141" s="36"/>
      <c r="K141" s="36"/>
      <c r="L141" s="36"/>
      <c r="M141" s="36"/>
    </row>
    <row r="142" spans="1:21" x14ac:dyDescent="0.4">
      <c r="A142" s="174">
        <f ca="1">IFERROR(INDIRECT("fixtures!" &amp; Dashboard!J1 &amp;96) - Dashboard!K1/24,"TBC")</f>
        <v>44850.666666666664</v>
      </c>
      <c r="B142" s="125" t="s">
        <v>11</v>
      </c>
      <c r="C142" s="36"/>
      <c r="D142" s="125">
        <f>IF(ISBLANK(fixtures!$K96),"",fixtures!$K96)</f>
        <v>0</v>
      </c>
      <c r="E142" s="126" t="str">
        <f>IF(ISBLANK(fixtures!$L96),"",":")</f>
        <v>:</v>
      </c>
      <c r="F142" s="127">
        <f>IF(ISBLANK(fixtures!$L96),"",fixtures!$L96)</f>
        <v>0</v>
      </c>
      <c r="G142" s="36"/>
      <c r="H142" s="127" t="s">
        <v>12</v>
      </c>
      <c r="I142" s="127" t="s">
        <v>56</v>
      </c>
      <c r="J142" s="36"/>
      <c r="K142" s="36"/>
      <c r="L142" s="36"/>
      <c r="M142" s="36"/>
      <c r="N142" s="486"/>
      <c r="O142" s="486"/>
      <c r="P142" s="486"/>
      <c r="Q142" s="486"/>
      <c r="R142" s="486"/>
      <c r="S142" s="486"/>
      <c r="T142" s="486"/>
      <c r="U142" s="486"/>
    </row>
    <row r="143" spans="1:21" x14ac:dyDescent="0.4">
      <c r="A143" s="174">
        <f ca="1">IFERROR(INDIRECT("fixtures!" &amp; Dashboard!J1 &amp;97) - Dashboard!K1/24,"TBC")</f>
        <v>44850.666666666664</v>
      </c>
      <c r="B143" s="125" t="s">
        <v>13</v>
      </c>
      <c r="C143" s="36"/>
      <c r="D143" s="125">
        <f>IF(ISBLANK(fixtures!$K97),"",fixtures!$K97)</f>
        <v>1</v>
      </c>
      <c r="E143" s="126" t="str">
        <f>IF(ISBLANK(fixtures!$L97),"",":")</f>
        <v>:</v>
      </c>
      <c r="F143" s="127">
        <f>IF(ISBLANK(fixtures!$L97),"",fixtures!$L97)</f>
        <v>1</v>
      </c>
      <c r="G143" s="36"/>
      <c r="H143" s="127" t="s">
        <v>15</v>
      </c>
      <c r="I143" s="127" t="s">
        <v>60</v>
      </c>
      <c r="J143" s="36"/>
      <c r="K143" s="36"/>
      <c r="L143" s="36"/>
      <c r="M143" s="36"/>
    </row>
    <row r="144" spans="1:21" x14ac:dyDescent="0.4">
      <c r="A144" s="174">
        <f ca="1">IFERROR(INDIRECT("fixtures!" &amp; Dashboard!J1 &amp;98) - Dashboard!K1/24,"TBC")</f>
        <v>44850.770833333336</v>
      </c>
      <c r="B144" s="125" t="s">
        <v>9</v>
      </c>
      <c r="C144" s="36"/>
      <c r="D144" s="125">
        <f>IF(ISBLANK(fixtures!$K98),"",fixtures!$K98)</f>
        <v>1</v>
      </c>
      <c r="E144" s="126" t="str">
        <f>IF(ISBLANK(fixtures!$L98),"",":")</f>
        <v>:</v>
      </c>
      <c r="F144" s="127">
        <f>IF(ISBLANK(fixtures!$L98),"",fixtures!$L98)</f>
        <v>0</v>
      </c>
      <c r="G144" s="36"/>
      <c r="H144" s="127" t="s">
        <v>10</v>
      </c>
      <c r="I144" s="127" t="s">
        <v>48</v>
      </c>
      <c r="J144" s="36"/>
      <c r="K144" s="36"/>
      <c r="L144" s="36"/>
      <c r="M144" s="36"/>
    </row>
    <row r="145" spans="1:21" x14ac:dyDescent="0.4">
      <c r="A145" s="128" t="str">
        <f>"Time Zone: " &amp; Dashboard!D1</f>
        <v>Time Zone: Europe Western</v>
      </c>
      <c r="B145" s="36"/>
      <c r="C145" s="36"/>
      <c r="D145" s="36"/>
      <c r="E145" s="36"/>
      <c r="F145" s="36"/>
      <c r="G145" s="36"/>
      <c r="H145" s="36"/>
      <c r="I145" s="456" t="s">
        <v>592</v>
      </c>
      <c r="J145" s="36"/>
      <c r="K145" s="36"/>
      <c r="L145" s="36"/>
      <c r="M145" s="36"/>
    </row>
    <row r="146" spans="1:21" ht="31.5" x14ac:dyDescent="0.5">
      <c r="A146" s="5"/>
      <c r="B146" s="5"/>
      <c r="C146" s="5"/>
      <c r="D146" s="5"/>
      <c r="E146" s="5"/>
      <c r="F146" s="5"/>
      <c r="G146" s="5"/>
      <c r="H146" s="90" t="s">
        <v>74</v>
      </c>
      <c r="I146" s="5"/>
      <c r="J146" s="5"/>
      <c r="K146" s="5"/>
      <c r="L146" s="5"/>
      <c r="M146" s="5"/>
      <c r="N146" s="486"/>
      <c r="O146" s="486"/>
      <c r="P146" s="486"/>
      <c r="Q146" s="486"/>
      <c r="R146" s="486"/>
      <c r="S146" s="486"/>
      <c r="T146" s="486"/>
      <c r="U146" s="486"/>
    </row>
    <row r="147" spans="1:21" x14ac:dyDescent="0.4">
      <c r="A147" s="187" t="s">
        <v>553</v>
      </c>
      <c r="B147" s="188"/>
      <c r="C147" s="188"/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</row>
    <row r="148" spans="1:21" x14ac:dyDescent="0.4">
      <c r="A148" s="167">
        <f ca="1">IFERROR(INDIRECT("fixtures!" &amp; Dashboard!J1 &amp;99) - Dashboard!K1/24,"TBC")</f>
        <v>44852.895833333336</v>
      </c>
      <c r="B148" s="91" t="s">
        <v>4</v>
      </c>
      <c r="C148" s="6"/>
      <c r="D148" s="91">
        <f>IF(ISBLANK(fixtures!$K99),"",fixtures!$K99)</f>
        <v>0</v>
      </c>
      <c r="E148" s="92" t="str">
        <f>IF(ISBLANK(fixtures!$L99),"",":")</f>
        <v>:</v>
      </c>
      <c r="F148" s="93">
        <f>IF(ISBLANK(fixtures!$L99),"",fixtures!$L99)</f>
        <v>0</v>
      </c>
      <c r="G148" s="6"/>
      <c r="H148" s="93" t="s">
        <v>204</v>
      </c>
      <c r="I148" s="93" t="s">
        <v>151</v>
      </c>
      <c r="J148" s="6"/>
      <c r="K148" s="6"/>
      <c r="L148" s="6"/>
      <c r="M148" s="6"/>
      <c r="N148" s="486"/>
      <c r="O148" s="486"/>
      <c r="P148" s="486"/>
      <c r="Q148" s="486"/>
      <c r="R148" s="486"/>
      <c r="S148" s="486"/>
      <c r="T148" s="486"/>
      <c r="U148" s="486"/>
    </row>
    <row r="149" spans="1:21" x14ac:dyDescent="0.4">
      <c r="A149" s="167">
        <f ca="1">IFERROR(INDIRECT("fixtures!" &amp; Dashboard!J1 &amp;100) - Dashboard!K1/24,"TBC")</f>
        <v>44852.927083333336</v>
      </c>
      <c r="B149" s="91" t="s">
        <v>6</v>
      </c>
      <c r="C149" s="6"/>
      <c r="D149" s="91">
        <f>IF(ISBLANK(fixtures!$K100),"",fixtures!$K100)</f>
        <v>2</v>
      </c>
      <c r="E149" s="92" t="str">
        <f>IF(ISBLANK(fixtures!$L100),"",":")</f>
        <v>:</v>
      </c>
      <c r="F149" s="93">
        <f>IF(ISBLANK(fixtures!$L100),"",fixtures!$L100)</f>
        <v>1</v>
      </c>
      <c r="G149" s="6"/>
      <c r="H149" s="93" t="s">
        <v>16</v>
      </c>
      <c r="I149" s="93" t="s">
        <v>52</v>
      </c>
      <c r="J149" s="6"/>
      <c r="K149" s="6"/>
      <c r="L149" s="6"/>
      <c r="M149" s="6"/>
    </row>
    <row r="150" spans="1:21" x14ac:dyDescent="0.4">
      <c r="A150" s="187" t="s">
        <v>554</v>
      </c>
      <c r="B150" s="188"/>
      <c r="C150" s="188"/>
      <c r="D150" s="188"/>
      <c r="E150" s="188"/>
      <c r="F150" s="188"/>
      <c r="G150" s="188"/>
      <c r="H150" s="188"/>
      <c r="I150" s="188"/>
      <c r="J150" s="188"/>
      <c r="K150" s="188"/>
      <c r="L150" s="188"/>
      <c r="M150" s="188"/>
    </row>
    <row r="151" spans="1:21" x14ac:dyDescent="0.4">
      <c r="A151" s="167">
        <f ca="1">IFERROR(INDIRECT("fixtures!" &amp; Dashboard!J1 &amp;101) - Dashboard!K1/24,"TBC")</f>
        <v>44853.895833333336</v>
      </c>
      <c r="B151" s="91" t="s">
        <v>3</v>
      </c>
      <c r="C151" s="6"/>
      <c r="D151" s="91">
        <f>IF(ISBLANK(fixtures!$K101),"",fixtures!$K101)</f>
        <v>0</v>
      </c>
      <c r="E151" s="92" t="str">
        <f>IF(ISBLANK(fixtures!$L101),"",":")</f>
        <v>:</v>
      </c>
      <c r="F151" s="93">
        <f>IF(ISBLANK(fixtures!$L101),"",fixtures!$L101)</f>
        <v>1</v>
      </c>
      <c r="G151" s="6"/>
      <c r="H151" s="93" t="s">
        <v>13</v>
      </c>
      <c r="I151" s="93" t="s">
        <v>51</v>
      </c>
      <c r="J151" s="6"/>
      <c r="K151" s="6"/>
      <c r="L151" s="6"/>
      <c r="M151" s="6"/>
    </row>
    <row r="152" spans="1:21" x14ac:dyDescent="0.4">
      <c r="A152" s="167">
        <f ca="1">IFERROR(INDIRECT("fixtures!" &amp; Dashboard!J1 &amp;102) - Dashboard!K1/24,"TBC")</f>
        <v>44853.895833333336</v>
      </c>
      <c r="B152" s="91" t="s">
        <v>125</v>
      </c>
      <c r="C152" s="6"/>
      <c r="D152" s="91">
        <f>IF(ISBLANK(fixtures!$K102),"",fixtures!$K102)</f>
        <v>0</v>
      </c>
      <c r="E152" s="92" t="str">
        <f>IF(ISBLANK(fixtures!$L102),"",":")</f>
        <v>:</v>
      </c>
      <c r="F152" s="93">
        <f>IF(ISBLANK(fixtures!$L102),"",fixtures!$L102)</f>
        <v>0</v>
      </c>
      <c r="G152" s="6"/>
      <c r="H152" s="93" t="s">
        <v>5</v>
      </c>
      <c r="I152" s="93" t="s">
        <v>593</v>
      </c>
      <c r="J152" s="6"/>
      <c r="K152" s="6"/>
      <c r="L152" s="6"/>
      <c r="M152" s="6"/>
    </row>
    <row r="153" spans="1:21" x14ac:dyDescent="0.4">
      <c r="A153" s="167">
        <f ca="1">IFERROR(INDIRECT("fixtures!" &amp; Dashboard!J1 &amp;103) - Dashboard!K1/24,"TBC")</f>
        <v>44853.895833333336</v>
      </c>
      <c r="B153" s="91" t="s">
        <v>9</v>
      </c>
      <c r="C153" s="6"/>
      <c r="D153" s="91">
        <f>IF(ISBLANK(fixtures!$K103),"",fixtures!$K103)</f>
        <v>1</v>
      </c>
      <c r="E153" s="92" t="str">
        <f>IF(ISBLANK(fixtures!$L103),"",":")</f>
        <v>:</v>
      </c>
      <c r="F153" s="93">
        <f>IF(ISBLANK(fixtures!$L103),"",fixtures!$L103)</f>
        <v>0</v>
      </c>
      <c r="G153" s="6"/>
      <c r="H153" s="93" t="s">
        <v>15</v>
      </c>
      <c r="I153" s="93" t="s">
        <v>48</v>
      </c>
      <c r="J153" s="6"/>
      <c r="K153" s="6"/>
      <c r="L153" s="6"/>
      <c r="M153" s="6"/>
      <c r="N153" s="486"/>
      <c r="O153" s="486"/>
      <c r="P153" s="486"/>
      <c r="Q153" s="486"/>
      <c r="R153" s="486"/>
      <c r="S153" s="486"/>
      <c r="T153" s="486"/>
      <c r="U153" s="486"/>
    </row>
    <row r="154" spans="1:21" x14ac:dyDescent="0.4">
      <c r="A154" s="167">
        <f ca="1">IFERROR(INDIRECT("fixtures!" &amp; Dashboard!J1 &amp;104) - Dashboard!K1/24,"TBC")</f>
        <v>44853.895833333336</v>
      </c>
      <c r="B154" s="91" t="s">
        <v>12</v>
      </c>
      <c r="C154" s="6"/>
      <c r="D154" s="91">
        <f>IF(ISBLANK(fixtures!$K104),"",fixtures!$K104)</f>
        <v>1</v>
      </c>
      <c r="E154" s="92" t="str">
        <f>IF(ISBLANK(fixtures!$L104),"",":")</f>
        <v>:</v>
      </c>
      <c r="F154" s="93">
        <f>IF(ISBLANK(fixtures!$L104),"",fixtures!$L104)</f>
        <v>0</v>
      </c>
      <c r="G154" s="6"/>
      <c r="H154" s="93" t="s">
        <v>7</v>
      </c>
      <c r="I154" s="93" t="s">
        <v>55</v>
      </c>
      <c r="J154" s="6"/>
      <c r="K154" s="6"/>
      <c r="L154" s="6"/>
      <c r="M154" s="6"/>
    </row>
    <row r="155" spans="1:21" x14ac:dyDescent="0.4">
      <c r="A155" s="167">
        <f ca="1">IFERROR(INDIRECT("fixtures!" &amp; Dashboard!J1 &amp;105) - Dashboard!K1/24,"TBC")</f>
        <v>44853.927083333336</v>
      </c>
      <c r="B155" s="91" t="s">
        <v>11</v>
      </c>
      <c r="C155" s="6"/>
      <c r="D155" s="91">
        <f>IF(ISBLANK(fixtures!$K105),"",fixtures!$K105)</f>
        <v>2</v>
      </c>
      <c r="E155" s="92" t="str">
        <f>IF(ISBLANK(fixtures!$L105),"",":")</f>
        <v>:</v>
      </c>
      <c r="F155" s="93">
        <f>IF(ISBLANK(fixtures!$L105),"",fixtures!$L105)</f>
        <v>0</v>
      </c>
      <c r="G155" s="6"/>
      <c r="H155" s="93" t="s">
        <v>14</v>
      </c>
      <c r="I155" s="93" t="s">
        <v>56</v>
      </c>
      <c r="J155" s="6"/>
      <c r="K155" s="6"/>
      <c r="L155" s="6"/>
      <c r="M155" s="6"/>
    </row>
    <row r="156" spans="1:21" x14ac:dyDescent="0.4">
      <c r="A156" s="187" t="s">
        <v>599</v>
      </c>
      <c r="B156" s="188"/>
      <c r="C156" s="188"/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</row>
    <row r="157" spans="1:21" x14ac:dyDescent="0.4">
      <c r="A157" s="167">
        <f ca="1">IFERROR(INDIRECT("fixtures!" &amp; Dashboard!J1 &amp;106) - Dashboard!K1/24,"TBC")</f>
        <v>44854.895833333336</v>
      </c>
      <c r="B157" s="91" t="s">
        <v>126</v>
      </c>
      <c r="C157" s="6"/>
      <c r="D157" s="91">
        <f>IF(ISBLANK(fixtures!$K106),"",fixtures!$K106)</f>
        <v>3</v>
      </c>
      <c r="E157" s="92" t="str">
        <f>IF(ISBLANK(fixtures!$L106),"",":")</f>
        <v>:</v>
      </c>
      <c r="F157" s="93">
        <f>IF(ISBLANK(fixtures!$L106),"",fixtures!$L106)</f>
        <v>0</v>
      </c>
      <c r="G157" s="6"/>
      <c r="H157" s="93" t="s">
        <v>2</v>
      </c>
      <c r="I157" s="93" t="s">
        <v>431</v>
      </c>
      <c r="J157" s="6"/>
      <c r="K157" s="6"/>
      <c r="L157" s="6"/>
      <c r="M157" s="6"/>
    </row>
    <row r="158" spans="1:21" x14ac:dyDescent="0.4">
      <c r="A158" s="167">
        <f ca="1">IFERROR(INDIRECT("fixtures!" &amp; Dashboard!J1 &amp;107) - Dashboard!K1/24,"TBC")</f>
        <v>44854.927083333336</v>
      </c>
      <c r="B158" s="91" t="s">
        <v>8</v>
      </c>
      <c r="C158" s="6"/>
      <c r="D158" s="91">
        <f>IF(ISBLANK(fixtures!$K107),"",fixtures!$K107)</f>
        <v>2</v>
      </c>
      <c r="E158" s="92" t="str">
        <f>IF(ISBLANK(fixtures!$L107),"",":")</f>
        <v>:</v>
      </c>
      <c r="F158" s="93">
        <f>IF(ISBLANK(fixtures!$L107),"",fixtures!$L107)</f>
        <v>0</v>
      </c>
      <c r="G158" s="6"/>
      <c r="H158" s="93" t="s">
        <v>139</v>
      </c>
      <c r="I158" s="93" t="s">
        <v>54</v>
      </c>
      <c r="J158" s="6"/>
      <c r="K158" s="6"/>
      <c r="L158" s="6"/>
      <c r="M158" s="6"/>
    </row>
    <row r="159" spans="1:21" x14ac:dyDescent="0.4">
      <c r="A159" s="94" t="str">
        <f>"Time Zone: " &amp; Dashboard!D1</f>
        <v>Time Zone: Europe Western</v>
      </c>
      <c r="B159" s="6"/>
      <c r="C159" s="6"/>
      <c r="D159" s="6"/>
      <c r="E159" s="6"/>
      <c r="F159" s="6"/>
      <c r="G159" s="6"/>
      <c r="H159" s="6"/>
      <c r="I159" s="447" t="s">
        <v>592</v>
      </c>
      <c r="J159" s="6"/>
      <c r="K159" s="6"/>
      <c r="L159" s="6"/>
      <c r="M159" s="6"/>
    </row>
    <row r="160" spans="1:21" ht="31.5" x14ac:dyDescent="0.5">
      <c r="A160" s="10"/>
      <c r="B160" s="10"/>
      <c r="C160" s="10"/>
      <c r="D160" s="10"/>
      <c r="E160" s="10"/>
      <c r="F160" s="10"/>
      <c r="G160" s="10"/>
      <c r="H160" s="95" t="s">
        <v>75</v>
      </c>
      <c r="I160" s="10"/>
      <c r="J160" s="10"/>
      <c r="K160" s="10"/>
      <c r="L160" s="10"/>
      <c r="M160" s="10"/>
    </row>
    <row r="161" spans="1:21" x14ac:dyDescent="0.4">
      <c r="A161" s="189" t="s">
        <v>555</v>
      </c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486"/>
      <c r="O161" s="486"/>
      <c r="P161" s="486"/>
      <c r="Q161" s="486"/>
      <c r="R161" s="486"/>
      <c r="S161" s="486"/>
      <c r="T161" s="486"/>
      <c r="U161" s="486"/>
    </row>
    <row r="162" spans="1:21" x14ac:dyDescent="0.4">
      <c r="A162" s="168">
        <f ca="1">IFERROR(INDIRECT("fixtures!" &amp; Dashboard!J1 &amp;108) - Dashboard!K1/24,"TBC")</f>
        <v>44856.604166666664</v>
      </c>
      <c r="B162" s="96" t="s">
        <v>204</v>
      </c>
      <c r="C162" s="11"/>
      <c r="D162" s="96">
        <f>IF(ISBLANK(fixtures!$K108),"",fixtures!$K108)</f>
        <v>1</v>
      </c>
      <c r="E162" s="97" t="str">
        <f>IF(ISBLANK(fixtures!$L108),"",":")</f>
        <v>:</v>
      </c>
      <c r="F162" s="98">
        <f>IF(ISBLANK(fixtures!$L108),"",fixtures!$L108)</f>
        <v>0</v>
      </c>
      <c r="G162" s="11"/>
      <c r="H162" s="98" t="s">
        <v>9</v>
      </c>
      <c r="I162" s="98" t="s">
        <v>436</v>
      </c>
      <c r="J162" s="11"/>
      <c r="K162" s="11"/>
      <c r="L162" s="11"/>
      <c r="M162" s="11"/>
    </row>
    <row r="163" spans="1:21" x14ac:dyDescent="0.4">
      <c r="A163" s="168">
        <f ca="1">IFERROR(INDIRECT("fixtures!" &amp; Dashboard!J1 &amp;109) - Dashboard!K1/24,"TBC")</f>
        <v>44856.708333333336</v>
      </c>
      <c r="B163" s="96" t="s">
        <v>7</v>
      </c>
      <c r="C163" s="11"/>
      <c r="D163" s="96">
        <f>IF(ISBLANK(fixtures!$K109),"",fixtures!$K109)</f>
        <v>3</v>
      </c>
      <c r="E163" s="97" t="str">
        <f>IF(ISBLANK(fixtures!$L109),"",":")</f>
        <v>:</v>
      </c>
      <c r="F163" s="98">
        <f>IF(ISBLANK(fixtures!$L109),"",fixtures!$L109)</f>
        <v>0</v>
      </c>
      <c r="G163" s="11"/>
      <c r="H163" s="98" t="s">
        <v>6</v>
      </c>
      <c r="I163" s="98" t="s">
        <v>59</v>
      </c>
      <c r="J163" s="11"/>
      <c r="K163" s="11"/>
      <c r="L163" s="11"/>
      <c r="M163" s="11"/>
    </row>
    <row r="164" spans="1:21" x14ac:dyDescent="0.4">
      <c r="A164" s="168">
        <f ca="1">IFERROR(INDIRECT("fixtures!" &amp; Dashboard!J1 &amp;110) - Dashboard!K1/24,"TBC")</f>
        <v>44856.708333333336</v>
      </c>
      <c r="B164" s="96" t="s">
        <v>10</v>
      </c>
      <c r="C164" s="11"/>
      <c r="D164" s="96">
        <f>IF(ISBLANK(fixtures!$K110),"",fixtures!$K110)</f>
        <v>3</v>
      </c>
      <c r="E164" s="97" t="str">
        <f>IF(ISBLANK(fixtures!$L110),"",":")</f>
        <v>:</v>
      </c>
      <c r="F164" s="98">
        <f>IF(ISBLANK(fixtures!$L110),"",fixtures!$L110)</f>
        <v>1</v>
      </c>
      <c r="G164" s="11"/>
      <c r="H164" s="98" t="s">
        <v>4</v>
      </c>
      <c r="I164" s="98" t="s">
        <v>61</v>
      </c>
      <c r="J164" s="11"/>
      <c r="K164" s="11"/>
      <c r="L164" s="11"/>
      <c r="M164" s="11"/>
      <c r="N164" s="486"/>
      <c r="O164" s="486"/>
      <c r="P164" s="486"/>
      <c r="Q164" s="486"/>
      <c r="R164" s="486"/>
      <c r="S164" s="486"/>
      <c r="T164" s="486"/>
      <c r="U164" s="486"/>
    </row>
    <row r="165" spans="1:21" x14ac:dyDescent="0.4">
      <c r="A165" s="168">
        <f ca="1">IFERROR(INDIRECT("fixtures!" &amp; Dashboard!J1 &amp;111) - Dashboard!K1/24,"TBC")</f>
        <v>44856.8125</v>
      </c>
      <c r="B165" s="96" t="s">
        <v>5</v>
      </c>
      <c r="C165" s="11"/>
      <c r="D165" s="96">
        <f>IF(ISBLANK(fixtures!$K111),"",fixtures!$K111)</f>
        <v>1</v>
      </c>
      <c r="E165" s="97" t="str">
        <f>IF(ISBLANK(fixtures!$L111),"",":")</f>
        <v>:</v>
      </c>
      <c r="F165" s="98">
        <f>IF(ISBLANK(fixtures!$L111),"",fixtures!$L111)</f>
        <v>1</v>
      </c>
      <c r="G165" s="11"/>
      <c r="H165" s="98" t="s">
        <v>11</v>
      </c>
      <c r="I165" s="98" t="s">
        <v>62</v>
      </c>
      <c r="J165" s="11"/>
      <c r="K165" s="11"/>
      <c r="L165" s="11"/>
      <c r="M165" s="11"/>
    </row>
    <row r="166" spans="1:21" x14ac:dyDescent="0.4">
      <c r="A166" s="189" t="s">
        <v>600</v>
      </c>
      <c r="B166" s="190"/>
      <c r="C166" s="190"/>
      <c r="D166" s="190"/>
      <c r="E166" s="190"/>
      <c r="F166" s="190"/>
      <c r="G166" s="190"/>
      <c r="H166" s="190"/>
      <c r="I166" s="190"/>
      <c r="J166" s="190"/>
      <c r="K166" s="190"/>
      <c r="L166" s="190"/>
      <c r="M166" s="190"/>
    </row>
    <row r="167" spans="1:21" x14ac:dyDescent="0.4">
      <c r="A167" s="168">
        <f ca="1">IFERROR(INDIRECT("fixtures!" &amp; Dashboard!J1 &amp;112) - Dashboard!K1/24,"TBC")</f>
        <v>44857.666666666664</v>
      </c>
      <c r="B167" s="96" t="s">
        <v>2</v>
      </c>
      <c r="C167" s="11"/>
      <c r="D167" s="96">
        <f>IF(ISBLANK(fixtures!$K112),"",fixtures!$K112)</f>
        <v>4</v>
      </c>
      <c r="E167" s="97" t="str">
        <f>IF(ISBLANK(fixtures!$L112),"",":")</f>
        <v>:</v>
      </c>
      <c r="F167" s="98">
        <f>IF(ISBLANK(fixtures!$L112),"",fixtures!$L112)</f>
        <v>0</v>
      </c>
      <c r="G167" s="11"/>
      <c r="H167" s="98" t="s">
        <v>125</v>
      </c>
      <c r="I167" s="98" t="s">
        <v>58</v>
      </c>
      <c r="J167" s="11"/>
      <c r="K167" s="11"/>
      <c r="L167" s="11"/>
      <c r="M167" s="11"/>
    </row>
    <row r="168" spans="1:21" x14ac:dyDescent="0.4">
      <c r="A168" s="168">
        <f ca="1">IFERROR(INDIRECT("fixtures!" &amp; Dashboard!J1 &amp;113) - Dashboard!K1/24,"TBC")</f>
        <v>44857.666666666664</v>
      </c>
      <c r="B168" s="96" t="s">
        <v>139</v>
      </c>
      <c r="C168" s="11"/>
      <c r="D168" s="96">
        <f>IF(ISBLANK(fixtures!$K113),"",fixtures!$K113)</f>
        <v>2</v>
      </c>
      <c r="E168" s="97" t="str">
        <f>IF(ISBLANK(fixtures!$L113),"",":")</f>
        <v>:</v>
      </c>
      <c r="F168" s="98">
        <f>IF(ISBLANK(fixtures!$L113),"",fixtures!$L113)</f>
        <v>3</v>
      </c>
      <c r="G168" s="11"/>
      <c r="H168" s="98" t="s">
        <v>126</v>
      </c>
      <c r="I168" s="98" t="s">
        <v>140</v>
      </c>
      <c r="J168" s="11"/>
      <c r="K168" s="11"/>
      <c r="L168" s="11"/>
      <c r="M168" s="11"/>
    </row>
    <row r="169" spans="1:21" x14ac:dyDescent="0.4">
      <c r="A169" s="168">
        <f ca="1">IFERROR(INDIRECT("fixtures!" &amp; Dashboard!J1 &amp;114) - Dashboard!K1/24,"TBC")</f>
        <v>44857.666666666664</v>
      </c>
      <c r="B169" s="96" t="s">
        <v>13</v>
      </c>
      <c r="C169" s="11"/>
      <c r="D169" s="96">
        <f>IF(ISBLANK(fixtures!$K114),"",fixtures!$K114)</f>
        <v>1</v>
      </c>
      <c r="E169" s="97" t="str">
        <f>IF(ISBLANK(fixtures!$L114),"",":")</f>
        <v>:</v>
      </c>
      <c r="F169" s="98">
        <f>IF(ISBLANK(fixtures!$L114),"",fixtures!$L114)</f>
        <v>1</v>
      </c>
      <c r="G169" s="11"/>
      <c r="H169" s="98" t="s">
        <v>1</v>
      </c>
      <c r="I169" s="98" t="s">
        <v>60</v>
      </c>
      <c r="J169" s="11"/>
      <c r="K169" s="11"/>
      <c r="L169" s="11"/>
      <c r="M169" s="11"/>
    </row>
    <row r="170" spans="1:21" x14ac:dyDescent="0.4">
      <c r="A170" s="168">
        <f ca="1">IFERROR(INDIRECT("fixtures!" &amp; Dashboard!J1 &amp;115) - Dashboard!K1/24,"TBC")</f>
        <v>44857.666666666664</v>
      </c>
      <c r="B170" s="96" t="s">
        <v>16</v>
      </c>
      <c r="C170" s="11"/>
      <c r="D170" s="96">
        <f>IF(ISBLANK(fixtures!$K115),"",fixtures!$K115)</f>
        <v>0</v>
      </c>
      <c r="E170" s="97" t="str">
        <f>IF(ISBLANK(fixtures!$L115),"",":")</f>
        <v>:</v>
      </c>
      <c r="F170" s="98">
        <f>IF(ISBLANK(fixtures!$L115),"",fixtures!$L115)</f>
        <v>4</v>
      </c>
      <c r="G170" s="11"/>
      <c r="H170" s="98" t="s">
        <v>8</v>
      </c>
      <c r="I170" s="98" t="s">
        <v>63</v>
      </c>
      <c r="J170" s="11"/>
      <c r="K170" s="11"/>
      <c r="L170" s="11"/>
      <c r="M170" s="11"/>
      <c r="N170" s="486"/>
      <c r="O170" s="486"/>
      <c r="P170" s="486"/>
      <c r="Q170" s="486"/>
      <c r="R170" s="486"/>
      <c r="S170" s="486"/>
      <c r="T170" s="486"/>
      <c r="U170" s="486"/>
    </row>
    <row r="171" spans="1:21" x14ac:dyDescent="0.4">
      <c r="A171" s="168">
        <f ca="1">IFERROR(INDIRECT("fixtures!" &amp; Dashboard!J1 &amp;116) - Dashboard!K1/24,"TBC")</f>
        <v>44857.770833333336</v>
      </c>
      <c r="B171" s="96" t="s">
        <v>14</v>
      </c>
      <c r="C171" s="11"/>
      <c r="D171" s="96">
        <f>IF(ISBLANK(fixtures!$K116),"",fixtures!$K116)</f>
        <v>1</v>
      </c>
      <c r="E171" s="97" t="str">
        <f>IF(ISBLANK(fixtures!$L116),"",":")</f>
        <v>:</v>
      </c>
      <c r="F171" s="98">
        <f>IF(ISBLANK(fixtures!$L116),"",fixtures!$L116)</f>
        <v>2</v>
      </c>
      <c r="G171" s="11"/>
      <c r="H171" s="98" t="s">
        <v>12</v>
      </c>
      <c r="I171" s="98" t="s">
        <v>53</v>
      </c>
      <c r="J171" s="11"/>
      <c r="K171" s="11"/>
      <c r="L171" s="11"/>
      <c r="M171" s="11"/>
    </row>
    <row r="172" spans="1:21" x14ac:dyDescent="0.4">
      <c r="A172" s="189" t="s">
        <v>601</v>
      </c>
      <c r="B172" s="190"/>
      <c r="C172" s="190"/>
      <c r="D172" s="190"/>
      <c r="E172" s="190"/>
      <c r="F172" s="190"/>
      <c r="G172" s="190"/>
      <c r="H172" s="190"/>
      <c r="I172" s="190"/>
      <c r="J172" s="190"/>
      <c r="K172" s="190"/>
      <c r="L172" s="190"/>
      <c r="M172" s="190"/>
    </row>
    <row r="173" spans="1:21" x14ac:dyDescent="0.4">
      <c r="A173" s="168">
        <f ca="1">IFERROR(INDIRECT("fixtures!" &amp; Dashboard!J1 &amp;117) - Dashboard!K1/24,"TBC")</f>
        <v>44858.916666666664</v>
      </c>
      <c r="B173" s="96" t="s">
        <v>15</v>
      </c>
      <c r="C173" s="11"/>
      <c r="D173" s="96">
        <f>IF(ISBLANK(fixtures!$K117),"",fixtures!$K117)</f>
        <v>2</v>
      </c>
      <c r="E173" s="97" t="str">
        <f>IF(ISBLANK(fixtures!$L117),"",":")</f>
        <v>:</v>
      </c>
      <c r="F173" s="98">
        <f>IF(ISBLANK(fixtures!$L117),"",fixtures!$L117)</f>
        <v>0</v>
      </c>
      <c r="G173" s="11"/>
      <c r="H173" s="98" t="s">
        <v>3</v>
      </c>
      <c r="I173" s="98" t="s">
        <v>50</v>
      </c>
      <c r="J173" s="11"/>
      <c r="K173" s="11"/>
      <c r="L173" s="11"/>
      <c r="M173" s="11"/>
    </row>
    <row r="174" spans="1:21" x14ac:dyDescent="0.4">
      <c r="A174" s="99" t="str">
        <f>"Time Zone: " &amp; Dashboard!D1</f>
        <v>Time Zone: Europe Western</v>
      </c>
      <c r="B174" s="11"/>
      <c r="C174" s="11"/>
      <c r="D174" s="11"/>
      <c r="E174" s="11"/>
      <c r="F174" s="11"/>
      <c r="G174" s="11"/>
      <c r="H174" s="11"/>
      <c r="I174" s="448" t="s">
        <v>592</v>
      </c>
      <c r="J174" s="11"/>
      <c r="K174" s="11"/>
      <c r="L174" s="11"/>
      <c r="M174" s="11"/>
    </row>
    <row r="175" spans="1:21" ht="31.5" x14ac:dyDescent="0.5">
      <c r="A175" s="12"/>
      <c r="B175" s="12"/>
      <c r="C175" s="12"/>
      <c r="D175" s="12"/>
      <c r="E175" s="12"/>
      <c r="F175" s="12"/>
      <c r="G175" s="12"/>
      <c r="H175" s="100" t="s">
        <v>76</v>
      </c>
      <c r="I175" s="12"/>
      <c r="J175" s="12"/>
      <c r="K175" s="12"/>
      <c r="L175" s="12"/>
      <c r="M175" s="12"/>
      <c r="N175" s="486"/>
      <c r="O175" s="486"/>
      <c r="P175" s="486"/>
      <c r="Q175" s="486"/>
      <c r="R175" s="486"/>
      <c r="S175" s="486"/>
      <c r="T175" s="486"/>
      <c r="U175" s="486"/>
    </row>
    <row r="176" spans="1:21" x14ac:dyDescent="0.4">
      <c r="A176" s="191" t="s">
        <v>556</v>
      </c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</row>
    <row r="177" spans="1:21" x14ac:dyDescent="0.4">
      <c r="A177" s="169">
        <f ca="1">IFERROR(INDIRECT("fixtures!" &amp; Dashboard!J1 &amp;118) - Dashboard!K1/24,"TBC")</f>
        <v>44863.604166666664</v>
      </c>
      <c r="B177" s="101" t="s">
        <v>8</v>
      </c>
      <c r="C177" s="13"/>
      <c r="D177" s="101">
        <f>IF(ISBLANK(fixtures!$K118),"",fixtures!$K118)</f>
        <v>0</v>
      </c>
      <c r="E177" s="102" t="str">
        <f>IF(ISBLANK(fixtures!$L118),"",":")</f>
        <v>:</v>
      </c>
      <c r="F177" s="103">
        <f>IF(ISBLANK(fixtures!$L118),"",fixtures!$L118)</f>
        <v>1</v>
      </c>
      <c r="G177" s="13"/>
      <c r="H177" s="103" t="s">
        <v>10</v>
      </c>
      <c r="I177" s="103" t="s">
        <v>54</v>
      </c>
      <c r="J177" s="13"/>
      <c r="K177" s="13"/>
      <c r="L177" s="13"/>
      <c r="M177" s="13"/>
    </row>
    <row r="178" spans="1:21" x14ac:dyDescent="0.4">
      <c r="A178" s="169">
        <f ca="1">IFERROR(INDIRECT("fixtures!" &amp; Dashboard!J1 &amp;119) - Dashboard!K1/24,"TBC")</f>
        <v>44863.708333333336</v>
      </c>
      <c r="B178" s="101" t="s">
        <v>3</v>
      </c>
      <c r="C178" s="13"/>
      <c r="D178" s="101">
        <f>IF(ISBLANK(fixtures!$K119),"",fixtures!$K119)</f>
        <v>2</v>
      </c>
      <c r="E178" s="102" t="str">
        <f>IF(ISBLANK(fixtures!$L119),"",":")</f>
        <v>:</v>
      </c>
      <c r="F178" s="103">
        <f>IF(ISBLANK(fixtures!$L119),"",fixtures!$L119)</f>
        <v>3</v>
      </c>
      <c r="G178" s="13"/>
      <c r="H178" s="103" t="s">
        <v>14</v>
      </c>
      <c r="I178" s="103" t="s">
        <v>51</v>
      </c>
      <c r="J178" s="13"/>
      <c r="K178" s="13"/>
      <c r="L178" s="13"/>
      <c r="M178" s="13"/>
    </row>
    <row r="179" spans="1:21" x14ac:dyDescent="0.4">
      <c r="A179" s="169">
        <f ca="1">IFERROR(INDIRECT("fixtures!" &amp; Dashboard!J1 &amp;120) - Dashboard!K1/24,"TBC")</f>
        <v>44863.708333333336</v>
      </c>
      <c r="B179" s="101" t="s">
        <v>125</v>
      </c>
      <c r="C179" s="13"/>
      <c r="D179" s="101">
        <f>IF(ISBLANK(fixtures!$K120),"",fixtures!$K120)</f>
        <v>1</v>
      </c>
      <c r="E179" s="102" t="str">
        <f>IF(ISBLANK(fixtures!$L120),"",":")</f>
        <v>:</v>
      </c>
      <c r="F179" s="103">
        <f>IF(ISBLANK(fixtures!$L120),"",fixtures!$L120)</f>
        <v>1</v>
      </c>
      <c r="G179" s="13"/>
      <c r="H179" s="103" t="s">
        <v>16</v>
      </c>
      <c r="I179" s="103" t="s">
        <v>593</v>
      </c>
      <c r="J179" s="13"/>
      <c r="K179" s="13"/>
      <c r="L179" s="13"/>
      <c r="M179" s="13"/>
    </row>
    <row r="180" spans="1:21" x14ac:dyDescent="0.4">
      <c r="A180" s="169">
        <f ca="1">IFERROR(INDIRECT("fixtures!" &amp; Dashboard!J1 &amp;121) - Dashboard!K1/24,"TBC")</f>
        <v>44863.708333333336</v>
      </c>
      <c r="B180" s="101" t="s">
        <v>4</v>
      </c>
      <c r="C180" s="13"/>
      <c r="D180" s="101">
        <f>IF(ISBLANK(fixtures!$K121),"",fixtures!$K121)</f>
        <v>4</v>
      </c>
      <c r="E180" s="102" t="str">
        <f>IF(ISBLANK(fixtures!$L121),"",":")</f>
        <v>:</v>
      </c>
      <c r="F180" s="103">
        <f>IF(ISBLANK(fixtures!$L121),"",fixtures!$L121)</f>
        <v>1</v>
      </c>
      <c r="G180" s="13"/>
      <c r="H180" s="103" t="s">
        <v>5</v>
      </c>
      <c r="I180" s="103" t="s">
        <v>151</v>
      </c>
      <c r="J180" s="13"/>
      <c r="K180" s="13"/>
      <c r="L180" s="13"/>
      <c r="M180" s="13"/>
      <c r="N180" s="486"/>
      <c r="O180" s="486"/>
      <c r="P180" s="486"/>
      <c r="Q180" s="486"/>
      <c r="R180" s="486"/>
      <c r="S180" s="486"/>
      <c r="T180" s="486"/>
      <c r="U180" s="486"/>
    </row>
    <row r="181" spans="1:21" x14ac:dyDescent="0.4">
      <c r="A181" s="169">
        <f ca="1">IFERROR(INDIRECT("fixtures!" &amp; Dashboard!J1 &amp;122) - Dashboard!K1/24,"TBC")</f>
        <v>44863.708333333336</v>
      </c>
      <c r="B181" s="101" t="s">
        <v>6</v>
      </c>
      <c r="C181" s="13"/>
      <c r="D181" s="101">
        <f>IF(ISBLANK(fixtures!$K122),"",fixtures!$K122)</f>
        <v>1</v>
      </c>
      <c r="E181" s="102" t="str">
        <f>IF(ISBLANK(fixtures!$L122),"",":")</f>
        <v>:</v>
      </c>
      <c r="F181" s="103">
        <f>IF(ISBLANK(fixtures!$L122),"",fixtures!$L122)</f>
        <v>0</v>
      </c>
      <c r="G181" s="13"/>
      <c r="H181" s="103" t="s">
        <v>13</v>
      </c>
      <c r="I181" s="103" t="s">
        <v>52</v>
      </c>
      <c r="J181" s="13"/>
      <c r="K181" s="13"/>
      <c r="L181" s="13"/>
      <c r="M181" s="13"/>
    </row>
    <row r="182" spans="1:21" x14ac:dyDescent="0.4">
      <c r="A182" s="169">
        <f ca="1">IFERROR(INDIRECT("fixtures!" &amp; Dashboard!J1 &amp;123) - Dashboard!K1/24,"TBC")</f>
        <v>44863.708333333336</v>
      </c>
      <c r="B182" s="101" t="s">
        <v>12</v>
      </c>
      <c r="C182" s="13"/>
      <c r="D182" s="101">
        <f>IF(ISBLANK(fixtures!$K123),"",fixtures!$K123)</f>
        <v>4</v>
      </c>
      <c r="E182" s="102" t="str">
        <f>IF(ISBLANK(fixtures!$L123),"",":")</f>
        <v>:</v>
      </c>
      <c r="F182" s="103">
        <f>IF(ISBLANK(fixtures!$L123),"",fixtures!$L123)</f>
        <v>0</v>
      </c>
      <c r="G182" s="13"/>
      <c r="H182" s="103" t="s">
        <v>2</v>
      </c>
      <c r="I182" s="103" t="s">
        <v>55</v>
      </c>
      <c r="J182" s="13"/>
      <c r="K182" s="13"/>
      <c r="L182" s="13"/>
      <c r="M182" s="13"/>
    </row>
    <row r="183" spans="1:21" x14ac:dyDescent="0.4">
      <c r="A183" s="169">
        <f ca="1">IFERROR(INDIRECT("fixtures!" &amp; Dashboard!J1 &amp;124) - Dashboard!K1/24,"TBC")</f>
        <v>44863.8125</v>
      </c>
      <c r="B183" s="101" t="s">
        <v>126</v>
      </c>
      <c r="C183" s="13"/>
      <c r="D183" s="101">
        <f>IF(ISBLANK(fixtures!$K124),"",fixtures!$K124)</f>
        <v>0</v>
      </c>
      <c r="E183" s="102" t="str">
        <f>IF(ISBLANK(fixtures!$L124),"",":")</f>
        <v>:</v>
      </c>
      <c r="F183" s="103">
        <f>IF(ISBLANK(fixtures!$L124),"",fixtures!$L124)</f>
        <v>0</v>
      </c>
      <c r="G183" s="13"/>
      <c r="H183" s="103" t="s">
        <v>7</v>
      </c>
      <c r="I183" s="103" t="s">
        <v>431</v>
      </c>
      <c r="J183" s="13"/>
      <c r="K183" s="13"/>
      <c r="L183" s="13"/>
      <c r="M183" s="13"/>
    </row>
    <row r="184" spans="1:21" x14ac:dyDescent="0.4">
      <c r="A184" s="169">
        <f ca="1">IFERROR(INDIRECT("fixtures!" &amp; Dashboard!J1 &amp;125) - Dashboard!K1/24,"TBC")</f>
        <v>44863.90625</v>
      </c>
      <c r="B184" s="101" t="s">
        <v>9</v>
      </c>
      <c r="C184" s="13"/>
      <c r="D184" s="101">
        <f>IF(ISBLANK(fixtures!$K125),"",fixtures!$K125)</f>
        <v>1</v>
      </c>
      <c r="E184" s="102" t="str">
        <f>IF(ISBLANK(fixtures!$L125),"",":")</f>
        <v>:</v>
      </c>
      <c r="F184" s="103">
        <f>IF(ISBLANK(fixtures!$L125),"",fixtures!$L125)</f>
        <v>2</v>
      </c>
      <c r="G184" s="13"/>
      <c r="H184" s="103" t="s">
        <v>139</v>
      </c>
      <c r="I184" s="103" t="s">
        <v>48</v>
      </c>
      <c r="J184" s="13"/>
      <c r="K184" s="13"/>
      <c r="L184" s="13"/>
      <c r="M184" s="13"/>
    </row>
    <row r="185" spans="1:21" x14ac:dyDescent="0.4">
      <c r="A185" s="191" t="s">
        <v>602</v>
      </c>
      <c r="B185" s="192"/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</row>
    <row r="186" spans="1:21" x14ac:dyDescent="0.4">
      <c r="A186" s="169">
        <f ca="1">IFERROR(INDIRECT("fixtures!" &amp; Dashboard!J1 &amp;126) - Dashboard!K1/24,"TBC")</f>
        <v>44864.666666666664</v>
      </c>
      <c r="B186" s="101" t="s">
        <v>1</v>
      </c>
      <c r="C186" s="13"/>
      <c r="D186" s="101">
        <f>IF(ISBLANK(fixtures!$K126),"",fixtures!$K126)</f>
        <v>5</v>
      </c>
      <c r="E186" s="102" t="str">
        <f>IF(ISBLANK(fixtures!$L126),"",":")</f>
        <v>:</v>
      </c>
      <c r="F186" s="103">
        <f>IF(ISBLANK(fixtures!$L126),"",fixtures!$L126)</f>
        <v>0</v>
      </c>
      <c r="G186" s="13"/>
      <c r="H186" s="103" t="s">
        <v>204</v>
      </c>
      <c r="I186" s="103" t="s">
        <v>57</v>
      </c>
      <c r="J186" s="13"/>
      <c r="K186" s="13"/>
      <c r="L186" s="13"/>
      <c r="M186" s="13"/>
      <c r="N186" s="486"/>
      <c r="O186" s="486"/>
      <c r="P186" s="486"/>
      <c r="Q186" s="486"/>
      <c r="R186" s="486"/>
      <c r="S186" s="486"/>
      <c r="T186" s="486"/>
      <c r="U186" s="486"/>
    </row>
    <row r="187" spans="1:21" x14ac:dyDescent="0.4">
      <c r="A187" s="169">
        <f ca="1">IFERROR(INDIRECT("fixtures!" &amp; Dashboard!J1 &amp;127) - Dashboard!K1/24,"TBC")</f>
        <v>44864.760416666664</v>
      </c>
      <c r="B187" s="101" t="s">
        <v>11</v>
      </c>
      <c r="C187" s="13"/>
      <c r="D187" s="101">
        <f>IF(ISBLANK(fixtures!$K127),"",fixtures!$K127)</f>
        <v>1</v>
      </c>
      <c r="E187" s="102" t="str">
        <f>IF(ISBLANK(fixtures!$L127),"",":")</f>
        <v>:</v>
      </c>
      <c r="F187" s="103">
        <f>IF(ISBLANK(fixtures!$L127),"",fixtures!$L127)</f>
        <v>0</v>
      </c>
      <c r="G187" s="13"/>
      <c r="H187" s="103" t="s">
        <v>15</v>
      </c>
      <c r="I187" s="103" t="s">
        <v>56</v>
      </c>
      <c r="J187" s="13"/>
      <c r="K187" s="13"/>
      <c r="L187" s="13"/>
      <c r="M187" s="13"/>
    </row>
    <row r="188" spans="1:21" x14ac:dyDescent="0.4">
      <c r="A188" s="104" t="str">
        <f>"Time Zone: " &amp; Dashboard!D1</f>
        <v>Time Zone: Europe Western</v>
      </c>
      <c r="B188" s="13"/>
      <c r="C188" s="13"/>
      <c r="D188" s="13"/>
      <c r="E188" s="13"/>
      <c r="F188" s="13"/>
      <c r="G188" s="13"/>
      <c r="H188" s="13"/>
      <c r="I188" s="449" t="s">
        <v>592</v>
      </c>
      <c r="J188" s="13"/>
      <c r="K188" s="13"/>
      <c r="L188" s="13"/>
      <c r="M188" s="13"/>
    </row>
    <row r="189" spans="1:21" ht="31.5" x14ac:dyDescent="0.5">
      <c r="A189" s="14"/>
      <c r="B189" s="14"/>
      <c r="C189" s="14"/>
      <c r="D189" s="14"/>
      <c r="E189" s="14"/>
      <c r="F189" s="14"/>
      <c r="G189" s="14"/>
      <c r="H189" s="179" t="s">
        <v>77</v>
      </c>
      <c r="I189" s="14"/>
      <c r="J189" s="14"/>
      <c r="K189" s="14"/>
      <c r="L189" s="14"/>
      <c r="M189" s="14"/>
    </row>
    <row r="190" spans="1:21" x14ac:dyDescent="0.4">
      <c r="A190" s="193" t="s">
        <v>557</v>
      </c>
      <c r="B190" s="194"/>
      <c r="C190" s="194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486"/>
      <c r="O190" s="486"/>
      <c r="P190" s="486"/>
      <c r="Q190" s="486"/>
      <c r="R190" s="486"/>
      <c r="S190" s="486"/>
      <c r="T190" s="486"/>
      <c r="U190" s="486"/>
    </row>
    <row r="191" spans="1:21" x14ac:dyDescent="0.4">
      <c r="A191" s="180">
        <f ca="1">IFERROR(INDIRECT("fixtures!" &amp; Dashboard!J1 &amp;128) - Dashboard!K1/24,"TBC")</f>
        <v>44870.708333333336</v>
      </c>
      <c r="B191" s="181" t="s">
        <v>139</v>
      </c>
      <c r="C191" s="15"/>
      <c r="D191" s="181">
        <f>IF(ISBLANK(fixtures!$K128),"",fixtures!$K128)</f>
        <v>4</v>
      </c>
      <c r="E191" s="182" t="str">
        <f>IF(ISBLANK(fixtures!$L128),"",":")</f>
        <v>:</v>
      </c>
      <c r="F191" s="183">
        <f>IF(ISBLANK(fixtures!$L128),"",fixtures!$L128)</f>
        <v>3</v>
      </c>
      <c r="G191" s="15"/>
      <c r="H191" s="183" t="s">
        <v>3</v>
      </c>
      <c r="I191" s="183" t="s">
        <v>140</v>
      </c>
      <c r="J191" s="15"/>
      <c r="K191" s="15"/>
      <c r="L191" s="15"/>
      <c r="M191" s="15"/>
    </row>
    <row r="192" spans="1:21" x14ac:dyDescent="0.4">
      <c r="A192" s="180">
        <f ca="1">IFERROR(INDIRECT("fixtures!" &amp; Dashboard!J1 &amp;129) - Dashboard!K1/24,"TBC")</f>
        <v>44870.708333333336</v>
      </c>
      <c r="B192" s="181" t="s">
        <v>10</v>
      </c>
      <c r="C192" s="15"/>
      <c r="D192" s="181">
        <f>IF(ISBLANK(fixtures!$K129),"",fixtures!$K129)</f>
        <v>2</v>
      </c>
      <c r="E192" s="182" t="str">
        <f>IF(ISBLANK(fixtures!$L129),"",":")</f>
        <v>:</v>
      </c>
      <c r="F192" s="183">
        <f>IF(ISBLANK(fixtures!$L129),"",fixtures!$L129)</f>
        <v>1</v>
      </c>
      <c r="G192" s="15"/>
      <c r="H192" s="183" t="s">
        <v>126</v>
      </c>
      <c r="I192" s="183" t="s">
        <v>61</v>
      </c>
      <c r="J192" s="15"/>
      <c r="K192" s="15"/>
      <c r="L192" s="15"/>
      <c r="M192" s="15"/>
    </row>
    <row r="193" spans="1:21" x14ac:dyDescent="0.4">
      <c r="A193" s="180">
        <f ca="1">IFERROR(INDIRECT("fixtures!" &amp; Dashboard!J1 &amp;130) - Dashboard!K1/24,"TBC")</f>
        <v>44870.708333333336</v>
      </c>
      <c r="B193" s="181" t="s">
        <v>204</v>
      </c>
      <c r="C193" s="15"/>
      <c r="D193" s="181">
        <f>IF(ISBLANK(fixtures!$K130),"",fixtures!$K130)</f>
        <v>2</v>
      </c>
      <c r="E193" s="182" t="str">
        <f>IF(ISBLANK(fixtures!$L130),"",":")</f>
        <v>:</v>
      </c>
      <c r="F193" s="183">
        <f>IF(ISBLANK(fixtures!$L130),"",fixtures!$L130)</f>
        <v>2</v>
      </c>
      <c r="G193" s="15"/>
      <c r="H193" s="183" t="s">
        <v>125</v>
      </c>
      <c r="I193" s="183" t="s">
        <v>436</v>
      </c>
      <c r="J193" s="15"/>
      <c r="K193" s="15"/>
      <c r="L193" s="15"/>
      <c r="M193" s="15"/>
    </row>
    <row r="194" spans="1:21" x14ac:dyDescent="0.4">
      <c r="A194" s="180">
        <f ca="1">IFERROR(INDIRECT("fixtures!" &amp; Dashboard!J1 &amp;131) - Dashboard!K1/24,"TBC")</f>
        <v>44870.708333333336</v>
      </c>
      <c r="B194" s="181" t="s">
        <v>16</v>
      </c>
      <c r="C194" s="15"/>
      <c r="D194" s="181">
        <f>IF(ISBLANK(fixtures!$K131),"",fixtures!$K131)</f>
        <v>2</v>
      </c>
      <c r="E194" s="182" t="str">
        <f>IF(ISBLANK(fixtures!$L131),"",":")</f>
        <v>:</v>
      </c>
      <c r="F194" s="183">
        <f>IF(ISBLANK(fixtures!$L131),"",fixtures!$L131)</f>
        <v>3</v>
      </c>
      <c r="G194" s="15"/>
      <c r="H194" s="183" t="s">
        <v>4</v>
      </c>
      <c r="I194" s="183" t="s">
        <v>63</v>
      </c>
      <c r="J194" s="15"/>
      <c r="K194" s="15"/>
      <c r="L194" s="15"/>
      <c r="M194" s="15"/>
    </row>
    <row r="195" spans="1:21" x14ac:dyDescent="0.4">
      <c r="A195" s="180">
        <f ca="1">IFERROR(INDIRECT("fixtures!" &amp; Dashboard!J1 &amp;132) - Dashboard!K1/24,"TBC")</f>
        <v>44870.8125</v>
      </c>
      <c r="B195" s="181" t="s">
        <v>7</v>
      </c>
      <c r="C195" s="15"/>
      <c r="D195" s="181">
        <f>IF(ISBLANK(fixtures!$K132),"",fixtures!$K132)</f>
        <v>0</v>
      </c>
      <c r="E195" s="182" t="str">
        <f>IF(ISBLANK(fixtures!$L132),"",":")</f>
        <v>:</v>
      </c>
      <c r="F195" s="183">
        <f>IF(ISBLANK(fixtures!$L132),"",fixtures!$L132)</f>
        <v>2</v>
      </c>
      <c r="G195" s="15"/>
      <c r="H195" s="183" t="s">
        <v>8</v>
      </c>
      <c r="I195" s="183" t="s">
        <v>59</v>
      </c>
      <c r="J195" s="15"/>
      <c r="K195" s="15"/>
      <c r="L195" s="15"/>
      <c r="M195" s="15"/>
    </row>
    <row r="196" spans="1:21" x14ac:dyDescent="0.4">
      <c r="A196" s="193" t="s">
        <v>608</v>
      </c>
      <c r="B196" s="194"/>
      <c r="C196" s="194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</row>
    <row r="197" spans="1:21" x14ac:dyDescent="0.4">
      <c r="A197" s="180">
        <f ca="1">IFERROR(INDIRECT("fixtures!" &amp; Dashboard!J1 &amp;133) - Dashboard!K1/24,"TBC")</f>
        <v>44871.583333333336</v>
      </c>
      <c r="B197" s="181" t="s">
        <v>5</v>
      </c>
      <c r="C197" s="15"/>
      <c r="D197" s="181">
        <f>IF(ISBLANK(fixtures!$K133),"",fixtures!$K133)</f>
        <v>0</v>
      </c>
      <c r="E197" s="182" t="str">
        <f>IF(ISBLANK(fixtures!$L133),"",":")</f>
        <v>:</v>
      </c>
      <c r="F197" s="183">
        <f>IF(ISBLANK(fixtures!$L133),"",fixtures!$L133)</f>
        <v>1</v>
      </c>
      <c r="G197" s="15"/>
      <c r="H197" s="183" t="s">
        <v>1</v>
      </c>
      <c r="I197" s="183" t="s">
        <v>62</v>
      </c>
      <c r="J197" s="15"/>
      <c r="K197" s="15"/>
      <c r="L197" s="15"/>
      <c r="M197" s="15"/>
    </row>
    <row r="198" spans="1:21" x14ac:dyDescent="0.4">
      <c r="A198" s="180">
        <f ca="1">IFERROR(INDIRECT("fixtures!" &amp; Dashboard!J1 &amp;134) - Dashboard!K1/24,"TBC")</f>
        <v>44871.666666666664</v>
      </c>
      <c r="B198" s="181" t="s">
        <v>2</v>
      </c>
      <c r="C198" s="15"/>
      <c r="D198" s="181">
        <f>IF(ISBLANK(fixtures!$K134),"",fixtures!$K134)</f>
        <v>3</v>
      </c>
      <c r="E198" s="182" t="str">
        <f>IF(ISBLANK(fixtures!$L134),"",":")</f>
        <v>:</v>
      </c>
      <c r="F198" s="183">
        <f>IF(ISBLANK(fixtures!$L134),"",fixtures!$L134)</f>
        <v>1</v>
      </c>
      <c r="G198" s="15"/>
      <c r="H198" s="183" t="s">
        <v>11</v>
      </c>
      <c r="I198" s="183" t="s">
        <v>58</v>
      </c>
      <c r="J198" s="15"/>
      <c r="K198" s="15"/>
      <c r="L198" s="15"/>
      <c r="M198" s="15"/>
    </row>
    <row r="199" spans="1:21" x14ac:dyDescent="0.4">
      <c r="A199" s="180">
        <f ca="1">IFERROR(INDIRECT("fixtures!" &amp; Dashboard!J1 &amp;135) - Dashboard!K1/24,"TBC")</f>
        <v>44871.666666666664</v>
      </c>
      <c r="B199" s="181" t="s">
        <v>13</v>
      </c>
      <c r="C199" s="15"/>
      <c r="D199" s="181">
        <f>IF(ISBLANK(fixtures!$K135),"",fixtures!$K135)</f>
        <v>1</v>
      </c>
      <c r="E199" s="182" t="str">
        <f>IF(ISBLANK(fixtures!$L135),"",":")</f>
        <v>:</v>
      </c>
      <c r="F199" s="183">
        <f>IF(ISBLANK(fixtures!$L135),"",fixtures!$L135)</f>
        <v>4</v>
      </c>
      <c r="G199" s="15"/>
      <c r="H199" s="183" t="s">
        <v>12</v>
      </c>
      <c r="I199" s="183" t="s">
        <v>60</v>
      </c>
      <c r="J199" s="15"/>
      <c r="K199" s="15"/>
      <c r="L199" s="15"/>
      <c r="M199" s="15"/>
      <c r="N199" s="486"/>
      <c r="O199" s="486"/>
      <c r="P199" s="486"/>
      <c r="Q199" s="486"/>
      <c r="R199" s="486"/>
      <c r="S199" s="486"/>
      <c r="T199" s="486"/>
      <c r="U199" s="486"/>
    </row>
    <row r="200" spans="1:21" x14ac:dyDescent="0.4">
      <c r="A200" s="180">
        <f ca="1">IFERROR(INDIRECT("fixtures!" &amp; Dashboard!J1 &amp;136) - Dashboard!K1/24,"TBC")</f>
        <v>44871.666666666664</v>
      </c>
      <c r="B200" s="181" t="s">
        <v>15</v>
      </c>
      <c r="C200" s="15"/>
      <c r="D200" s="181">
        <f>IF(ISBLANK(fixtures!$K136),"",fixtures!$K136)</f>
        <v>1</v>
      </c>
      <c r="E200" s="182" t="str">
        <f>IF(ISBLANK(fixtures!$L136),"",":")</f>
        <v>:</v>
      </c>
      <c r="F200" s="183">
        <f>IF(ISBLANK(fixtures!$L136),"",fixtures!$L136)</f>
        <v>2</v>
      </c>
      <c r="G200" s="15"/>
      <c r="H200" s="183" t="s">
        <v>6</v>
      </c>
      <c r="I200" s="183" t="s">
        <v>50</v>
      </c>
      <c r="J200" s="15"/>
      <c r="K200" s="15"/>
      <c r="L200" s="15"/>
      <c r="M200" s="15"/>
    </row>
    <row r="201" spans="1:21" x14ac:dyDescent="0.4">
      <c r="A201" s="180">
        <f ca="1">IFERROR(INDIRECT("fixtures!" &amp; Dashboard!J1 &amp;137) - Dashboard!K1/24,"TBC")</f>
        <v>44871.770833333336</v>
      </c>
      <c r="B201" s="181" t="s">
        <v>14</v>
      </c>
      <c r="C201" s="15"/>
      <c r="D201" s="181">
        <f>IF(ISBLANK(fixtures!$K137),"",fixtures!$K137)</f>
        <v>1</v>
      </c>
      <c r="E201" s="182" t="str">
        <f>IF(ISBLANK(fixtures!$L137),"",":")</f>
        <v>:</v>
      </c>
      <c r="F201" s="183">
        <f>IF(ISBLANK(fixtures!$L137),"",fixtures!$L137)</f>
        <v>2</v>
      </c>
      <c r="G201" s="15"/>
      <c r="H201" s="183" t="s">
        <v>9</v>
      </c>
      <c r="I201" s="183" t="s">
        <v>53</v>
      </c>
      <c r="J201" s="15"/>
      <c r="K201" s="15"/>
      <c r="L201" s="15"/>
      <c r="M201" s="15"/>
    </row>
    <row r="202" spans="1:21" x14ac:dyDescent="0.4">
      <c r="A202" s="184" t="str">
        <f>"Time Zone: " &amp; Dashboard!D1</f>
        <v>Time Zone: Europe Western</v>
      </c>
      <c r="B202" s="15"/>
      <c r="C202" s="15"/>
      <c r="D202" s="15"/>
      <c r="E202" s="15"/>
      <c r="F202" s="15"/>
      <c r="G202" s="15"/>
      <c r="H202" s="15"/>
      <c r="I202" s="450" t="s">
        <v>592</v>
      </c>
      <c r="J202" s="15"/>
      <c r="K202" s="15"/>
      <c r="L202" s="15"/>
      <c r="M202" s="15"/>
    </row>
    <row r="203" spans="1:21" ht="31.5" x14ac:dyDescent="0.5">
      <c r="A203" s="205"/>
      <c r="B203" s="205"/>
      <c r="C203" s="205"/>
      <c r="D203" s="205"/>
      <c r="E203" s="205"/>
      <c r="F203" s="205"/>
      <c r="G203" s="205"/>
      <c r="H203" s="266" t="s">
        <v>78</v>
      </c>
      <c r="I203" s="205"/>
      <c r="J203" s="205"/>
      <c r="K203" s="205"/>
      <c r="L203" s="205"/>
      <c r="M203" s="205"/>
    </row>
    <row r="204" spans="1:21" x14ac:dyDescent="0.4">
      <c r="A204" s="267" t="s">
        <v>558</v>
      </c>
      <c r="B204" s="268"/>
      <c r="C204" s="268"/>
      <c r="D204" s="268"/>
      <c r="E204" s="268"/>
      <c r="F204" s="268"/>
      <c r="G204" s="268"/>
      <c r="H204" s="268"/>
      <c r="I204" s="268"/>
      <c r="J204" s="268"/>
      <c r="K204" s="268"/>
      <c r="L204" s="268"/>
      <c r="M204" s="268"/>
      <c r="N204" s="486"/>
      <c r="O204" s="486"/>
      <c r="P204" s="486"/>
      <c r="Q204" s="486"/>
      <c r="R204" s="486"/>
      <c r="S204" s="486"/>
      <c r="T204" s="486"/>
      <c r="U204" s="486"/>
    </row>
    <row r="205" spans="1:21" x14ac:dyDescent="0.4">
      <c r="A205" s="269">
        <f ca="1">IFERROR(INDIRECT("fixtures!" &amp; Dashboard!J1 &amp;138) - Dashboard!K1/24,"TBC")</f>
        <v>44877.604166666664</v>
      </c>
      <c r="B205" s="270" t="s">
        <v>10</v>
      </c>
      <c r="C205" s="23"/>
      <c r="D205" s="270">
        <f>IF(ISBLANK(fixtures!$K138),"",fixtures!$K138)</f>
        <v>1</v>
      </c>
      <c r="E205" s="271" t="str">
        <f>IF(ISBLANK(fixtures!$L138),"",":")</f>
        <v>:</v>
      </c>
      <c r="F205" s="272">
        <f>IF(ISBLANK(fixtures!$L138),"",fixtures!$L138)</f>
        <v>2</v>
      </c>
      <c r="G205" s="23"/>
      <c r="H205" s="272" t="s">
        <v>125</v>
      </c>
      <c r="I205" s="272" t="s">
        <v>61</v>
      </c>
      <c r="J205" s="23"/>
      <c r="K205" s="23"/>
      <c r="L205" s="23"/>
      <c r="M205" s="23"/>
    </row>
    <row r="206" spans="1:21" x14ac:dyDescent="0.4">
      <c r="A206" s="269">
        <f ca="1">IFERROR(INDIRECT("fixtures!" &amp; Dashboard!J1 &amp;139) - Dashboard!K1/24,"TBC")</f>
        <v>44877.708333333336</v>
      </c>
      <c r="B206" s="270" t="s">
        <v>3</v>
      </c>
      <c r="C206" s="23"/>
      <c r="D206" s="270">
        <f>IF(ISBLANK(fixtures!$K139),"",fixtures!$K139)</f>
        <v>3</v>
      </c>
      <c r="E206" s="271" t="str">
        <f>IF(ISBLANK(fixtures!$L139),"",":")</f>
        <v>:</v>
      </c>
      <c r="F206" s="272">
        <f>IF(ISBLANK(fixtures!$L139),"",fixtures!$L139)</f>
        <v>0</v>
      </c>
      <c r="G206" s="23"/>
      <c r="H206" s="272" t="s">
        <v>7</v>
      </c>
      <c r="I206" s="272" t="s">
        <v>51</v>
      </c>
      <c r="J206" s="23"/>
      <c r="K206" s="23"/>
      <c r="L206" s="23"/>
      <c r="M206" s="23"/>
    </row>
    <row r="207" spans="1:21" x14ac:dyDescent="0.4">
      <c r="A207" s="269">
        <f ca="1">IFERROR(INDIRECT("fixtures!" &amp; Dashboard!J1 &amp;140) - Dashboard!K1/24,"TBC")</f>
        <v>44877.708333333336</v>
      </c>
      <c r="B207" s="270" t="s">
        <v>9</v>
      </c>
      <c r="C207" s="23"/>
      <c r="D207" s="270">
        <f>IF(ISBLANK(fixtures!$K140),"",fixtures!$K140)</f>
        <v>3</v>
      </c>
      <c r="E207" s="271" t="str">
        <f>IF(ISBLANK(fixtures!$L140),"",":")</f>
        <v>:</v>
      </c>
      <c r="F207" s="272">
        <f>IF(ISBLANK(fixtures!$L140),"",fixtures!$L140)</f>
        <v>1</v>
      </c>
      <c r="G207" s="23"/>
      <c r="H207" s="272" t="s">
        <v>13</v>
      </c>
      <c r="I207" s="272" t="s">
        <v>48</v>
      </c>
      <c r="J207" s="23"/>
      <c r="K207" s="23"/>
      <c r="L207" s="23"/>
      <c r="M207" s="23"/>
    </row>
    <row r="208" spans="1:21" x14ac:dyDescent="0.4">
      <c r="A208" s="269">
        <f ca="1">IFERROR(INDIRECT("fixtures!" &amp; Dashboard!J1 &amp;141) - Dashboard!K1/24,"TBC")</f>
        <v>44877.708333333336</v>
      </c>
      <c r="B208" s="270" t="s">
        <v>204</v>
      </c>
      <c r="C208" s="23"/>
      <c r="D208" s="270">
        <f>IF(ISBLANK(fixtures!$K141),"",fixtures!$K141)</f>
        <v>1</v>
      </c>
      <c r="E208" s="271" t="str">
        <f>IF(ISBLANK(fixtures!$L141),"",":")</f>
        <v>:</v>
      </c>
      <c r="F208" s="272">
        <f>IF(ISBLANK(fixtures!$L141),"",fixtures!$L141)</f>
        <v>0</v>
      </c>
      <c r="G208" s="23"/>
      <c r="H208" s="272" t="s">
        <v>6</v>
      </c>
      <c r="I208" s="272" t="s">
        <v>436</v>
      </c>
      <c r="J208" s="23"/>
      <c r="K208" s="23"/>
      <c r="L208" s="23"/>
      <c r="M208" s="23"/>
    </row>
    <row r="209" spans="1:21" x14ac:dyDescent="0.4">
      <c r="A209" s="269">
        <f ca="1">IFERROR(INDIRECT("fixtures!" &amp; Dashboard!J1 &amp;142) - Dashboard!K1/24,"TBC")</f>
        <v>44877.708333333336</v>
      </c>
      <c r="B209" s="270" t="s">
        <v>14</v>
      </c>
      <c r="C209" s="23"/>
      <c r="D209" s="270">
        <f>IF(ISBLANK(fixtures!$K142),"",fixtures!$K142)</f>
        <v>4</v>
      </c>
      <c r="E209" s="271" t="str">
        <f>IF(ISBLANK(fixtures!$L142),"",":")</f>
        <v>:</v>
      </c>
      <c r="F209" s="272">
        <f>IF(ISBLANK(fixtures!$L142),"",fixtures!$L142)</f>
        <v>3</v>
      </c>
      <c r="G209" s="23"/>
      <c r="H209" s="272" t="s">
        <v>139</v>
      </c>
      <c r="I209" s="272" t="s">
        <v>53</v>
      </c>
      <c r="J209" s="23"/>
      <c r="K209" s="23"/>
      <c r="L209" s="23"/>
      <c r="M209" s="23"/>
    </row>
    <row r="210" spans="1:21" x14ac:dyDescent="0.4">
      <c r="A210" s="269">
        <f ca="1">IFERROR(INDIRECT("fixtures!" &amp; Dashboard!J1 &amp;143) - Dashboard!K1/24,"TBC")</f>
        <v>44877.708333333336</v>
      </c>
      <c r="B210" s="270" t="s">
        <v>15</v>
      </c>
      <c r="C210" s="23"/>
      <c r="D210" s="270">
        <f>IF(ISBLANK(fixtures!$K143),"",fixtures!$K143)</f>
        <v>0</v>
      </c>
      <c r="E210" s="271" t="str">
        <f>IF(ISBLANK(fixtures!$L143),"",":")</f>
        <v>:</v>
      </c>
      <c r="F210" s="272">
        <f>IF(ISBLANK(fixtures!$L143),"",fixtures!$L143)</f>
        <v>2</v>
      </c>
      <c r="G210" s="23"/>
      <c r="H210" s="272" t="s">
        <v>8</v>
      </c>
      <c r="I210" s="272" t="s">
        <v>50</v>
      </c>
      <c r="J210" s="23"/>
      <c r="K210" s="23"/>
      <c r="L210" s="23"/>
      <c r="M210" s="23"/>
      <c r="N210" s="486"/>
      <c r="O210" s="486"/>
      <c r="P210" s="486"/>
      <c r="Q210" s="486"/>
      <c r="R210" s="486"/>
      <c r="S210" s="486"/>
      <c r="T210" s="486"/>
      <c r="U210" s="486"/>
    </row>
    <row r="211" spans="1:21" x14ac:dyDescent="0.4">
      <c r="A211" s="269">
        <f ca="1">IFERROR(INDIRECT("fixtures!" &amp; Dashboard!J1 &amp;144) - Dashboard!K1/24,"TBC")</f>
        <v>44877.8125</v>
      </c>
      <c r="B211" s="270" t="s">
        <v>12</v>
      </c>
      <c r="C211" s="23"/>
      <c r="D211" s="270">
        <f>IF(ISBLANK(fixtures!$K144),"",fixtures!$K144)</f>
        <v>1</v>
      </c>
      <c r="E211" s="271" t="str">
        <f>IF(ISBLANK(fixtures!$L144),"",":")</f>
        <v>:</v>
      </c>
      <c r="F211" s="272">
        <f>IF(ISBLANK(fixtures!$L144),"",fixtures!$L144)</f>
        <v>0</v>
      </c>
      <c r="G211" s="23"/>
      <c r="H211" s="272" t="s">
        <v>5</v>
      </c>
      <c r="I211" s="272" t="s">
        <v>55</v>
      </c>
      <c r="J211" s="23"/>
      <c r="K211" s="23"/>
      <c r="L211" s="23"/>
      <c r="M211" s="23"/>
    </row>
    <row r="212" spans="1:21" x14ac:dyDescent="0.4">
      <c r="A212" s="269">
        <f ca="1">IFERROR(INDIRECT("fixtures!" &amp; Dashboard!J1 &amp;145) - Dashboard!K1/24,"TBC")</f>
        <v>44877.90625</v>
      </c>
      <c r="B212" s="270" t="s">
        <v>16</v>
      </c>
      <c r="C212" s="23"/>
      <c r="D212" s="270">
        <f>IF(ISBLANK(fixtures!$K145),"",fixtures!$K145)</f>
        <v>0</v>
      </c>
      <c r="E212" s="271" t="str">
        <f>IF(ISBLANK(fixtures!$L145),"",":")</f>
        <v>:</v>
      </c>
      <c r="F212" s="272">
        <f>IF(ISBLANK(fixtures!$L145),"",fixtures!$L145)</f>
        <v>2</v>
      </c>
      <c r="G212" s="23"/>
      <c r="H212" s="272" t="s">
        <v>1</v>
      </c>
      <c r="I212" s="272" t="s">
        <v>63</v>
      </c>
      <c r="J212" s="23"/>
      <c r="K212" s="23"/>
      <c r="L212" s="23"/>
      <c r="M212" s="23"/>
    </row>
    <row r="213" spans="1:21" x14ac:dyDescent="0.4">
      <c r="A213" s="267" t="s">
        <v>609</v>
      </c>
      <c r="B213" s="268"/>
      <c r="C213" s="268"/>
      <c r="D213" s="268"/>
      <c r="E213" s="268"/>
      <c r="F213" s="268"/>
      <c r="G213" s="268"/>
      <c r="H213" s="268"/>
      <c r="I213" s="268"/>
      <c r="J213" s="268"/>
      <c r="K213" s="268"/>
      <c r="L213" s="268"/>
      <c r="M213" s="268"/>
    </row>
    <row r="214" spans="1:21" x14ac:dyDescent="0.4">
      <c r="A214" s="269">
        <f ca="1">IFERROR(INDIRECT("fixtures!" &amp; Dashboard!J1 &amp;146) - Dashboard!K1/24,"TBC")</f>
        <v>44878.666666666664</v>
      </c>
      <c r="B214" s="270" t="s">
        <v>4</v>
      </c>
      <c r="C214" s="23"/>
      <c r="D214" s="270">
        <f>IF(ISBLANK(fixtures!$K146),"",fixtures!$K146)</f>
        <v>1</v>
      </c>
      <c r="E214" s="271" t="str">
        <f>IF(ISBLANK(fixtures!$L146),"",":")</f>
        <v>:</v>
      </c>
      <c r="F214" s="272">
        <f>IF(ISBLANK(fixtures!$L146),"",fixtures!$L146)</f>
        <v>2</v>
      </c>
      <c r="G214" s="23"/>
      <c r="H214" s="272" t="s">
        <v>2</v>
      </c>
      <c r="I214" s="272" t="s">
        <v>151</v>
      </c>
      <c r="J214" s="23"/>
      <c r="K214" s="23"/>
      <c r="L214" s="23"/>
      <c r="M214" s="23"/>
    </row>
    <row r="215" spans="1:21" x14ac:dyDescent="0.4">
      <c r="A215" s="269">
        <f ca="1">IFERROR(INDIRECT("fixtures!" &amp; Dashboard!J1 &amp;147) - Dashboard!K1/24,"TBC")</f>
        <v>44878.770833333336</v>
      </c>
      <c r="B215" s="270" t="s">
        <v>126</v>
      </c>
      <c r="C215" s="23"/>
      <c r="D215" s="270">
        <f>IF(ISBLANK(fixtures!$K147),"",fixtures!$K147)</f>
        <v>1</v>
      </c>
      <c r="E215" s="271" t="str">
        <f>IF(ISBLANK(fixtures!$L147),"",":")</f>
        <v>:</v>
      </c>
      <c r="F215" s="272">
        <f>IF(ISBLANK(fixtures!$L147),"",fixtures!$L147)</f>
        <v>2</v>
      </c>
      <c r="G215" s="23"/>
      <c r="H215" s="272" t="s">
        <v>11</v>
      </c>
      <c r="I215" s="272" t="s">
        <v>431</v>
      </c>
      <c r="J215" s="23"/>
      <c r="K215" s="23"/>
      <c r="L215" s="23"/>
      <c r="M215" s="23"/>
    </row>
    <row r="216" spans="1:21" x14ac:dyDescent="0.4">
      <c r="A216" s="273" t="str">
        <f>"Time Zone: " &amp; Dashboard!D1</f>
        <v>Time Zone: Europe Western</v>
      </c>
      <c r="B216" s="23"/>
      <c r="C216" s="23"/>
      <c r="D216" s="23"/>
      <c r="E216" s="23"/>
      <c r="F216" s="23"/>
      <c r="G216" s="23"/>
      <c r="H216" s="23"/>
      <c r="I216" s="451" t="s">
        <v>592</v>
      </c>
      <c r="J216" s="23"/>
      <c r="K216" s="23"/>
      <c r="L216" s="23"/>
      <c r="M216" s="23"/>
    </row>
    <row r="217" spans="1:21" ht="31.5" x14ac:dyDescent="0.5">
      <c r="A217" s="28"/>
      <c r="B217" s="28"/>
      <c r="C217" s="28"/>
      <c r="D217" s="28"/>
      <c r="E217" s="28"/>
      <c r="F217" s="28"/>
      <c r="G217" s="28"/>
      <c r="H217" s="109" t="s">
        <v>79</v>
      </c>
      <c r="I217" s="28"/>
      <c r="J217" s="28"/>
      <c r="K217" s="28"/>
      <c r="L217" s="28"/>
      <c r="M217" s="28"/>
    </row>
    <row r="218" spans="1:21" x14ac:dyDescent="0.4">
      <c r="A218" s="197" t="s">
        <v>559</v>
      </c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486"/>
      <c r="O218" s="486"/>
      <c r="P218" s="486"/>
      <c r="Q218" s="486"/>
      <c r="R218" s="486"/>
      <c r="S218" s="486"/>
      <c r="T218" s="486"/>
      <c r="U218" s="486"/>
    </row>
    <row r="219" spans="1:21" x14ac:dyDescent="0.4">
      <c r="A219" s="171">
        <f ca="1">IFERROR(INDIRECT("fixtures!" &amp; Dashboard!J1 &amp;148) - Dashboard!K1/24,"TBC")</f>
        <v>44921.604166666664</v>
      </c>
      <c r="B219" s="110" t="s">
        <v>125</v>
      </c>
      <c r="C219" s="29"/>
      <c r="D219" s="110">
        <f>IF(ISBLANK(fixtures!$K148),"",fixtures!$K148)</f>
        <v>2</v>
      </c>
      <c r="E219" s="111" t="str">
        <f>IF(ISBLANK(fixtures!$L148),"",":")</f>
        <v>:</v>
      </c>
      <c r="F219" s="112">
        <f>IF(ISBLANK(fixtures!$L148),"",fixtures!$L148)</f>
        <v>2</v>
      </c>
      <c r="G219" s="29"/>
      <c r="H219" s="112" t="s">
        <v>14</v>
      </c>
      <c r="I219" s="112" t="s">
        <v>593</v>
      </c>
      <c r="J219" s="29"/>
      <c r="K219" s="29"/>
      <c r="L219" s="29"/>
      <c r="M219" s="29"/>
    </row>
    <row r="220" spans="1:21" x14ac:dyDescent="0.4">
      <c r="A220" s="171">
        <f ca="1">IFERROR(INDIRECT("fixtures!" &amp; Dashboard!J1 &amp;149) - Dashboard!K1/24,"TBC")</f>
        <v>44921.708333333336</v>
      </c>
      <c r="B220" s="110" t="s">
        <v>6</v>
      </c>
      <c r="C220" s="29"/>
      <c r="D220" s="110">
        <f>IF(ISBLANK(fixtures!$K149),"",fixtures!$K149)</f>
        <v>0</v>
      </c>
      <c r="E220" s="111" t="str">
        <f>IF(ISBLANK(fixtures!$L149),"",":")</f>
        <v>:</v>
      </c>
      <c r="F220" s="112">
        <f>IF(ISBLANK(fixtures!$L149),"",fixtures!$L149)</f>
        <v>3</v>
      </c>
      <c r="G220" s="29"/>
      <c r="H220" s="112" t="s">
        <v>126</v>
      </c>
      <c r="I220" s="112" t="s">
        <v>52</v>
      </c>
      <c r="J220" s="29"/>
      <c r="K220" s="29"/>
      <c r="L220" s="29"/>
      <c r="M220" s="29"/>
    </row>
    <row r="221" spans="1:21" x14ac:dyDescent="0.4">
      <c r="A221" s="171">
        <f ca="1">IFERROR(INDIRECT("fixtures!" &amp; Dashboard!J1 &amp;150) - Dashboard!K1/24,"TBC")</f>
        <v>44921.708333333336</v>
      </c>
      <c r="B221" s="110" t="s">
        <v>7</v>
      </c>
      <c r="C221" s="29"/>
      <c r="D221" s="110">
        <f>IF(ISBLANK(fixtures!$K150),"",fixtures!$K150)</f>
        <v>1</v>
      </c>
      <c r="E221" s="111" t="str">
        <f>IF(ISBLANK(fixtures!$L150),"",":")</f>
        <v>:</v>
      </c>
      <c r="F221" s="112">
        <f>IF(ISBLANK(fixtures!$L150),"",fixtures!$L150)</f>
        <v>2</v>
      </c>
      <c r="G221" s="29"/>
      <c r="H221" s="112" t="s">
        <v>16</v>
      </c>
      <c r="I221" s="112" t="s">
        <v>59</v>
      </c>
      <c r="J221" s="29"/>
      <c r="K221" s="29"/>
      <c r="L221" s="29"/>
      <c r="M221" s="29"/>
    </row>
    <row r="222" spans="1:21" x14ac:dyDescent="0.4">
      <c r="A222" s="171">
        <f ca="1">IFERROR(INDIRECT("fixtures!" &amp; Dashboard!J1 &amp;151) - Dashboard!K1/24,"TBC")</f>
        <v>44921.708333333336</v>
      </c>
      <c r="B222" s="110" t="s">
        <v>8</v>
      </c>
      <c r="C222" s="29"/>
      <c r="D222" s="110">
        <f>IF(ISBLANK(fixtures!$K151),"",fixtures!$K151)</f>
        <v>0</v>
      </c>
      <c r="E222" s="111" t="str">
        <f>IF(ISBLANK(fixtures!$L151),"",":")</f>
        <v>:</v>
      </c>
      <c r="F222" s="112">
        <f>IF(ISBLANK(fixtures!$L151),"",fixtures!$L151)</f>
        <v>3</v>
      </c>
      <c r="G222" s="29"/>
      <c r="H222" s="112" t="s">
        <v>12</v>
      </c>
      <c r="I222" s="112" t="s">
        <v>54</v>
      </c>
      <c r="J222" s="29"/>
      <c r="K222" s="29"/>
      <c r="L222" s="29"/>
      <c r="M222" s="29"/>
    </row>
    <row r="223" spans="1:21" x14ac:dyDescent="0.4">
      <c r="A223" s="171">
        <f ca="1">IFERROR(INDIRECT("fixtures!" &amp; Dashboard!J1 &amp;152) - Dashboard!K1/24,"TBC")</f>
        <v>44921.708333333336</v>
      </c>
      <c r="B223" s="110" t="s">
        <v>13</v>
      </c>
      <c r="C223" s="29"/>
      <c r="D223" s="110">
        <f>IF(ISBLANK(fixtures!$K152),"",fixtures!$K152)</f>
        <v>1</v>
      </c>
      <c r="E223" s="111" t="str">
        <f>IF(ISBLANK(fixtures!$L152),"",":")</f>
        <v>:</v>
      </c>
      <c r="F223" s="112">
        <f>IF(ISBLANK(fixtures!$L152),"",fixtures!$L152)</f>
        <v>3</v>
      </c>
      <c r="G223" s="29"/>
      <c r="H223" s="112" t="s">
        <v>4</v>
      </c>
      <c r="I223" s="112" t="s">
        <v>60</v>
      </c>
      <c r="J223" s="29"/>
      <c r="K223" s="29"/>
      <c r="L223" s="29"/>
      <c r="M223" s="29"/>
    </row>
    <row r="224" spans="1:21" x14ac:dyDescent="0.4">
      <c r="A224" s="171">
        <f ca="1">IFERROR(INDIRECT("fixtures!" &amp; Dashboard!J1 &amp;153) - Dashboard!K1/24,"TBC")</f>
        <v>44921.8125</v>
      </c>
      <c r="B224" s="110" t="s">
        <v>2</v>
      </c>
      <c r="C224" s="29"/>
      <c r="D224" s="110">
        <f>IF(ISBLANK(fixtures!$K153),"",fixtures!$K153)</f>
        <v>1</v>
      </c>
      <c r="E224" s="111" t="str">
        <f>IF(ISBLANK(fixtures!$L153),"",":")</f>
        <v>:</v>
      </c>
      <c r="F224" s="112">
        <f>IF(ISBLANK(fixtures!$L153),"",fixtures!$L153)</f>
        <v>3</v>
      </c>
      <c r="G224" s="29"/>
      <c r="H224" s="112" t="s">
        <v>9</v>
      </c>
      <c r="I224" s="112" t="s">
        <v>58</v>
      </c>
      <c r="J224" s="29"/>
      <c r="K224" s="29"/>
      <c r="L224" s="29"/>
      <c r="M224" s="29"/>
    </row>
    <row r="225" spans="1:21" x14ac:dyDescent="0.4">
      <c r="A225" s="171">
        <f ca="1">IFERROR(INDIRECT("fixtures!" &amp; Dashboard!J1 &amp;154) - Dashboard!K1/24,"TBC")</f>
        <v>44921.916666666664</v>
      </c>
      <c r="B225" s="110" t="s">
        <v>1</v>
      </c>
      <c r="C225" s="29"/>
      <c r="D225" s="110">
        <f>IF(ISBLANK(fixtures!$K154),"",fixtures!$K154)</f>
        <v>3</v>
      </c>
      <c r="E225" s="111" t="str">
        <f>IF(ISBLANK(fixtures!$L154),"",":")</f>
        <v>:</v>
      </c>
      <c r="F225" s="112">
        <f>IF(ISBLANK(fixtures!$L154),"",fixtures!$L154)</f>
        <v>1</v>
      </c>
      <c r="G225" s="29"/>
      <c r="H225" s="112" t="s">
        <v>15</v>
      </c>
      <c r="I225" s="112" t="s">
        <v>57</v>
      </c>
      <c r="J225" s="29"/>
      <c r="K225" s="29"/>
      <c r="L225" s="29"/>
      <c r="M225" s="29"/>
    </row>
    <row r="226" spans="1:21" x14ac:dyDescent="0.4">
      <c r="A226" s="197" t="s">
        <v>615</v>
      </c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</row>
    <row r="227" spans="1:21" x14ac:dyDescent="0.4">
      <c r="A227" s="171">
        <f ca="1">IFERROR(INDIRECT("fixtures!" &amp; Dashboard!J1 &amp;155) - Dashboard!K1/24,"TBC")</f>
        <v>44922.8125</v>
      </c>
      <c r="B227" s="110" t="s">
        <v>5</v>
      </c>
      <c r="C227" s="29"/>
      <c r="D227" s="110">
        <f>IF(ISBLANK(fixtures!$K155),"",fixtures!$K155)</f>
        <v>2</v>
      </c>
      <c r="E227" s="111" t="str">
        <f>IF(ISBLANK(fixtures!$L155),"",":")</f>
        <v>:</v>
      </c>
      <c r="F227" s="112">
        <f>IF(ISBLANK(fixtures!$L155),"",fixtures!$L155)</f>
        <v>0</v>
      </c>
      <c r="G227" s="29"/>
      <c r="H227" s="112" t="s">
        <v>3</v>
      </c>
      <c r="I227" s="112" t="s">
        <v>62</v>
      </c>
      <c r="J227" s="29"/>
      <c r="K227" s="29"/>
      <c r="L227" s="29"/>
      <c r="M227" s="29"/>
      <c r="N227" s="486"/>
      <c r="O227" s="486"/>
      <c r="P227" s="486"/>
      <c r="Q227" s="486"/>
      <c r="R227" s="486"/>
      <c r="S227" s="486"/>
      <c r="T227" s="486"/>
      <c r="U227" s="486"/>
    </row>
    <row r="228" spans="1:21" x14ac:dyDescent="0.4">
      <c r="A228" s="171">
        <f ca="1">IFERROR(INDIRECT("fixtures!" &amp; Dashboard!J1 &amp;156) - Dashboard!K1/24,"TBC")</f>
        <v>44922.916666666664</v>
      </c>
      <c r="B228" s="110" t="s">
        <v>11</v>
      </c>
      <c r="C228" s="29"/>
      <c r="D228" s="110">
        <f>IF(ISBLANK(fixtures!$K156),"",fixtures!$K156)</f>
        <v>3</v>
      </c>
      <c r="E228" s="111" t="str">
        <f>IF(ISBLANK(fixtures!$L156),"",":")</f>
        <v>:</v>
      </c>
      <c r="F228" s="112">
        <f>IF(ISBLANK(fixtures!$L156),"",fixtures!$L156)</f>
        <v>0</v>
      </c>
      <c r="G228" s="29"/>
      <c r="H228" s="112" t="s">
        <v>204</v>
      </c>
      <c r="I228" s="112" t="s">
        <v>56</v>
      </c>
      <c r="J228" s="29"/>
      <c r="K228" s="29"/>
      <c r="L228" s="29"/>
      <c r="M228" s="29"/>
    </row>
    <row r="229" spans="1:21" x14ac:dyDescent="0.4">
      <c r="A229" s="197" t="s">
        <v>616</v>
      </c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</row>
    <row r="230" spans="1:21" x14ac:dyDescent="0.4">
      <c r="A230" s="171">
        <f ca="1">IFERROR(INDIRECT("fixtures!" &amp; Dashboard!J1 &amp;157) - Dashboard!K1/24,"TBC")</f>
        <v>44923.916666666664</v>
      </c>
      <c r="B230" s="110" t="s">
        <v>139</v>
      </c>
      <c r="C230" s="29"/>
      <c r="D230" s="110">
        <f>IF(ISBLANK(fixtures!$K157),"",fixtures!$K157)</f>
        <v>1</v>
      </c>
      <c r="E230" s="111" t="str">
        <f>IF(ISBLANK(fixtures!$L157),"",":")</f>
        <v>:</v>
      </c>
      <c r="F230" s="112">
        <f>IF(ISBLANK(fixtures!$L157),"",fixtures!$L157)</f>
        <v>3</v>
      </c>
      <c r="G230" s="29"/>
      <c r="H230" s="112" t="s">
        <v>10</v>
      </c>
      <c r="I230" s="112" t="s">
        <v>140</v>
      </c>
      <c r="J230" s="29"/>
      <c r="K230" s="29"/>
      <c r="L230" s="29"/>
      <c r="M230" s="29"/>
    </row>
    <row r="231" spans="1:21" x14ac:dyDescent="0.4">
      <c r="A231" s="113" t="str">
        <f>"Time Zone: " &amp; Dashboard!D1</f>
        <v>Time Zone: Europe Western</v>
      </c>
      <c r="B231" s="29"/>
      <c r="C231" s="29"/>
      <c r="D231" s="29"/>
      <c r="E231" s="29"/>
      <c r="F231" s="29"/>
      <c r="G231" s="29"/>
      <c r="H231" s="29"/>
      <c r="I231" s="452" t="s">
        <v>592</v>
      </c>
      <c r="J231" s="29"/>
      <c r="K231" s="29"/>
      <c r="L231" s="29"/>
      <c r="M231" s="29"/>
    </row>
    <row r="232" spans="1:21" ht="31.5" x14ac:dyDescent="0.5">
      <c r="A232" s="31"/>
      <c r="B232" s="31"/>
      <c r="C232" s="31"/>
      <c r="D232" s="31"/>
      <c r="E232" s="31"/>
      <c r="F232" s="31"/>
      <c r="G232" s="31"/>
      <c r="H232" s="114" t="s">
        <v>80</v>
      </c>
      <c r="I232" s="31"/>
      <c r="J232" s="31"/>
      <c r="K232" s="31"/>
      <c r="L232" s="31"/>
      <c r="M232" s="31"/>
      <c r="N232" s="486"/>
      <c r="O232" s="486"/>
      <c r="P232" s="486"/>
      <c r="Q232" s="486"/>
      <c r="R232" s="486"/>
      <c r="S232" s="486"/>
      <c r="T232" s="486"/>
      <c r="U232" s="486"/>
    </row>
    <row r="233" spans="1:21" x14ac:dyDescent="0.4">
      <c r="A233" s="199" t="s">
        <v>617</v>
      </c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</row>
    <row r="234" spans="1:21" x14ac:dyDescent="0.4">
      <c r="A234" s="172">
        <f ca="1">IFERROR(INDIRECT("fixtures!" &amp; Dashboard!J1 &amp;158) - Dashboard!K1/24,"TBC")</f>
        <v>44925.90625</v>
      </c>
      <c r="B234" s="115" t="s">
        <v>15</v>
      </c>
      <c r="C234" s="32"/>
      <c r="D234" s="115">
        <f>IF(ISBLANK(fixtures!$K158),"",fixtures!$K158)</f>
        <v>0</v>
      </c>
      <c r="E234" s="116" t="str">
        <f>IF(ISBLANK(fixtures!$L158),"",":")</f>
        <v>:</v>
      </c>
      <c r="F234" s="117">
        <f>IF(ISBLANK(fixtures!$L158),"",fixtures!$L158)</f>
        <v>2</v>
      </c>
      <c r="G234" s="32"/>
      <c r="H234" s="117" t="s">
        <v>125</v>
      </c>
      <c r="I234" s="117" t="s">
        <v>50</v>
      </c>
      <c r="J234" s="32"/>
      <c r="K234" s="32"/>
      <c r="L234" s="32"/>
      <c r="M234" s="32"/>
    </row>
    <row r="235" spans="1:21" x14ac:dyDescent="0.4">
      <c r="A235" s="172">
        <f ca="1">IFERROR(INDIRECT("fixtures!" &amp; Dashboard!J1 &amp;159) - Dashboard!K1/24,"TBC")</f>
        <v>44925.916666666664</v>
      </c>
      <c r="B235" s="115" t="s">
        <v>9</v>
      </c>
      <c r="C235" s="32"/>
      <c r="D235" s="115">
        <f>IF(ISBLANK(fixtures!$K159),"",fixtures!$K159)</f>
        <v>2</v>
      </c>
      <c r="E235" s="116" t="str">
        <f>IF(ISBLANK(fixtures!$L159),"",":")</f>
        <v>:</v>
      </c>
      <c r="F235" s="117">
        <f>IF(ISBLANK(fixtures!$L159),"",fixtures!$L159)</f>
        <v>1</v>
      </c>
      <c r="G235" s="32"/>
      <c r="H235" s="117" t="s">
        <v>8</v>
      </c>
      <c r="I235" s="117" t="s">
        <v>48</v>
      </c>
      <c r="J235" s="32"/>
      <c r="K235" s="32"/>
      <c r="L235" s="32"/>
      <c r="M235" s="32"/>
    </row>
    <row r="236" spans="1:21" x14ac:dyDescent="0.4">
      <c r="A236" s="199" t="s">
        <v>560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</row>
    <row r="237" spans="1:21" x14ac:dyDescent="0.4">
      <c r="A237" s="172">
        <f ca="1">IFERROR(INDIRECT("fixtures!" &amp; Dashboard!J1 &amp;160) - Dashboard!K1/24,"TBC")</f>
        <v>44926.604166666664</v>
      </c>
      <c r="B237" s="115" t="s">
        <v>16</v>
      </c>
      <c r="C237" s="32"/>
      <c r="D237" s="115">
        <f>IF(ISBLANK(fixtures!$K160),"",fixtures!$K160)</f>
        <v>0</v>
      </c>
      <c r="E237" s="116" t="str">
        <f>IF(ISBLANK(fixtures!$L160),"",":")</f>
        <v>:</v>
      </c>
      <c r="F237" s="117">
        <f>IF(ISBLANK(fixtures!$L160),"",fixtures!$L160)</f>
        <v>1</v>
      </c>
      <c r="G237" s="32"/>
      <c r="H237" s="117" t="s">
        <v>11</v>
      </c>
      <c r="I237" s="117" t="s">
        <v>63</v>
      </c>
      <c r="J237" s="32"/>
      <c r="K237" s="32"/>
      <c r="L237" s="32"/>
      <c r="M237" s="32"/>
    </row>
    <row r="238" spans="1:21" x14ac:dyDescent="0.4">
      <c r="A238" s="172">
        <f ca="1">IFERROR(INDIRECT("fixtures!" &amp; Dashboard!J1 &amp;161) - Dashboard!K1/24,"TBC")</f>
        <v>44926.708333333336</v>
      </c>
      <c r="B238" s="115" t="s">
        <v>3</v>
      </c>
      <c r="C238" s="32"/>
      <c r="D238" s="115">
        <f>IF(ISBLANK(fixtures!$K161),"",fixtures!$K161)</f>
        <v>0</v>
      </c>
      <c r="E238" s="116" t="str">
        <f>IF(ISBLANK(fixtures!$L161),"",":")</f>
        <v>:</v>
      </c>
      <c r="F238" s="117">
        <f>IF(ISBLANK(fixtures!$L161),"",fixtures!$L161)</f>
        <v>2</v>
      </c>
      <c r="G238" s="32"/>
      <c r="H238" s="117" t="s">
        <v>6</v>
      </c>
      <c r="I238" s="117" t="s">
        <v>51</v>
      </c>
      <c r="J238" s="32"/>
      <c r="K238" s="32"/>
      <c r="L238" s="32"/>
      <c r="M238" s="32"/>
    </row>
    <row r="239" spans="1:21" x14ac:dyDescent="0.4">
      <c r="A239" s="172">
        <f ca="1">IFERROR(INDIRECT("fixtures!" &amp; Dashboard!J1 &amp;162) - Dashboard!K1/24,"TBC")</f>
        <v>44926.708333333336</v>
      </c>
      <c r="B239" s="115" t="s">
        <v>126</v>
      </c>
      <c r="C239" s="32"/>
      <c r="D239" s="115">
        <f>IF(ISBLANK(fixtures!$K162),"",fixtures!$K162)</f>
        <v>2</v>
      </c>
      <c r="E239" s="116" t="str">
        <f>IF(ISBLANK(fixtures!$L162),"",":")</f>
        <v>:</v>
      </c>
      <c r="F239" s="117">
        <f>IF(ISBLANK(fixtures!$L162),"",fixtures!$L162)</f>
        <v>1</v>
      </c>
      <c r="G239" s="32"/>
      <c r="H239" s="117" t="s">
        <v>13</v>
      </c>
      <c r="I239" s="117" t="s">
        <v>431</v>
      </c>
      <c r="J239" s="32"/>
      <c r="K239" s="32"/>
      <c r="L239" s="32"/>
      <c r="M239" s="32"/>
    </row>
    <row r="240" spans="1:21" x14ac:dyDescent="0.4">
      <c r="A240" s="172">
        <f ca="1">IFERROR(INDIRECT("fixtures!" &amp; Dashboard!J1 &amp;163) - Dashboard!K1/24,"TBC")</f>
        <v>44926.708333333336</v>
      </c>
      <c r="B240" s="115" t="s">
        <v>10</v>
      </c>
      <c r="C240" s="32"/>
      <c r="D240" s="115">
        <f>IF(ISBLANK(fixtures!$K163),"",fixtures!$K163)</f>
        <v>1</v>
      </c>
      <c r="E240" s="116" t="str">
        <f>IF(ISBLANK(fixtures!$L163),"",":")</f>
        <v>:</v>
      </c>
      <c r="F240" s="117">
        <f>IF(ISBLANK(fixtures!$L163),"",fixtures!$L163)</f>
        <v>1</v>
      </c>
      <c r="G240" s="32"/>
      <c r="H240" s="117" t="s">
        <v>7</v>
      </c>
      <c r="I240" s="117" t="s">
        <v>61</v>
      </c>
      <c r="J240" s="32"/>
      <c r="K240" s="32"/>
      <c r="L240" s="32"/>
      <c r="M240" s="32"/>
      <c r="N240" s="486"/>
      <c r="O240" s="486"/>
      <c r="P240" s="486"/>
      <c r="Q240" s="486"/>
      <c r="R240" s="486"/>
      <c r="S240" s="486"/>
      <c r="T240" s="486"/>
      <c r="U240" s="486"/>
    </row>
    <row r="241" spans="1:21" x14ac:dyDescent="0.4">
      <c r="A241" s="172">
        <f ca="1">IFERROR(INDIRECT("fixtures!" &amp; Dashboard!J1 &amp;164) - Dashboard!K1/24,"TBC")</f>
        <v>44926.708333333336</v>
      </c>
      <c r="B241" s="115" t="s">
        <v>12</v>
      </c>
      <c r="C241" s="32"/>
      <c r="D241" s="115">
        <f>IF(ISBLANK(fixtures!$K164),"",fixtures!$K164)</f>
        <v>0</v>
      </c>
      <c r="E241" s="116" t="str">
        <f>IF(ISBLANK(fixtures!$L164),"",":")</f>
        <v>:</v>
      </c>
      <c r="F241" s="117">
        <f>IF(ISBLANK(fixtures!$L164),"",fixtures!$L164)</f>
        <v>0</v>
      </c>
      <c r="G241" s="32"/>
      <c r="H241" s="117" t="s">
        <v>139</v>
      </c>
      <c r="I241" s="117" t="s">
        <v>55</v>
      </c>
      <c r="J241" s="32"/>
      <c r="K241" s="32"/>
      <c r="L241" s="32"/>
      <c r="M241" s="32"/>
    </row>
    <row r="242" spans="1:21" x14ac:dyDescent="0.4">
      <c r="A242" s="172">
        <f ca="1">IFERROR(INDIRECT("fixtures!" &amp; Dashboard!J1 &amp;165) - Dashboard!K1/24,"TBC")</f>
        <v>44926.8125</v>
      </c>
      <c r="B242" s="115" t="s">
        <v>4</v>
      </c>
      <c r="C242" s="32"/>
      <c r="D242" s="115">
        <f>IF(ISBLANK(fixtures!$K165),"",fixtures!$K165)</f>
        <v>2</v>
      </c>
      <c r="E242" s="116" t="str">
        <f>IF(ISBLANK(fixtures!$L165),"",":")</f>
        <v>:</v>
      </c>
      <c r="F242" s="117">
        <f>IF(ISBLANK(fixtures!$L165),"",fixtures!$L165)</f>
        <v>4</v>
      </c>
      <c r="G242" s="32"/>
      <c r="H242" s="117" t="s">
        <v>1</v>
      </c>
      <c r="I242" s="117" t="s">
        <v>151</v>
      </c>
      <c r="J242" s="32"/>
      <c r="K242" s="32"/>
      <c r="L242" s="32"/>
      <c r="M242" s="32"/>
    </row>
    <row r="243" spans="1:21" x14ac:dyDescent="0.4">
      <c r="A243" s="199" t="s">
        <v>618</v>
      </c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486"/>
      <c r="O243" s="486"/>
      <c r="P243" s="486"/>
      <c r="Q243" s="486"/>
      <c r="R243" s="486"/>
      <c r="S243" s="486"/>
      <c r="T243" s="486"/>
      <c r="U243" s="486"/>
    </row>
    <row r="244" spans="1:21" x14ac:dyDescent="0.4">
      <c r="A244" s="172">
        <f ca="1">IFERROR(INDIRECT("fixtures!" &amp; Dashboard!J1 &amp;166) - Dashboard!K1/24,"TBC")</f>
        <v>44927.666666666664</v>
      </c>
      <c r="B244" s="115" t="s">
        <v>14</v>
      </c>
      <c r="C244" s="32"/>
      <c r="D244" s="115">
        <f>IF(ISBLANK(fixtures!$K166),"",fixtures!$K166)</f>
        <v>0</v>
      </c>
      <c r="E244" s="116" t="str">
        <f>IF(ISBLANK(fixtures!$L166),"",":")</f>
        <v>:</v>
      </c>
      <c r="F244" s="117">
        <f>IF(ISBLANK(fixtures!$L166),"",fixtures!$L166)</f>
        <v>2</v>
      </c>
      <c r="G244" s="32"/>
      <c r="H244" s="117" t="s">
        <v>2</v>
      </c>
      <c r="I244" s="117" t="s">
        <v>53</v>
      </c>
      <c r="J244" s="32"/>
      <c r="K244" s="32"/>
      <c r="L244" s="32"/>
      <c r="M244" s="32"/>
    </row>
    <row r="245" spans="1:21" x14ac:dyDescent="0.4">
      <c r="A245" s="172">
        <f ca="1">IFERROR(INDIRECT("fixtures!" &amp; Dashboard!J1 &amp;167) - Dashboard!K1/24,"TBC")</f>
        <v>44927.770833333336</v>
      </c>
      <c r="B245" s="115" t="s">
        <v>204</v>
      </c>
      <c r="C245" s="32"/>
      <c r="D245" s="115">
        <f>IF(ISBLANK(fixtures!$K167),"",fixtures!$K167)</f>
        <v>1</v>
      </c>
      <c r="E245" s="116" t="str">
        <f>IF(ISBLANK(fixtures!$L167),"",":")</f>
        <v>:</v>
      </c>
      <c r="F245" s="117">
        <f>IF(ISBLANK(fixtures!$L167),"",fixtures!$L167)</f>
        <v>1</v>
      </c>
      <c r="G245" s="32"/>
      <c r="H245" s="117" t="s">
        <v>5</v>
      </c>
      <c r="I245" s="117" t="s">
        <v>436</v>
      </c>
      <c r="J245" s="32"/>
      <c r="K245" s="32"/>
      <c r="L245" s="32"/>
      <c r="M245" s="32"/>
    </row>
    <row r="246" spans="1:21" x14ac:dyDescent="0.4">
      <c r="A246" s="118" t="str">
        <f>"Time Zone: " &amp; Dashboard!D1</f>
        <v>Time Zone: Europe Western</v>
      </c>
      <c r="B246" s="32"/>
      <c r="C246" s="32"/>
      <c r="D246" s="32"/>
      <c r="E246" s="32"/>
      <c r="F246" s="32"/>
      <c r="G246" s="32"/>
      <c r="H246" s="32"/>
      <c r="I246" s="453" t="s">
        <v>592</v>
      </c>
      <c r="J246" s="32"/>
      <c r="K246" s="32"/>
      <c r="L246" s="32"/>
      <c r="M246" s="32"/>
    </row>
    <row r="247" spans="1:21" ht="31.5" x14ac:dyDescent="0.5">
      <c r="A247" s="24"/>
      <c r="B247" s="24"/>
      <c r="C247" s="24"/>
      <c r="D247" s="24"/>
      <c r="E247" s="24"/>
      <c r="F247" s="24"/>
      <c r="G247" s="24"/>
      <c r="H247" s="186" t="s">
        <v>81</v>
      </c>
      <c r="I247" s="24"/>
      <c r="J247" s="24"/>
      <c r="K247" s="24"/>
      <c r="L247" s="24"/>
      <c r="M247" s="24"/>
      <c r="N247" s="486"/>
      <c r="O247" s="486"/>
      <c r="P247" s="486"/>
      <c r="Q247" s="486"/>
      <c r="R247" s="486"/>
      <c r="S247" s="486"/>
      <c r="T247" s="486"/>
      <c r="U247" s="486"/>
    </row>
    <row r="248" spans="1:21" x14ac:dyDescent="0.4">
      <c r="A248" s="195" t="s">
        <v>561</v>
      </c>
      <c r="B248" s="196"/>
      <c r="C248" s="196"/>
      <c r="D248" s="196"/>
      <c r="E248" s="196"/>
      <c r="F248" s="196"/>
      <c r="G248" s="196"/>
      <c r="H248" s="196"/>
      <c r="I248" s="196"/>
      <c r="J248" s="196"/>
      <c r="K248" s="196"/>
      <c r="L248" s="196"/>
      <c r="M248" s="196"/>
    </row>
    <row r="249" spans="1:21" x14ac:dyDescent="0.4">
      <c r="A249" s="170">
        <f ca="1">IFERROR(INDIRECT("fixtures!" &amp; Dashboard!J1 &amp;168) - Dashboard!K1/24,"TBC")</f>
        <v>44928.8125</v>
      </c>
      <c r="B249" s="105" t="s">
        <v>125</v>
      </c>
      <c r="C249" s="25"/>
      <c r="D249" s="105">
        <f>IF(ISBLANK(fixtures!$K168),"",fixtures!$K168)</f>
        <v>3</v>
      </c>
      <c r="E249" s="106" t="str">
        <f>IF(ISBLANK(fixtures!$L168),"",":")</f>
        <v>:</v>
      </c>
      <c r="F249" s="107">
        <f>IF(ISBLANK(fixtures!$L168),"",fixtures!$L168)</f>
        <v>1</v>
      </c>
      <c r="G249" s="25"/>
      <c r="H249" s="107" t="s">
        <v>9</v>
      </c>
      <c r="I249" s="107" t="s">
        <v>593</v>
      </c>
      <c r="J249" s="25"/>
      <c r="K249" s="25"/>
      <c r="L249" s="25"/>
      <c r="M249" s="25"/>
    </row>
    <row r="250" spans="1:21" x14ac:dyDescent="0.4">
      <c r="A250" s="195" t="s">
        <v>619</v>
      </c>
      <c r="B250" s="196"/>
      <c r="C250" s="196"/>
      <c r="D250" s="196"/>
      <c r="E250" s="196"/>
      <c r="F250" s="196"/>
      <c r="G250" s="196"/>
      <c r="H250" s="196"/>
      <c r="I250" s="196"/>
      <c r="J250" s="196"/>
      <c r="K250" s="196"/>
      <c r="L250" s="196"/>
      <c r="M250" s="196"/>
      <c r="N250" s="486"/>
      <c r="O250" s="486"/>
      <c r="P250" s="486"/>
      <c r="Q250" s="486"/>
      <c r="R250" s="486"/>
      <c r="S250" s="486"/>
      <c r="T250" s="486"/>
      <c r="U250" s="486"/>
    </row>
    <row r="251" spans="1:21" x14ac:dyDescent="0.4">
      <c r="A251" s="170">
        <f ca="1">IFERROR(INDIRECT("fixtures!" &amp; Dashboard!J1 &amp;169) - Dashboard!K1/24,"TBC")</f>
        <v>44929.90625</v>
      </c>
      <c r="B251" s="105" t="s">
        <v>1</v>
      </c>
      <c r="C251" s="25"/>
      <c r="D251" s="105">
        <f>IF(ISBLANK(fixtures!$K169),"",fixtures!$K169)</f>
        <v>0</v>
      </c>
      <c r="E251" s="106" t="str">
        <f>IF(ISBLANK(fixtures!$L169),"",":")</f>
        <v>:</v>
      </c>
      <c r="F251" s="107">
        <f>IF(ISBLANK(fixtures!$L169),"",fixtures!$L169)</f>
        <v>0</v>
      </c>
      <c r="G251" s="25"/>
      <c r="H251" s="107" t="s">
        <v>12</v>
      </c>
      <c r="I251" s="107" t="s">
        <v>57</v>
      </c>
      <c r="J251" s="25"/>
      <c r="K251" s="25"/>
      <c r="L251" s="25"/>
      <c r="M251" s="25"/>
    </row>
    <row r="252" spans="1:21" x14ac:dyDescent="0.4">
      <c r="A252" s="170">
        <f ca="1">IFERROR(INDIRECT("fixtures!" &amp; Dashboard!J1 &amp;170) - Dashboard!K1/24,"TBC")</f>
        <v>44929.90625</v>
      </c>
      <c r="B252" s="105" t="s">
        <v>7</v>
      </c>
      <c r="C252" s="25"/>
      <c r="D252" s="105">
        <f>IF(ISBLANK(fixtures!$K170),"",fixtures!$K170)</f>
        <v>1</v>
      </c>
      <c r="E252" s="106" t="str">
        <f>IF(ISBLANK(fixtures!$L170),"",":")</f>
        <v>:</v>
      </c>
      <c r="F252" s="107">
        <f>IF(ISBLANK(fixtures!$L170),"",fixtures!$L170)</f>
        <v>4</v>
      </c>
      <c r="G252" s="25"/>
      <c r="H252" s="107" t="s">
        <v>4</v>
      </c>
      <c r="I252" s="107" t="s">
        <v>59</v>
      </c>
      <c r="J252" s="25"/>
      <c r="K252" s="25"/>
      <c r="L252" s="25"/>
      <c r="M252" s="25"/>
    </row>
    <row r="253" spans="1:21" x14ac:dyDescent="0.4">
      <c r="A253" s="170">
        <f ca="1">IFERROR(INDIRECT("fixtures!" &amp; Dashboard!J1 &amp;171) - Dashboard!K1/24,"TBC")</f>
        <v>44929.90625</v>
      </c>
      <c r="B253" s="105" t="s">
        <v>8</v>
      </c>
      <c r="C253" s="25"/>
      <c r="D253" s="105">
        <f>IF(ISBLANK(fixtures!$K171),"",fixtures!$K171)</f>
        <v>0</v>
      </c>
      <c r="E253" s="106" t="str">
        <f>IF(ISBLANK(fixtures!$L171),"",":")</f>
        <v>:</v>
      </c>
      <c r="F253" s="107">
        <f>IF(ISBLANK(fixtures!$L171),"",fixtures!$L171)</f>
        <v>1</v>
      </c>
      <c r="G253" s="25"/>
      <c r="H253" s="107" t="s">
        <v>126</v>
      </c>
      <c r="I253" s="107" t="s">
        <v>54</v>
      </c>
      <c r="J253" s="25"/>
      <c r="K253" s="25"/>
      <c r="L253" s="25"/>
      <c r="M253" s="25"/>
    </row>
    <row r="254" spans="1:21" x14ac:dyDescent="0.4">
      <c r="A254" s="170">
        <f ca="1">IFERROR(INDIRECT("fixtures!" &amp; Dashboard!J1 &amp;172) - Dashboard!K1/24,"TBC")</f>
        <v>44929.916666666664</v>
      </c>
      <c r="B254" s="105" t="s">
        <v>11</v>
      </c>
      <c r="C254" s="25"/>
      <c r="D254" s="105">
        <f>IF(ISBLANK(fixtures!$K172),"",fixtures!$K172)</f>
        <v>3</v>
      </c>
      <c r="E254" s="106" t="str">
        <f>IF(ISBLANK(fixtures!$L172),"",":")</f>
        <v>:</v>
      </c>
      <c r="F254" s="107">
        <f>IF(ISBLANK(fixtures!$L172),"",fixtures!$L172)</f>
        <v>0</v>
      </c>
      <c r="G254" s="25"/>
      <c r="H254" s="107" t="s">
        <v>3</v>
      </c>
      <c r="I254" s="107" t="s">
        <v>56</v>
      </c>
      <c r="J254" s="25"/>
      <c r="K254" s="25"/>
      <c r="L254" s="25"/>
      <c r="M254" s="25"/>
    </row>
    <row r="255" spans="1:21" x14ac:dyDescent="0.4">
      <c r="A255" s="195" t="s">
        <v>620</v>
      </c>
      <c r="B255" s="196"/>
      <c r="C255" s="196"/>
      <c r="D255" s="196"/>
      <c r="E255" s="196"/>
      <c r="F255" s="196"/>
      <c r="G255" s="196"/>
      <c r="H255" s="196"/>
      <c r="I255" s="196"/>
      <c r="J255" s="196"/>
      <c r="K255" s="196"/>
      <c r="L255" s="196"/>
      <c r="M255" s="196"/>
    </row>
    <row r="256" spans="1:21" x14ac:dyDescent="0.4">
      <c r="A256" s="170">
        <f ca="1">IFERROR(INDIRECT("fixtures!" &amp; Dashboard!J1 &amp;173) - Dashboard!K1/24,"TBC")</f>
        <v>44930.895833333336</v>
      </c>
      <c r="B256" s="105" t="s">
        <v>13</v>
      </c>
      <c r="C256" s="25"/>
      <c r="D256" s="105">
        <f>IF(ISBLANK(fixtures!$K173),"",fixtures!$K173)</f>
        <v>0</v>
      </c>
      <c r="E256" s="106" t="str">
        <f>IF(ISBLANK(fixtures!$L173),"",":")</f>
        <v>:</v>
      </c>
      <c r="F256" s="107">
        <f>IF(ISBLANK(fixtures!$L173),"",fixtures!$L173)</f>
        <v>1</v>
      </c>
      <c r="G256" s="25"/>
      <c r="H256" s="107" t="s">
        <v>204</v>
      </c>
      <c r="I256" s="107" t="s">
        <v>60</v>
      </c>
      <c r="J256" s="25"/>
      <c r="K256" s="25"/>
      <c r="L256" s="25"/>
      <c r="M256" s="25"/>
    </row>
    <row r="257" spans="1:21" x14ac:dyDescent="0.4">
      <c r="A257" s="170">
        <f ca="1">IFERROR(INDIRECT("fixtures!" &amp; Dashboard!J1 &amp;174) - Dashboard!K1/24,"TBC")</f>
        <v>44930.90625</v>
      </c>
      <c r="B257" s="105" t="s">
        <v>139</v>
      </c>
      <c r="C257" s="25"/>
      <c r="D257" s="105">
        <f>IF(ISBLANK(fixtures!$K174),"",fixtures!$K174)</f>
        <v>2</v>
      </c>
      <c r="E257" s="106" t="str">
        <f>IF(ISBLANK(fixtures!$L174),"",":")</f>
        <v>:</v>
      </c>
      <c r="F257" s="107">
        <f>IF(ISBLANK(fixtures!$L174),"",fixtures!$L174)</f>
        <v>2</v>
      </c>
      <c r="G257" s="25"/>
      <c r="H257" s="107" t="s">
        <v>15</v>
      </c>
      <c r="I257" s="107" t="s">
        <v>140</v>
      </c>
      <c r="J257" s="25"/>
      <c r="K257" s="25"/>
      <c r="L257" s="25"/>
      <c r="M257" s="25"/>
      <c r="N257" s="486"/>
      <c r="O257" s="486"/>
      <c r="P257" s="486"/>
      <c r="Q257" s="486"/>
      <c r="R257" s="486"/>
      <c r="S257" s="486"/>
      <c r="T257" s="486"/>
      <c r="U257" s="486"/>
    </row>
    <row r="258" spans="1:21" x14ac:dyDescent="0.4">
      <c r="A258" s="170">
        <f ca="1">IFERROR(INDIRECT("fixtures!" &amp; Dashboard!J1 &amp;175) - Dashboard!K1/24,"TBC")</f>
        <v>44930.916666666664</v>
      </c>
      <c r="B258" s="105" t="s">
        <v>2</v>
      </c>
      <c r="C258" s="25"/>
      <c r="D258" s="105">
        <f>IF(ISBLANK(fixtures!$K175),"",fixtures!$K175)</f>
        <v>1</v>
      </c>
      <c r="E258" s="106" t="str">
        <f>IF(ISBLANK(fixtures!$L175),"",":")</f>
        <v>:</v>
      </c>
      <c r="F258" s="107">
        <f>IF(ISBLANK(fixtures!$L175),"",fixtures!$L175)</f>
        <v>1</v>
      </c>
      <c r="G258" s="25"/>
      <c r="H258" s="107" t="s">
        <v>16</v>
      </c>
      <c r="I258" s="107" t="s">
        <v>58</v>
      </c>
      <c r="J258" s="25"/>
      <c r="K258" s="25"/>
      <c r="L258" s="25"/>
      <c r="M258" s="25"/>
    </row>
    <row r="259" spans="1:21" x14ac:dyDescent="0.4">
      <c r="A259" s="170">
        <f ca="1">IFERROR(INDIRECT("fixtures!" &amp; Dashboard!J1 &amp;176) - Dashboard!K1/24,"TBC")</f>
        <v>44930.916666666664</v>
      </c>
      <c r="B259" s="105" t="s">
        <v>6</v>
      </c>
      <c r="C259" s="25"/>
      <c r="D259" s="105">
        <f>IF(ISBLANK(fixtures!$K176),"",fixtures!$K176)</f>
        <v>0</v>
      </c>
      <c r="E259" s="106" t="str">
        <f>IF(ISBLANK(fixtures!$L176),"",":")</f>
        <v>:</v>
      </c>
      <c r="F259" s="107">
        <f>IF(ISBLANK(fixtures!$L176),"",fixtures!$L176)</f>
        <v>4</v>
      </c>
      <c r="G259" s="25"/>
      <c r="H259" s="107" t="s">
        <v>14</v>
      </c>
      <c r="I259" s="107" t="s">
        <v>52</v>
      </c>
      <c r="J259" s="25"/>
      <c r="K259" s="25"/>
      <c r="L259" s="25"/>
      <c r="M259" s="25"/>
    </row>
    <row r="260" spans="1:21" x14ac:dyDescent="0.4">
      <c r="A260" s="195" t="s">
        <v>621</v>
      </c>
      <c r="B260" s="196"/>
      <c r="C260" s="196"/>
      <c r="D260" s="196"/>
      <c r="E260" s="196"/>
      <c r="F260" s="196"/>
      <c r="G260" s="196"/>
      <c r="H260" s="196"/>
      <c r="I260" s="196"/>
      <c r="J260" s="196"/>
      <c r="K260" s="196"/>
      <c r="L260" s="196"/>
      <c r="M260" s="196"/>
    </row>
    <row r="261" spans="1:21" x14ac:dyDescent="0.4">
      <c r="A261" s="170">
        <f ca="1">IFERROR(INDIRECT("fixtures!" &amp; Dashboard!J1 &amp;177) - Dashboard!K1/24,"TBC")</f>
        <v>44931.916666666664</v>
      </c>
      <c r="B261" s="105" t="s">
        <v>5</v>
      </c>
      <c r="C261" s="25"/>
      <c r="D261" s="105">
        <f>IF(ISBLANK(fixtures!$K177),"",fixtures!$K177)</f>
        <v>0</v>
      </c>
      <c r="E261" s="106" t="str">
        <f>IF(ISBLANK(fixtures!$L177),"",":")</f>
        <v>:</v>
      </c>
      <c r="F261" s="107">
        <f>IF(ISBLANK(fixtures!$L177),"",fixtures!$L177)</f>
        <v>1</v>
      </c>
      <c r="G261" s="25"/>
      <c r="H261" s="107" t="s">
        <v>10</v>
      </c>
      <c r="I261" s="107" t="s">
        <v>62</v>
      </c>
      <c r="J261" s="25"/>
      <c r="K261" s="25"/>
      <c r="L261" s="25"/>
      <c r="M261" s="25"/>
    </row>
    <row r="262" spans="1:21" x14ac:dyDescent="0.4">
      <c r="A262" s="108" t="str">
        <f>"Time Zone: " &amp; Dashboard!D1</f>
        <v>Time Zone: Europe Western</v>
      </c>
      <c r="B262" s="25"/>
      <c r="C262" s="25"/>
      <c r="D262" s="25"/>
      <c r="E262" s="25"/>
      <c r="F262" s="25"/>
      <c r="G262" s="25"/>
      <c r="H262" s="25"/>
      <c r="I262" s="454" t="s">
        <v>592</v>
      </c>
      <c r="J262" s="25"/>
      <c r="K262" s="25"/>
      <c r="L262" s="25"/>
      <c r="M262" s="25"/>
      <c r="N262" s="486"/>
      <c r="O262" s="486"/>
      <c r="P262" s="486"/>
      <c r="Q262" s="486"/>
      <c r="R262" s="486"/>
      <c r="S262" s="486"/>
      <c r="T262" s="486"/>
      <c r="U262" s="486"/>
    </row>
    <row r="263" spans="1:21" ht="31.5" x14ac:dyDescent="0.5">
      <c r="A263" s="33"/>
      <c r="B263" s="33"/>
      <c r="C263" s="33"/>
      <c r="D263" s="33"/>
      <c r="E263" s="33"/>
      <c r="F263" s="33"/>
      <c r="G263" s="33"/>
      <c r="H263" s="119" t="s">
        <v>629</v>
      </c>
      <c r="I263" s="33"/>
      <c r="J263" s="33"/>
      <c r="K263" s="33"/>
      <c r="L263" s="33"/>
      <c r="M263" s="33"/>
    </row>
    <row r="264" spans="1:21" x14ac:dyDescent="0.4">
      <c r="A264" s="201" t="s">
        <v>630</v>
      </c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486"/>
      <c r="O264" s="486"/>
      <c r="P264" s="486"/>
      <c r="Q264" s="486"/>
      <c r="R264" s="486"/>
      <c r="S264" s="486"/>
      <c r="T264" s="486"/>
      <c r="U264" s="486"/>
    </row>
    <row r="265" spans="1:21" x14ac:dyDescent="0.4">
      <c r="A265" s="173">
        <f ca="1">IFERROR(INDIRECT("fixtures!" &amp; Dashboard!J1 &amp;178) - Dashboard!K1/24,"TBC")</f>
        <v>44938.916666666664</v>
      </c>
      <c r="B265" s="120" t="s">
        <v>126</v>
      </c>
      <c r="C265" s="34"/>
      <c r="D265" s="120">
        <f>IF(ISBLANK(fixtures!$K178),"",fixtures!$K178)</f>
        <v>2</v>
      </c>
      <c r="E265" s="121" t="str">
        <f>IF(ISBLANK(fixtures!$L178),"",":")</f>
        <v>:</v>
      </c>
      <c r="F265" s="122">
        <f>IF(ISBLANK(fixtures!$L178),"",fixtures!$L178)</f>
        <v>1</v>
      </c>
      <c r="G265" s="34"/>
      <c r="H265" s="122" t="s">
        <v>5</v>
      </c>
      <c r="I265" s="122" t="s">
        <v>431</v>
      </c>
      <c r="J265" s="34"/>
      <c r="K265" s="34"/>
      <c r="L265" s="34"/>
      <c r="M265" s="34"/>
    </row>
    <row r="266" spans="1:21" x14ac:dyDescent="0.4">
      <c r="A266" s="123" t="str">
        <f>"Time Zone: " &amp; Dashboard!D1</f>
        <v>Time Zone: Europe Western</v>
      </c>
      <c r="B266" s="34"/>
      <c r="C266" s="34"/>
      <c r="D266" s="34"/>
      <c r="E266" s="34"/>
      <c r="F266" s="34"/>
      <c r="G266" s="34"/>
      <c r="H266" s="34"/>
      <c r="I266" s="455" t="s">
        <v>592</v>
      </c>
      <c r="J266" s="34"/>
      <c r="K266" s="34"/>
      <c r="L266" s="34"/>
      <c r="M266" s="34"/>
    </row>
    <row r="267" spans="1:21" ht="31.5" x14ac:dyDescent="0.5">
      <c r="A267" s="35"/>
      <c r="B267" s="35"/>
      <c r="C267" s="35"/>
      <c r="D267" s="35"/>
      <c r="E267" s="35"/>
      <c r="F267" s="35"/>
      <c r="G267" s="35"/>
      <c r="H267" s="124" t="s">
        <v>82</v>
      </c>
      <c r="I267" s="35"/>
      <c r="J267" s="35"/>
      <c r="K267" s="35"/>
      <c r="L267" s="35"/>
      <c r="M267" s="35"/>
    </row>
    <row r="268" spans="1:21" x14ac:dyDescent="0.4">
      <c r="A268" s="203" t="s">
        <v>623</v>
      </c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</row>
    <row r="269" spans="1:21" x14ac:dyDescent="0.4">
      <c r="A269" s="174">
        <f ca="1">IFERROR(INDIRECT("fixtures!" &amp; Dashboard!J1 &amp;179) - Dashboard!K1/24,"TBC")</f>
        <v>44939.916666666664</v>
      </c>
      <c r="B269" s="125" t="s">
        <v>2</v>
      </c>
      <c r="C269" s="36"/>
      <c r="D269" s="125">
        <f>IF(ISBLANK(fixtures!$K179),"",fixtures!$K179)</f>
        <v>2</v>
      </c>
      <c r="E269" s="126" t="str">
        <f>IF(ISBLANK(fixtures!$L179),"",":")</f>
        <v>:</v>
      </c>
      <c r="F269" s="127">
        <f>IF(ISBLANK(fixtures!$L179),"",fixtures!$L179)</f>
        <v>1</v>
      </c>
      <c r="G269" s="36"/>
      <c r="H269" s="127" t="s">
        <v>139</v>
      </c>
      <c r="I269" s="127" t="s">
        <v>58</v>
      </c>
      <c r="J269" s="36"/>
      <c r="K269" s="36"/>
      <c r="L269" s="36"/>
      <c r="M269" s="36"/>
      <c r="N269" s="486"/>
      <c r="O269" s="486"/>
      <c r="P269" s="486"/>
      <c r="Q269" s="486"/>
      <c r="R269" s="486"/>
      <c r="S269" s="486"/>
      <c r="T269" s="486"/>
      <c r="U269" s="486"/>
    </row>
    <row r="270" spans="1:21" x14ac:dyDescent="0.4">
      <c r="A270" s="203" t="s">
        <v>562</v>
      </c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</row>
    <row r="271" spans="1:21" x14ac:dyDescent="0.4">
      <c r="A271" s="174">
        <f ca="1">IFERROR(INDIRECT("fixtures!" &amp; Dashboard!J1 &amp;180) - Dashboard!K1/24,"TBC")</f>
        <v>44940.604166666664</v>
      </c>
      <c r="B271" s="125" t="s">
        <v>11</v>
      </c>
      <c r="C271" s="36"/>
      <c r="D271" s="125">
        <f>IF(ISBLANK(fixtures!$K180),"",fixtures!$K180)</f>
        <v>2</v>
      </c>
      <c r="E271" s="126" t="str">
        <f>IF(ISBLANK(fixtures!$L180),"",":")</f>
        <v>:</v>
      </c>
      <c r="F271" s="127">
        <f>IF(ISBLANK(fixtures!$L180),"",fixtures!$L180)</f>
        <v>1</v>
      </c>
      <c r="G271" s="36"/>
      <c r="H271" s="127" t="s">
        <v>10</v>
      </c>
      <c r="I271" s="127" t="s">
        <v>56</v>
      </c>
      <c r="J271" s="36"/>
      <c r="K271" s="36"/>
      <c r="L271" s="36"/>
      <c r="M271" s="36"/>
    </row>
    <row r="272" spans="1:21" x14ac:dyDescent="0.4">
      <c r="A272" s="174">
        <f ca="1">IFERROR(INDIRECT("fixtures!" &amp; Dashboard!J1 &amp;181) - Dashboard!K1/24,"TBC")</f>
        <v>44940.708333333336</v>
      </c>
      <c r="B272" s="125" t="s">
        <v>4</v>
      </c>
      <c r="C272" s="36"/>
      <c r="D272" s="125">
        <f>IF(ISBLANK(fixtures!$K181),"",fixtures!$K181)</f>
        <v>3</v>
      </c>
      <c r="E272" s="126" t="str">
        <f>IF(ISBLANK(fixtures!$L181),"",":")</f>
        <v>:</v>
      </c>
      <c r="F272" s="127">
        <f>IF(ISBLANK(fixtures!$L181),"",fixtures!$L181)</f>
        <v>0</v>
      </c>
      <c r="G272" s="36"/>
      <c r="H272" s="127" t="s">
        <v>9</v>
      </c>
      <c r="I272" s="127" t="s">
        <v>151</v>
      </c>
      <c r="J272" s="36"/>
      <c r="K272" s="36"/>
      <c r="L272" s="36"/>
      <c r="M272" s="36"/>
    </row>
    <row r="273" spans="1:21" x14ac:dyDescent="0.4">
      <c r="A273" s="174">
        <f ca="1">IFERROR(INDIRECT("fixtures!" &amp; Dashboard!J1 &amp;182) - Dashboard!K1/24,"TBC")</f>
        <v>44940.708333333336</v>
      </c>
      <c r="B273" s="125" t="s">
        <v>7</v>
      </c>
      <c r="C273" s="36"/>
      <c r="D273" s="125">
        <f>IF(ISBLANK(fixtures!$K182),"",fixtures!$K182)</f>
        <v>1</v>
      </c>
      <c r="E273" s="126" t="str">
        <f>IF(ISBLANK(fixtures!$L182),"",":")</f>
        <v>:</v>
      </c>
      <c r="F273" s="127">
        <f>IF(ISBLANK(fixtures!$L182),"",fixtures!$L182)</f>
        <v>2</v>
      </c>
      <c r="G273" s="36"/>
      <c r="H273" s="127" t="s">
        <v>13</v>
      </c>
      <c r="I273" s="127" t="s">
        <v>59</v>
      </c>
      <c r="J273" s="36"/>
      <c r="K273" s="36"/>
      <c r="L273" s="36"/>
      <c r="M273" s="36"/>
    </row>
    <row r="274" spans="1:21" x14ac:dyDescent="0.4">
      <c r="A274" s="174">
        <f ca="1">IFERROR(INDIRECT("fixtures!" &amp; Dashboard!J1 &amp;183) - Dashboard!K1/24,"TBC")</f>
        <v>44940.708333333336</v>
      </c>
      <c r="B274" s="125" t="s">
        <v>204</v>
      </c>
      <c r="C274" s="36"/>
      <c r="D274" s="125">
        <f>IF(ISBLANK(fixtures!$K183),"",fixtures!$K183)</f>
        <v>2</v>
      </c>
      <c r="E274" s="126" t="str">
        <f>IF(ISBLANK(fixtures!$L183),"",":")</f>
        <v>:</v>
      </c>
      <c r="F274" s="127">
        <f>IF(ISBLANK(fixtures!$L183),"",fixtures!$L183)</f>
        <v>0</v>
      </c>
      <c r="G274" s="36"/>
      <c r="H274" s="127" t="s">
        <v>8</v>
      </c>
      <c r="I274" s="127" t="s">
        <v>436</v>
      </c>
      <c r="J274" s="36"/>
      <c r="K274" s="36"/>
      <c r="L274" s="36"/>
      <c r="M274" s="36"/>
      <c r="N274" s="486"/>
      <c r="O274" s="486"/>
      <c r="P274" s="486"/>
      <c r="Q274" s="486"/>
      <c r="R274" s="486"/>
      <c r="S274" s="486"/>
      <c r="T274" s="486"/>
      <c r="U274" s="486"/>
    </row>
    <row r="275" spans="1:21" x14ac:dyDescent="0.4">
      <c r="A275" s="174">
        <f ca="1">IFERROR(INDIRECT("fixtures!" &amp; Dashboard!J1 &amp;184) - Dashboard!K1/24,"TBC")</f>
        <v>44940.708333333336</v>
      </c>
      <c r="B275" s="125" t="s">
        <v>16</v>
      </c>
      <c r="C275" s="36"/>
      <c r="D275" s="125">
        <f>IF(ISBLANK(fixtures!$K184),"",fixtures!$K184)</f>
        <v>1</v>
      </c>
      <c r="E275" s="126" t="str">
        <f>IF(ISBLANK(fixtures!$L184),"",":")</f>
        <v>:</v>
      </c>
      <c r="F275" s="127">
        <f>IF(ISBLANK(fixtures!$L184),"",fixtures!$L184)</f>
        <v>0</v>
      </c>
      <c r="G275" s="36"/>
      <c r="H275" s="127" t="s">
        <v>15</v>
      </c>
      <c r="I275" s="127" t="s">
        <v>63</v>
      </c>
      <c r="J275" s="36"/>
      <c r="K275" s="36"/>
      <c r="L275" s="36"/>
      <c r="M275" s="36"/>
    </row>
    <row r="276" spans="1:21" x14ac:dyDescent="0.4">
      <c r="A276" s="174">
        <f ca="1">IFERROR(INDIRECT("fixtures!" &amp; Dashboard!J1 &amp;185) - Dashboard!K1/24,"TBC")</f>
        <v>44940.8125</v>
      </c>
      <c r="B276" s="125" t="s">
        <v>125</v>
      </c>
      <c r="C276" s="36"/>
      <c r="D276" s="125">
        <f>IF(ISBLANK(fixtures!$K185),"",fixtures!$K185)</f>
        <v>2</v>
      </c>
      <c r="E276" s="126" t="str">
        <f>IF(ISBLANK(fixtures!$L185),"",":")</f>
        <v>:</v>
      </c>
      <c r="F276" s="127">
        <f>IF(ISBLANK(fixtures!$L185),"",fixtures!$L185)</f>
        <v>0</v>
      </c>
      <c r="G276" s="36"/>
      <c r="H276" s="127" t="s">
        <v>3</v>
      </c>
      <c r="I276" s="127" t="s">
        <v>593</v>
      </c>
      <c r="J276" s="36"/>
      <c r="K276" s="36"/>
      <c r="L276" s="36"/>
      <c r="M276" s="36"/>
    </row>
    <row r="277" spans="1:21" x14ac:dyDescent="0.4">
      <c r="A277" s="203" t="s">
        <v>624</v>
      </c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</row>
    <row r="278" spans="1:21" x14ac:dyDescent="0.4">
      <c r="A278" s="174">
        <f ca="1">IFERROR(INDIRECT("fixtures!" &amp; Dashboard!J1 &amp;186) - Dashboard!K1/24,"TBC")</f>
        <v>44941.666666666664</v>
      </c>
      <c r="B278" s="125" t="s">
        <v>5</v>
      </c>
      <c r="C278" s="36"/>
      <c r="D278" s="125">
        <f>IF(ISBLANK(fixtures!$K186),"",fixtures!$K186)</f>
        <v>1</v>
      </c>
      <c r="E278" s="126" t="str">
        <f>IF(ISBLANK(fixtures!$L186),"",":")</f>
        <v>:</v>
      </c>
      <c r="F278" s="127">
        <f>IF(ISBLANK(fixtures!$L186),"",fixtures!$L186)</f>
        <v>0</v>
      </c>
      <c r="G278" s="36"/>
      <c r="H278" s="127" t="s">
        <v>6</v>
      </c>
      <c r="I278" s="127" t="s">
        <v>62</v>
      </c>
      <c r="J278" s="36"/>
      <c r="K278" s="36"/>
      <c r="L278" s="36"/>
      <c r="M278" s="36"/>
      <c r="N278" s="486"/>
      <c r="O278" s="486"/>
      <c r="P278" s="486"/>
      <c r="Q278" s="486"/>
      <c r="R278" s="486"/>
      <c r="S278" s="486"/>
      <c r="T278" s="486"/>
      <c r="U278" s="486"/>
    </row>
    <row r="279" spans="1:21" x14ac:dyDescent="0.4">
      <c r="A279" s="174">
        <f ca="1">IFERROR(INDIRECT("fixtures!" &amp; Dashboard!J1 &amp;187) - Dashboard!K1/24,"TBC")</f>
        <v>44941.666666666664</v>
      </c>
      <c r="B279" s="125" t="s">
        <v>12</v>
      </c>
      <c r="C279" s="36"/>
      <c r="D279" s="125">
        <f>IF(ISBLANK(fixtures!$K187),"",fixtures!$K187)</f>
        <v>1</v>
      </c>
      <c r="E279" s="126" t="str">
        <f>IF(ISBLANK(fixtures!$L187),"",":")</f>
        <v>:</v>
      </c>
      <c r="F279" s="127">
        <f>IF(ISBLANK(fixtures!$L187),"",fixtures!$L187)</f>
        <v>0</v>
      </c>
      <c r="G279" s="36"/>
      <c r="H279" s="127" t="s">
        <v>126</v>
      </c>
      <c r="I279" s="127" t="s">
        <v>55</v>
      </c>
      <c r="J279" s="36"/>
      <c r="K279" s="36"/>
      <c r="L279" s="36"/>
      <c r="M279" s="36"/>
    </row>
    <row r="280" spans="1:21" x14ac:dyDescent="0.4">
      <c r="A280" s="174">
        <f ca="1">IFERROR(INDIRECT("fixtures!" &amp; Dashboard!J1 &amp;188) - Dashboard!K1/24,"TBC")</f>
        <v>44941.770833333336</v>
      </c>
      <c r="B280" s="125" t="s">
        <v>14</v>
      </c>
      <c r="C280" s="36"/>
      <c r="D280" s="125">
        <f>IF(ISBLANK(fixtures!$K188),"",fixtures!$K188)</f>
        <v>0</v>
      </c>
      <c r="E280" s="126" t="str">
        <f>IF(ISBLANK(fixtures!$L188),"",":")</f>
        <v>:</v>
      </c>
      <c r="F280" s="127">
        <f>IF(ISBLANK(fixtures!$L188),"",fixtures!$L188)</f>
        <v>2</v>
      </c>
      <c r="G280" s="36"/>
      <c r="H280" s="127" t="s">
        <v>1</v>
      </c>
      <c r="I280" s="127" t="s">
        <v>53</v>
      </c>
      <c r="J280" s="36"/>
      <c r="K280" s="36"/>
      <c r="L280" s="36"/>
      <c r="M280" s="36"/>
    </row>
    <row r="281" spans="1:21" x14ac:dyDescent="0.4">
      <c r="A281" s="128" t="str">
        <f>"Time Zone: " &amp; Dashboard!D1</f>
        <v>Time Zone: Europe Western</v>
      </c>
      <c r="B281" s="36"/>
      <c r="C281" s="36"/>
      <c r="D281" s="36"/>
      <c r="E281" s="36"/>
      <c r="F281" s="36"/>
      <c r="G281" s="36"/>
      <c r="H281" s="36"/>
      <c r="I281" s="456" t="s">
        <v>592</v>
      </c>
      <c r="J281" s="36"/>
      <c r="K281" s="36"/>
      <c r="L281" s="36"/>
      <c r="M281" s="36"/>
    </row>
    <row r="282" spans="1:21" ht="31.5" x14ac:dyDescent="0.5">
      <c r="A282" s="5"/>
      <c r="B282" s="5"/>
      <c r="C282" s="5"/>
      <c r="D282" s="5"/>
      <c r="E282" s="5"/>
      <c r="F282" s="5"/>
      <c r="G282" s="5"/>
      <c r="H282" s="90" t="s">
        <v>629</v>
      </c>
      <c r="I282" s="5"/>
      <c r="J282" s="5"/>
      <c r="K282" s="5"/>
      <c r="L282" s="5"/>
      <c r="M282" s="5"/>
      <c r="N282" s="486"/>
      <c r="O282" s="486"/>
      <c r="P282" s="486"/>
      <c r="Q282" s="486"/>
      <c r="R282" s="486"/>
      <c r="S282" s="486"/>
      <c r="T282" s="486"/>
      <c r="U282" s="486"/>
    </row>
    <row r="283" spans="1:21" x14ac:dyDescent="0.4">
      <c r="A283" s="187" t="s">
        <v>644</v>
      </c>
      <c r="B283" s="188"/>
      <c r="C283" s="188"/>
      <c r="D283" s="188"/>
      <c r="E283" s="188"/>
      <c r="F283" s="188"/>
      <c r="G283" s="188"/>
      <c r="H283" s="188"/>
      <c r="I283" s="188"/>
      <c r="J283" s="188"/>
      <c r="K283" s="188"/>
      <c r="L283" s="188"/>
      <c r="M283" s="188"/>
    </row>
    <row r="284" spans="1:21" x14ac:dyDescent="0.4">
      <c r="A284" s="167">
        <f ca="1">IFERROR(INDIRECT("fixtures!" &amp; Dashboard!J1 &amp;189) - Dashboard!K1/24,"TBC")</f>
        <v>44944.916666666664</v>
      </c>
      <c r="B284" s="91" t="s">
        <v>6</v>
      </c>
      <c r="C284" s="6"/>
      <c r="D284" s="91">
        <f>IF(ISBLANK(fixtures!$K189),"",fixtures!$K189)</f>
        <v>1</v>
      </c>
      <c r="E284" s="92" t="str">
        <f>IF(ISBLANK(fixtures!$L189),"",":")</f>
        <v>:</v>
      </c>
      <c r="F284" s="93">
        <f>IF(ISBLANK(fixtures!$L189),"",fixtures!$L189)</f>
        <v>1</v>
      </c>
      <c r="G284" s="6"/>
      <c r="H284" s="93" t="s">
        <v>11</v>
      </c>
      <c r="I284" s="93" t="s">
        <v>52</v>
      </c>
      <c r="J284" s="6"/>
      <c r="K284" s="6"/>
      <c r="L284" s="6"/>
      <c r="M284" s="6"/>
      <c r="N284" s="486"/>
      <c r="O284" s="486"/>
      <c r="P284" s="486"/>
      <c r="Q284" s="486"/>
      <c r="R284" s="486"/>
      <c r="S284" s="486"/>
      <c r="T284" s="486"/>
      <c r="U284" s="486"/>
    </row>
    <row r="285" spans="1:21" x14ac:dyDescent="0.4">
      <c r="A285" s="187" t="s">
        <v>631</v>
      </c>
      <c r="B285" s="188"/>
      <c r="C285" s="188"/>
      <c r="D285" s="188"/>
      <c r="E285" s="188"/>
      <c r="F285" s="188"/>
      <c r="G285" s="188"/>
      <c r="H285" s="188"/>
      <c r="I285" s="188"/>
      <c r="J285" s="188"/>
      <c r="K285" s="188"/>
      <c r="L285" s="188"/>
      <c r="M285" s="188"/>
    </row>
    <row r="286" spans="1:21" x14ac:dyDescent="0.4">
      <c r="A286" s="167">
        <f ca="1">IFERROR(INDIRECT("fixtures!" &amp; Dashboard!J1 &amp;190) - Dashboard!K1/24,"TBC")</f>
        <v>44945.916666666664</v>
      </c>
      <c r="B286" s="91" t="s">
        <v>10</v>
      </c>
      <c r="C286" s="6"/>
      <c r="D286" s="91">
        <f>IF(ISBLANK(fixtures!$K190),"",fixtures!$K190)</f>
        <v>4</v>
      </c>
      <c r="E286" s="92" t="str">
        <f>IF(ISBLANK(fixtures!$L190),"",":")</f>
        <v>:</v>
      </c>
      <c r="F286" s="93">
        <f>IF(ISBLANK(fixtures!$L190),"",fixtures!$L190)</f>
        <v>2</v>
      </c>
      <c r="G286" s="6"/>
      <c r="H286" s="93" t="s">
        <v>14</v>
      </c>
      <c r="I286" s="93" t="s">
        <v>61</v>
      </c>
      <c r="J286" s="6"/>
      <c r="K286" s="6"/>
      <c r="L286" s="6"/>
      <c r="M286" s="6"/>
    </row>
    <row r="287" spans="1:21" x14ac:dyDescent="0.4">
      <c r="A287" s="94" t="str">
        <f>"Time Zone: " &amp; Dashboard!D1</f>
        <v>Time Zone: Europe Western</v>
      </c>
      <c r="B287" s="6"/>
      <c r="C287" s="6"/>
      <c r="D287" s="6"/>
      <c r="E287" s="6"/>
      <c r="F287" s="6"/>
      <c r="G287" s="6"/>
      <c r="H287" s="6"/>
      <c r="I287" s="447" t="s">
        <v>592</v>
      </c>
      <c r="J287" s="6"/>
      <c r="K287" s="6"/>
      <c r="L287" s="6"/>
      <c r="M287" s="6"/>
    </row>
    <row r="288" spans="1:21" ht="31.5" x14ac:dyDescent="0.5">
      <c r="A288" s="10"/>
      <c r="B288" s="10"/>
      <c r="C288" s="10"/>
      <c r="D288" s="10"/>
      <c r="E288" s="10"/>
      <c r="F288" s="10"/>
      <c r="G288" s="10"/>
      <c r="H288" s="95" t="s">
        <v>83</v>
      </c>
      <c r="I288" s="10"/>
      <c r="J288" s="10"/>
      <c r="K288" s="10"/>
      <c r="L288" s="10"/>
      <c r="M288" s="10"/>
    </row>
    <row r="289" spans="1:21" x14ac:dyDescent="0.4">
      <c r="A289" s="189" t="s">
        <v>563</v>
      </c>
      <c r="B289" s="190"/>
      <c r="C289" s="190"/>
      <c r="D289" s="190"/>
      <c r="E289" s="190"/>
      <c r="F289" s="190"/>
      <c r="G289" s="190"/>
      <c r="H289" s="190"/>
      <c r="I289" s="190"/>
      <c r="J289" s="190"/>
      <c r="K289" s="190"/>
      <c r="L289" s="190"/>
      <c r="M289" s="190"/>
    </row>
    <row r="290" spans="1:21" x14ac:dyDescent="0.4">
      <c r="A290" s="168">
        <f ca="1">IFERROR(INDIRECT("fixtures!" &amp; Dashboard!J1 &amp;191) - Dashboard!K1/24,"TBC")</f>
        <v>44947.604166666664</v>
      </c>
      <c r="B290" s="96" t="s">
        <v>9</v>
      </c>
      <c r="C290" s="11"/>
      <c r="D290" s="96">
        <f>IF(ISBLANK(fixtures!$K191),"",fixtures!$K191)</f>
        <v>0</v>
      </c>
      <c r="E290" s="97" t="str">
        <f>IF(ISBLANK(fixtures!$L191),"",":")</f>
        <v>:</v>
      </c>
      <c r="F290" s="98">
        <f>IF(ISBLANK(fixtures!$L191),"",fixtures!$L191)</f>
        <v>0</v>
      </c>
      <c r="G290" s="11"/>
      <c r="H290" s="98" t="s">
        <v>5</v>
      </c>
      <c r="I290" s="98" t="s">
        <v>48</v>
      </c>
      <c r="J290" s="11"/>
      <c r="K290" s="11"/>
      <c r="L290" s="11"/>
      <c r="M290" s="11"/>
    </row>
    <row r="291" spans="1:21" x14ac:dyDescent="0.4">
      <c r="A291" s="168">
        <f ca="1">IFERROR(INDIRECT("fixtures!" &amp; Dashboard!J1 &amp;192) - Dashboard!K1/24,"TBC")</f>
        <v>44947.708333333336</v>
      </c>
      <c r="B291" s="96" t="s">
        <v>3</v>
      </c>
      <c r="C291" s="11"/>
      <c r="D291" s="96">
        <f>IF(ISBLANK(fixtures!$K192),"",fixtures!$K192)</f>
        <v>1</v>
      </c>
      <c r="E291" s="97" t="str">
        <f>IF(ISBLANK(fixtures!$L192),"",":")</f>
        <v>:</v>
      </c>
      <c r="F291" s="98">
        <f>IF(ISBLANK(fixtures!$L192),"",fixtures!$L192)</f>
        <v>1</v>
      </c>
      <c r="G291" s="11"/>
      <c r="H291" s="98" t="s">
        <v>204</v>
      </c>
      <c r="I291" s="98" t="s">
        <v>51</v>
      </c>
      <c r="J291" s="11"/>
      <c r="K291" s="11"/>
      <c r="L291" s="11"/>
      <c r="M291" s="11"/>
      <c r="N291" s="486"/>
      <c r="O291" s="486"/>
      <c r="P291" s="486"/>
      <c r="Q291" s="486"/>
      <c r="R291" s="486"/>
      <c r="S291" s="486"/>
      <c r="T291" s="486"/>
      <c r="U291" s="486"/>
    </row>
    <row r="292" spans="1:21" x14ac:dyDescent="0.4">
      <c r="A292" s="168">
        <f ca="1">IFERROR(INDIRECT("fixtures!" &amp; Dashboard!J1 &amp;193) - Dashboard!K1/24,"TBC")</f>
        <v>44947.708333333336</v>
      </c>
      <c r="B292" s="96" t="s">
        <v>8</v>
      </c>
      <c r="C292" s="11"/>
      <c r="D292" s="96">
        <f>IF(ISBLANK(fixtures!$K193),"",fixtures!$K193)</f>
        <v>2</v>
      </c>
      <c r="E292" s="97" t="str">
        <f>IF(ISBLANK(fixtures!$L193),"",":")</f>
        <v>:</v>
      </c>
      <c r="F292" s="98">
        <f>IF(ISBLANK(fixtures!$L193),"",fixtures!$L193)</f>
        <v>2</v>
      </c>
      <c r="G292" s="11"/>
      <c r="H292" s="98" t="s">
        <v>4</v>
      </c>
      <c r="I292" s="98" t="s">
        <v>54</v>
      </c>
      <c r="J292" s="11"/>
      <c r="K292" s="11"/>
      <c r="L292" s="11"/>
      <c r="M292" s="11"/>
    </row>
    <row r="293" spans="1:21" x14ac:dyDescent="0.4">
      <c r="A293" s="168">
        <f ca="1">IFERROR(INDIRECT("fixtures!" &amp; Dashboard!J1 &amp;194) - Dashboard!K1/24,"TBC")</f>
        <v>44947.708333333336</v>
      </c>
      <c r="B293" s="96" t="s">
        <v>13</v>
      </c>
      <c r="C293" s="11"/>
      <c r="D293" s="96">
        <f>IF(ISBLANK(fixtures!$K194),"",fixtures!$K194)</f>
        <v>0</v>
      </c>
      <c r="E293" s="97" t="str">
        <f>IF(ISBLANK(fixtures!$L194),"",":")</f>
        <v>:</v>
      </c>
      <c r="F293" s="98">
        <f>IF(ISBLANK(fixtures!$L194),"",fixtures!$L194)</f>
        <v>1</v>
      </c>
      <c r="G293" s="11"/>
      <c r="H293" s="98" t="s">
        <v>2</v>
      </c>
      <c r="I293" s="98" t="s">
        <v>60</v>
      </c>
      <c r="J293" s="11"/>
      <c r="K293" s="11"/>
      <c r="L293" s="11"/>
      <c r="M293" s="11"/>
    </row>
    <row r="294" spans="1:21" x14ac:dyDescent="0.4">
      <c r="A294" s="168">
        <f ca="1">IFERROR(INDIRECT("fixtures!" &amp; Dashboard!J1 &amp;195) - Dashboard!K1/24,"TBC")</f>
        <v>44947.708333333336</v>
      </c>
      <c r="B294" s="96" t="s">
        <v>15</v>
      </c>
      <c r="C294" s="11"/>
      <c r="D294" s="96">
        <f>IF(ISBLANK(fixtures!$K195),"",fixtures!$K195)</f>
        <v>2</v>
      </c>
      <c r="E294" s="97" t="str">
        <f>IF(ISBLANK(fixtures!$L195),"",":")</f>
        <v>:</v>
      </c>
      <c r="F294" s="98">
        <f>IF(ISBLANK(fixtures!$L195),"",fixtures!$L195)</f>
        <v>0</v>
      </c>
      <c r="G294" s="11"/>
      <c r="H294" s="98" t="s">
        <v>7</v>
      </c>
      <c r="I294" s="98" t="s">
        <v>50</v>
      </c>
      <c r="J294" s="11"/>
      <c r="K294" s="11"/>
      <c r="L294" s="11"/>
      <c r="M294" s="11"/>
    </row>
    <row r="295" spans="1:21" x14ac:dyDescent="0.4">
      <c r="A295" s="168">
        <f ca="1">IFERROR(INDIRECT("fixtures!" &amp; Dashboard!J1 &amp;196) - Dashboard!K1/24,"TBC")</f>
        <v>44947.8125</v>
      </c>
      <c r="B295" s="96" t="s">
        <v>6</v>
      </c>
      <c r="C295" s="11"/>
      <c r="D295" s="96">
        <f>IF(ISBLANK(fixtures!$K196),"",fixtures!$K196)</f>
        <v>0</v>
      </c>
      <c r="E295" s="97" t="str">
        <f>IF(ISBLANK(fixtures!$L196),"",":")</f>
        <v>:</v>
      </c>
      <c r="F295" s="98">
        <f>IF(ISBLANK(fixtures!$L196),"",fixtures!$L196)</f>
        <v>0</v>
      </c>
      <c r="G295" s="11"/>
      <c r="H295" s="98" t="s">
        <v>12</v>
      </c>
      <c r="I295" s="98" t="s">
        <v>52</v>
      </c>
      <c r="J295" s="11"/>
      <c r="K295" s="11"/>
      <c r="L295" s="11"/>
      <c r="M295" s="11"/>
    </row>
    <row r="296" spans="1:21" x14ac:dyDescent="0.4">
      <c r="A296" s="189" t="s">
        <v>625</v>
      </c>
      <c r="B296" s="190"/>
      <c r="C296" s="190"/>
      <c r="D296" s="190"/>
      <c r="E296" s="190"/>
      <c r="F296" s="190"/>
      <c r="G296" s="190"/>
      <c r="H296" s="190"/>
      <c r="I296" s="190"/>
      <c r="J296" s="190"/>
      <c r="K296" s="190"/>
      <c r="L296" s="190"/>
      <c r="M296" s="190"/>
    </row>
    <row r="297" spans="1:21" x14ac:dyDescent="0.4">
      <c r="A297" s="168">
        <f ca="1">IFERROR(INDIRECT("fixtures!" &amp; Dashboard!J1 &amp;197) - Dashboard!K1/24,"TBC")</f>
        <v>44948.666666666664</v>
      </c>
      <c r="B297" s="96" t="s">
        <v>139</v>
      </c>
      <c r="C297" s="11"/>
      <c r="D297" s="96">
        <f>IF(ISBLANK(fixtures!$K197),"",fixtures!$K197)</f>
        <v>0</v>
      </c>
      <c r="E297" s="97" t="str">
        <f>IF(ISBLANK(fixtures!$L197),"",":")</f>
        <v>:</v>
      </c>
      <c r="F297" s="98">
        <f>IF(ISBLANK(fixtures!$L197),"",fixtures!$L197)</f>
        <v>0</v>
      </c>
      <c r="G297" s="11"/>
      <c r="H297" s="98" t="s">
        <v>125</v>
      </c>
      <c r="I297" s="98" t="s">
        <v>140</v>
      </c>
      <c r="J297" s="11"/>
      <c r="K297" s="11"/>
      <c r="L297" s="11"/>
      <c r="M297" s="11"/>
      <c r="N297" s="486"/>
      <c r="O297" s="486"/>
      <c r="P297" s="486"/>
      <c r="Q297" s="486"/>
      <c r="R297" s="486"/>
      <c r="S297" s="486"/>
      <c r="T297" s="486"/>
      <c r="U297" s="486"/>
    </row>
    <row r="298" spans="1:21" x14ac:dyDescent="0.4">
      <c r="A298" s="168">
        <f ca="1">IFERROR(INDIRECT("fixtures!" &amp; Dashboard!J1 &amp;198) - Dashboard!K1/24,"TBC")</f>
        <v>44948.666666666664</v>
      </c>
      <c r="B298" s="96" t="s">
        <v>10</v>
      </c>
      <c r="C298" s="11"/>
      <c r="D298" s="96">
        <f>IF(ISBLANK(fixtures!$K198),"",fixtures!$K198)</f>
        <v>3</v>
      </c>
      <c r="E298" s="97" t="str">
        <f>IF(ISBLANK(fixtures!$L198),"",":")</f>
        <v>:</v>
      </c>
      <c r="F298" s="98">
        <f>IF(ISBLANK(fixtures!$L198),"",fixtures!$L198)</f>
        <v>0</v>
      </c>
      <c r="G298" s="11"/>
      <c r="H298" s="98" t="s">
        <v>16</v>
      </c>
      <c r="I298" s="98" t="s">
        <v>61</v>
      </c>
      <c r="J298" s="11"/>
      <c r="K298" s="11"/>
      <c r="L298" s="11"/>
      <c r="M298" s="11"/>
    </row>
    <row r="299" spans="1:21" x14ac:dyDescent="0.4">
      <c r="A299" s="168">
        <f ca="1">IFERROR(INDIRECT("fixtures!" &amp; Dashboard!J1 &amp;199) - Dashboard!K1/24,"TBC")</f>
        <v>44948.770833333336</v>
      </c>
      <c r="B299" s="96" t="s">
        <v>1</v>
      </c>
      <c r="C299" s="11"/>
      <c r="D299" s="96">
        <f>IF(ISBLANK(fixtures!$K199),"",fixtures!$K199)</f>
        <v>3</v>
      </c>
      <c r="E299" s="97" t="str">
        <f>IF(ISBLANK(fixtures!$L199),"",":")</f>
        <v>:</v>
      </c>
      <c r="F299" s="98">
        <f>IF(ISBLANK(fixtures!$L199),"",fixtures!$L199)</f>
        <v>2</v>
      </c>
      <c r="G299" s="11"/>
      <c r="H299" s="98" t="s">
        <v>11</v>
      </c>
      <c r="I299" s="98" t="s">
        <v>57</v>
      </c>
      <c r="J299" s="11"/>
      <c r="K299" s="11"/>
      <c r="L299" s="11"/>
      <c r="M299" s="11"/>
    </row>
    <row r="300" spans="1:21" x14ac:dyDescent="0.4">
      <c r="A300" s="189" t="s">
        <v>626</v>
      </c>
      <c r="B300" s="190"/>
      <c r="C300" s="190"/>
      <c r="D300" s="190"/>
      <c r="E300" s="190"/>
      <c r="F300" s="190"/>
      <c r="G300" s="190"/>
      <c r="H300" s="190"/>
      <c r="I300" s="190"/>
      <c r="J300" s="190"/>
      <c r="K300" s="190"/>
      <c r="L300" s="190"/>
      <c r="M300" s="190"/>
    </row>
    <row r="301" spans="1:21" x14ac:dyDescent="0.4">
      <c r="A301" s="168">
        <f ca="1">IFERROR(INDIRECT("fixtures!" &amp; Dashboard!J1 &amp;200) - Dashboard!K1/24,"TBC")</f>
        <v>44949.927083333336</v>
      </c>
      <c r="B301" s="96" t="s">
        <v>126</v>
      </c>
      <c r="C301" s="11"/>
      <c r="D301" s="96">
        <f>IF(ISBLANK(fixtures!$K200),"",fixtures!$K200)</f>
        <v>0</v>
      </c>
      <c r="E301" s="97" t="str">
        <f>IF(ISBLANK(fixtures!$L200),"",":")</f>
        <v>:</v>
      </c>
      <c r="F301" s="98">
        <f>IF(ISBLANK(fixtures!$L200),"",fixtures!$L200)</f>
        <v>1</v>
      </c>
      <c r="G301" s="11"/>
      <c r="H301" s="98" t="s">
        <v>14</v>
      </c>
      <c r="I301" s="98" t="s">
        <v>431</v>
      </c>
      <c r="J301" s="11"/>
      <c r="K301" s="11"/>
      <c r="L301" s="11"/>
      <c r="M301" s="11"/>
      <c r="N301" s="486"/>
      <c r="O301" s="486"/>
      <c r="P301" s="486"/>
      <c r="Q301" s="486"/>
      <c r="R301" s="486"/>
      <c r="S301" s="486"/>
      <c r="T301" s="486"/>
      <c r="U301" s="486"/>
    </row>
    <row r="302" spans="1:21" x14ac:dyDescent="0.4">
      <c r="A302" s="99" t="str">
        <f>"Time Zone: " &amp; Dashboard!D1</f>
        <v>Time Zone: Europe Western</v>
      </c>
      <c r="B302" s="11"/>
      <c r="C302" s="11"/>
      <c r="D302" s="11"/>
      <c r="E302" s="11"/>
      <c r="F302" s="11"/>
      <c r="G302" s="11"/>
      <c r="H302" s="11"/>
      <c r="I302" s="448" t="s">
        <v>592</v>
      </c>
      <c r="J302" s="11"/>
      <c r="K302" s="11"/>
      <c r="L302" s="11"/>
      <c r="M302" s="11"/>
    </row>
    <row r="303" spans="1:21" ht="31.5" x14ac:dyDescent="0.5">
      <c r="A303" s="12"/>
      <c r="B303" s="12"/>
      <c r="C303" s="12"/>
      <c r="D303" s="12"/>
      <c r="E303" s="12"/>
      <c r="F303" s="12"/>
      <c r="G303" s="12"/>
      <c r="H303" s="100" t="s">
        <v>84</v>
      </c>
      <c r="I303" s="12"/>
      <c r="J303" s="12"/>
      <c r="K303" s="12"/>
      <c r="L303" s="12"/>
      <c r="M303" s="12"/>
    </row>
    <row r="304" spans="1:21" x14ac:dyDescent="0.4">
      <c r="A304" s="191" t="s">
        <v>632</v>
      </c>
      <c r="B304" s="192"/>
      <c r="C304" s="192"/>
      <c r="D304" s="192"/>
      <c r="E304" s="192"/>
      <c r="F304" s="192"/>
      <c r="G304" s="192"/>
      <c r="H304" s="192"/>
      <c r="I304" s="192"/>
      <c r="J304" s="192"/>
      <c r="K304" s="192"/>
      <c r="L304" s="192"/>
      <c r="M304" s="192"/>
    </row>
    <row r="305" spans="1:21" x14ac:dyDescent="0.4">
      <c r="A305" s="169">
        <f ca="1">IFERROR(INDIRECT("fixtures!" &amp; Dashboard!J1 &amp;201) - Dashboard!K1/24,"TBC")</f>
        <v>44960.916666666664</v>
      </c>
      <c r="B305" s="101" t="s">
        <v>5</v>
      </c>
      <c r="C305" s="13"/>
      <c r="D305" s="101">
        <f>IF(ISBLANK(fixtures!$K201),"",fixtures!$K201)</f>
        <v>0</v>
      </c>
      <c r="E305" s="102" t="str">
        <f>IF(ISBLANK(fixtures!$L201),"",":")</f>
        <v>:</v>
      </c>
      <c r="F305" s="103">
        <f>IF(ISBLANK(fixtures!$L201),"",fixtures!$L201)</f>
        <v>0</v>
      </c>
      <c r="G305" s="13"/>
      <c r="H305" s="103" t="s">
        <v>126</v>
      </c>
      <c r="I305" s="103" t="s">
        <v>62</v>
      </c>
      <c r="J305" s="13"/>
      <c r="K305" s="13"/>
      <c r="L305" s="13"/>
      <c r="M305" s="13"/>
    </row>
    <row r="306" spans="1:21" x14ac:dyDescent="0.4">
      <c r="A306" s="191" t="s">
        <v>564</v>
      </c>
      <c r="B306" s="192"/>
      <c r="C306" s="192"/>
      <c r="D306" s="192"/>
      <c r="E306" s="192"/>
      <c r="F306" s="192"/>
      <c r="G306" s="192"/>
      <c r="H306" s="192"/>
      <c r="I306" s="192"/>
      <c r="J306" s="192"/>
      <c r="K306" s="192"/>
      <c r="L306" s="192"/>
      <c r="M306" s="192"/>
    </row>
    <row r="307" spans="1:21" x14ac:dyDescent="0.4">
      <c r="A307" s="169">
        <f ca="1">IFERROR(INDIRECT("fixtures!" &amp; Dashboard!J1 &amp;202) - Dashboard!K1/24,"TBC")</f>
        <v>44961.604166666664</v>
      </c>
      <c r="B307" s="101" t="s">
        <v>7</v>
      </c>
      <c r="C307" s="13"/>
      <c r="D307" s="101">
        <f>IF(ISBLANK(fixtures!$K202),"",fixtures!$K202)</f>
        <v>1</v>
      </c>
      <c r="E307" s="102" t="str">
        <f>IF(ISBLANK(fixtures!$L202),"",":")</f>
        <v>:</v>
      </c>
      <c r="F307" s="103">
        <f>IF(ISBLANK(fixtures!$L202),"",fixtures!$L202)</f>
        <v>0</v>
      </c>
      <c r="G307" s="13"/>
      <c r="H307" s="103" t="s">
        <v>1</v>
      </c>
      <c r="I307" s="103" t="s">
        <v>59</v>
      </c>
      <c r="J307" s="13"/>
      <c r="K307" s="13"/>
      <c r="L307" s="13"/>
      <c r="M307" s="13"/>
    </row>
    <row r="308" spans="1:21" x14ac:dyDescent="0.4">
      <c r="A308" s="169">
        <f ca="1">IFERROR(INDIRECT("fixtures!" &amp; Dashboard!J1 &amp;203) - Dashboard!K1/24,"TBC")</f>
        <v>44961.708333333336</v>
      </c>
      <c r="B308" s="101" t="s">
        <v>2</v>
      </c>
      <c r="C308" s="13"/>
      <c r="D308" s="101">
        <f>IF(ISBLANK(fixtures!$K203),"",fixtures!$K203)</f>
        <v>2</v>
      </c>
      <c r="E308" s="102" t="str">
        <f>IF(ISBLANK(fixtures!$L203),"",":")</f>
        <v>:</v>
      </c>
      <c r="F308" s="103">
        <f>IF(ISBLANK(fixtures!$L203),"",fixtures!$L203)</f>
        <v>4</v>
      </c>
      <c r="G308" s="13"/>
      <c r="H308" s="103" t="s">
        <v>8</v>
      </c>
      <c r="I308" s="103" t="s">
        <v>58</v>
      </c>
      <c r="J308" s="13"/>
      <c r="K308" s="13"/>
      <c r="L308" s="13"/>
      <c r="M308" s="13"/>
      <c r="N308" s="486"/>
      <c r="O308" s="486"/>
      <c r="P308" s="486"/>
      <c r="Q308" s="486"/>
      <c r="R308" s="486"/>
      <c r="S308" s="486"/>
      <c r="T308" s="486"/>
      <c r="U308" s="486"/>
    </row>
    <row r="309" spans="1:21" x14ac:dyDescent="0.4">
      <c r="A309" s="169">
        <f ca="1">IFERROR(INDIRECT("fixtures!" &amp; Dashboard!J1 &amp;204) - Dashboard!K1/24,"TBC")</f>
        <v>44961.708333333336</v>
      </c>
      <c r="B309" s="101" t="s">
        <v>125</v>
      </c>
      <c r="C309" s="13"/>
      <c r="D309" s="101">
        <f>IF(ISBLANK(fixtures!$K204),"",fixtures!$K204)</f>
        <v>3</v>
      </c>
      <c r="E309" s="102" t="str">
        <f>IF(ISBLANK(fixtures!$L204),"",":")</f>
        <v>:</v>
      </c>
      <c r="F309" s="103">
        <f>IF(ISBLANK(fixtures!$L204),"",fixtures!$L204)</f>
        <v>0</v>
      </c>
      <c r="G309" s="13"/>
      <c r="H309" s="103" t="s">
        <v>13</v>
      </c>
      <c r="I309" s="103" t="s">
        <v>593</v>
      </c>
      <c r="J309" s="13"/>
      <c r="K309" s="13"/>
      <c r="L309" s="13"/>
      <c r="M309" s="13"/>
    </row>
    <row r="310" spans="1:21" x14ac:dyDescent="0.4">
      <c r="A310" s="169">
        <f ca="1">IFERROR(INDIRECT("fixtures!" &amp; Dashboard!J1 &amp;205) - Dashboard!K1/24,"TBC")</f>
        <v>44961.708333333336</v>
      </c>
      <c r="B310" s="101" t="s">
        <v>4</v>
      </c>
      <c r="C310" s="13"/>
      <c r="D310" s="101">
        <f>IF(ISBLANK(fixtures!$K205),"",fixtures!$K205)</f>
        <v>1</v>
      </c>
      <c r="E310" s="102" t="str">
        <f>IF(ISBLANK(fixtures!$L205),"",":")</f>
        <v>:</v>
      </c>
      <c r="F310" s="103">
        <f>IF(ISBLANK(fixtures!$L205),"",fixtures!$L205)</f>
        <v>0</v>
      </c>
      <c r="G310" s="13"/>
      <c r="H310" s="103" t="s">
        <v>3</v>
      </c>
      <c r="I310" s="103" t="s">
        <v>151</v>
      </c>
      <c r="J310" s="13"/>
      <c r="K310" s="13"/>
      <c r="L310" s="13"/>
      <c r="M310" s="13"/>
    </row>
    <row r="311" spans="1:21" x14ac:dyDescent="0.4">
      <c r="A311" s="169">
        <f ca="1">IFERROR(INDIRECT("fixtures!" &amp; Dashboard!J1 &amp;206) - Dashboard!K1/24,"TBC")</f>
        <v>44961.708333333336</v>
      </c>
      <c r="B311" s="101" t="s">
        <v>11</v>
      </c>
      <c r="C311" s="13"/>
      <c r="D311" s="101">
        <f>IF(ISBLANK(fixtures!$K206),"",fixtures!$K206)</f>
        <v>2</v>
      </c>
      <c r="E311" s="102" t="str">
        <f>IF(ISBLANK(fixtures!$L206),"",":")</f>
        <v>:</v>
      </c>
      <c r="F311" s="103">
        <f>IF(ISBLANK(fixtures!$L206),"",fixtures!$L206)</f>
        <v>1</v>
      </c>
      <c r="G311" s="13"/>
      <c r="H311" s="103" t="s">
        <v>6</v>
      </c>
      <c r="I311" s="103" t="s">
        <v>56</v>
      </c>
      <c r="J311" s="13"/>
      <c r="K311" s="13"/>
      <c r="L311" s="13"/>
      <c r="M311" s="13"/>
    </row>
    <row r="312" spans="1:21" x14ac:dyDescent="0.4">
      <c r="A312" s="169">
        <f ca="1">IFERROR(INDIRECT("fixtures!" &amp; Dashboard!J1 &amp;207) - Dashboard!K1/24,"TBC")</f>
        <v>44961.708333333336</v>
      </c>
      <c r="B312" s="101" t="s">
        <v>16</v>
      </c>
      <c r="C312" s="13"/>
      <c r="D312" s="101">
        <f>IF(ISBLANK(fixtures!$K207),"",fixtures!$K207)</f>
        <v>3</v>
      </c>
      <c r="E312" s="102" t="str">
        <f>IF(ISBLANK(fixtures!$L207),"",":")</f>
        <v>:</v>
      </c>
      <c r="F312" s="103">
        <f>IF(ISBLANK(fixtures!$L207),"",fixtures!$L207)</f>
        <v>0</v>
      </c>
      <c r="G312" s="13"/>
      <c r="H312" s="103" t="s">
        <v>9</v>
      </c>
      <c r="I312" s="103" t="s">
        <v>63</v>
      </c>
      <c r="J312" s="13"/>
      <c r="K312" s="13"/>
      <c r="L312" s="13"/>
      <c r="M312" s="13"/>
      <c r="N312" s="486"/>
      <c r="O312" s="486"/>
      <c r="P312" s="486"/>
      <c r="Q312" s="486"/>
      <c r="R312" s="486"/>
      <c r="S312" s="486"/>
      <c r="T312" s="486"/>
      <c r="U312" s="486"/>
    </row>
    <row r="313" spans="1:21" x14ac:dyDescent="0.4">
      <c r="A313" s="169">
        <f ca="1">IFERROR(INDIRECT("fixtures!" &amp; Dashboard!J1 &amp;208) - Dashboard!K1/24,"TBC")</f>
        <v>44961.8125</v>
      </c>
      <c r="B313" s="101" t="s">
        <v>12</v>
      </c>
      <c r="C313" s="13"/>
      <c r="D313" s="101">
        <f>IF(ISBLANK(fixtures!$K208),"",fixtures!$K208)</f>
        <v>1</v>
      </c>
      <c r="E313" s="102" t="str">
        <f>IF(ISBLANK(fixtures!$L208),"",":")</f>
        <v>:</v>
      </c>
      <c r="F313" s="103">
        <f>IF(ISBLANK(fixtures!$L208),"",fixtures!$L208)</f>
        <v>1</v>
      </c>
      <c r="G313" s="13"/>
      <c r="H313" s="103" t="s">
        <v>15</v>
      </c>
      <c r="I313" s="103" t="s">
        <v>55</v>
      </c>
      <c r="J313" s="13"/>
      <c r="K313" s="13"/>
      <c r="L313" s="13"/>
      <c r="M313" s="13"/>
    </row>
    <row r="314" spans="1:21" x14ac:dyDescent="0.4">
      <c r="A314" s="191" t="s">
        <v>633</v>
      </c>
      <c r="B314" s="192"/>
      <c r="C314" s="192"/>
      <c r="D314" s="192"/>
      <c r="E314" s="192"/>
      <c r="F314" s="192"/>
      <c r="G314" s="192"/>
      <c r="H314" s="192"/>
      <c r="I314" s="192"/>
      <c r="J314" s="192"/>
      <c r="K314" s="192"/>
      <c r="L314" s="192"/>
      <c r="M314" s="192"/>
    </row>
    <row r="315" spans="1:21" x14ac:dyDescent="0.4">
      <c r="A315" s="169">
        <f ca="1">IFERROR(INDIRECT("fixtures!" &amp; Dashboard!J1 &amp;209) - Dashboard!K1/24,"TBC")</f>
        <v>44962.666666666664</v>
      </c>
      <c r="B315" s="101" t="s">
        <v>204</v>
      </c>
      <c r="C315" s="13"/>
      <c r="D315" s="101">
        <f>IF(ISBLANK(fixtures!$K209),"",fixtures!$K209)</f>
        <v>1</v>
      </c>
      <c r="E315" s="102" t="str">
        <f>IF(ISBLANK(fixtures!$L209),"",":")</f>
        <v>:</v>
      </c>
      <c r="F315" s="103">
        <f>IF(ISBLANK(fixtures!$L209),"",fixtures!$L209)</f>
        <v>0</v>
      </c>
      <c r="G315" s="13"/>
      <c r="H315" s="103" t="s">
        <v>139</v>
      </c>
      <c r="I315" s="103" t="s">
        <v>436</v>
      </c>
      <c r="J315" s="13"/>
      <c r="K315" s="13"/>
      <c r="L315" s="13"/>
      <c r="M315" s="13"/>
    </row>
    <row r="316" spans="1:21" x14ac:dyDescent="0.4">
      <c r="A316" s="169">
        <f ca="1">IFERROR(INDIRECT("fixtures!" &amp; Dashboard!J1 &amp;210) - Dashboard!K1/24,"TBC")</f>
        <v>44962.770833333336</v>
      </c>
      <c r="B316" s="101" t="s">
        <v>14</v>
      </c>
      <c r="C316" s="13"/>
      <c r="D316" s="101">
        <f>IF(ISBLANK(fixtures!$K210),"",fixtures!$K210)</f>
        <v>1</v>
      </c>
      <c r="E316" s="102" t="str">
        <f>IF(ISBLANK(fixtures!$L210),"",":")</f>
        <v>:</v>
      </c>
      <c r="F316" s="103">
        <f>IF(ISBLANK(fixtures!$L210),"",fixtures!$L210)</f>
        <v>0</v>
      </c>
      <c r="G316" s="13"/>
      <c r="H316" s="103" t="s">
        <v>10</v>
      </c>
      <c r="I316" s="103" t="s">
        <v>53</v>
      </c>
      <c r="J316" s="13"/>
      <c r="K316" s="13"/>
      <c r="L316" s="13"/>
      <c r="M316" s="13"/>
      <c r="N316" s="486"/>
      <c r="O316" s="486"/>
      <c r="P316" s="486"/>
      <c r="Q316" s="486"/>
      <c r="R316" s="486"/>
      <c r="S316" s="486"/>
      <c r="T316" s="486"/>
      <c r="U316" s="486"/>
    </row>
    <row r="317" spans="1:21" x14ac:dyDescent="0.4">
      <c r="A317" s="104" t="str">
        <f>"Time Zone: " &amp; Dashboard!D1</f>
        <v>Time Zone: Europe Western</v>
      </c>
      <c r="B317" s="13"/>
      <c r="C317" s="13"/>
      <c r="D317" s="13"/>
      <c r="E317" s="13"/>
      <c r="F317" s="13"/>
      <c r="G317" s="13"/>
      <c r="H317" s="13"/>
      <c r="I317" s="449" t="s">
        <v>592</v>
      </c>
      <c r="J317" s="13"/>
      <c r="K317" s="13"/>
      <c r="L317" s="13"/>
      <c r="M317" s="13"/>
    </row>
    <row r="318" spans="1:21" ht="31.5" x14ac:dyDescent="0.5">
      <c r="A318" s="14"/>
      <c r="B318" s="14"/>
      <c r="C318" s="14"/>
      <c r="D318" s="14"/>
      <c r="E318" s="14"/>
      <c r="F318" s="14"/>
      <c r="G318" s="14"/>
      <c r="H318" s="179" t="s">
        <v>70</v>
      </c>
      <c r="I318" s="14"/>
      <c r="J318" s="14"/>
      <c r="K318" s="14"/>
      <c r="L318" s="14"/>
      <c r="M318" s="14"/>
      <c r="N318" s="486"/>
      <c r="O318" s="486"/>
      <c r="P318" s="486"/>
      <c r="Q318" s="486"/>
      <c r="R318" s="486"/>
      <c r="S318" s="486"/>
      <c r="T318" s="486"/>
      <c r="U318" s="486"/>
    </row>
    <row r="319" spans="1:21" x14ac:dyDescent="0.4">
      <c r="A319" s="193" t="s">
        <v>645</v>
      </c>
      <c r="B319" s="194"/>
      <c r="C319" s="194"/>
      <c r="D319" s="194"/>
      <c r="E319" s="194"/>
      <c r="F319" s="194"/>
      <c r="G319" s="194"/>
      <c r="H319" s="194"/>
      <c r="I319" s="194"/>
      <c r="J319" s="194"/>
      <c r="K319" s="194"/>
      <c r="L319" s="194"/>
      <c r="M319" s="194"/>
    </row>
    <row r="320" spans="1:21" x14ac:dyDescent="0.4">
      <c r="A320" s="180">
        <f ca="1">IFERROR(INDIRECT("fixtures!" &amp; Dashboard!J1 &amp;211) - Dashboard!K1/24,"TBC")</f>
        <v>44965.916666666664</v>
      </c>
      <c r="B320" s="181" t="s">
        <v>11</v>
      </c>
      <c r="C320" s="15"/>
      <c r="D320" s="181">
        <f>IF(ISBLANK(fixtures!$K211),"",fixtures!$K211)</f>
        <v>2</v>
      </c>
      <c r="E320" s="182" t="str">
        <f>IF(ISBLANK(fixtures!$L211),"",":")</f>
        <v>:</v>
      </c>
      <c r="F320" s="183">
        <f>IF(ISBLANK(fixtures!$L211),"",fixtures!$L211)</f>
        <v>2</v>
      </c>
      <c r="G320" s="15"/>
      <c r="H320" s="183" t="s">
        <v>139</v>
      </c>
      <c r="I320" s="183" t="s">
        <v>56</v>
      </c>
      <c r="J320" s="15"/>
      <c r="K320" s="15"/>
      <c r="L320" s="15"/>
      <c r="M320" s="15"/>
    </row>
    <row r="321" spans="1:21" x14ac:dyDescent="0.4">
      <c r="A321" s="184" t="str">
        <f>"Time Zone: " &amp; Dashboard!D1</f>
        <v>Time Zone: Europe Western</v>
      </c>
      <c r="B321" s="15"/>
      <c r="C321" s="15"/>
      <c r="D321" s="15"/>
      <c r="E321" s="15"/>
      <c r="F321" s="15"/>
      <c r="G321" s="15"/>
      <c r="H321" s="15"/>
      <c r="I321" s="450" t="s">
        <v>592</v>
      </c>
      <c r="J321" s="15"/>
      <c r="K321" s="15"/>
      <c r="L321" s="15"/>
      <c r="M321" s="15"/>
    </row>
    <row r="322" spans="1:21" ht="31.5" x14ac:dyDescent="0.5">
      <c r="A322" s="205"/>
      <c r="B322" s="205"/>
      <c r="C322" s="205"/>
      <c r="D322" s="205"/>
      <c r="E322" s="205"/>
      <c r="F322" s="205"/>
      <c r="G322" s="205"/>
      <c r="H322" s="266" t="s">
        <v>85</v>
      </c>
      <c r="I322" s="205"/>
      <c r="J322" s="205"/>
      <c r="K322" s="205"/>
      <c r="L322" s="205"/>
      <c r="M322" s="205"/>
    </row>
    <row r="323" spans="1:21" x14ac:dyDescent="0.4">
      <c r="A323" s="267" t="s">
        <v>565</v>
      </c>
      <c r="B323" s="268"/>
      <c r="C323" s="268"/>
      <c r="D323" s="268"/>
      <c r="E323" s="268"/>
      <c r="F323" s="268"/>
      <c r="G323" s="268"/>
      <c r="H323" s="268"/>
      <c r="I323" s="268"/>
      <c r="J323" s="268"/>
      <c r="K323" s="268"/>
      <c r="L323" s="268"/>
      <c r="M323" s="268"/>
    </row>
    <row r="324" spans="1:21" x14ac:dyDescent="0.4">
      <c r="A324" s="269">
        <f ca="1">IFERROR(INDIRECT("fixtures!" &amp; Dashboard!J1 &amp;212) - Dashboard!K1/24,"TBC")</f>
        <v>44968.604166666664</v>
      </c>
      <c r="B324" s="270" t="s">
        <v>15</v>
      </c>
      <c r="C324" s="23"/>
      <c r="D324" s="270">
        <f>IF(ISBLANK(fixtures!$K212),"",fixtures!$K212)</f>
        <v>1</v>
      </c>
      <c r="E324" s="271" t="str">
        <f>IF(ISBLANK(fixtures!$L212),"",":")</f>
        <v>:</v>
      </c>
      <c r="F324" s="272">
        <f>IF(ISBLANK(fixtures!$L212),"",fixtures!$L212)</f>
        <v>1</v>
      </c>
      <c r="G324" s="23"/>
      <c r="H324" s="272" t="s">
        <v>5</v>
      </c>
      <c r="I324" s="272" t="s">
        <v>50</v>
      </c>
      <c r="J324" s="23"/>
      <c r="K324" s="23"/>
      <c r="L324" s="23"/>
      <c r="M324" s="23"/>
    </row>
    <row r="325" spans="1:21" x14ac:dyDescent="0.4">
      <c r="A325" s="269">
        <f ca="1">IFERROR(INDIRECT("fixtures!" &amp; Dashboard!J1 &amp;213) - Dashboard!K1/24,"TBC")</f>
        <v>44968.708333333336</v>
      </c>
      <c r="B325" s="270" t="s">
        <v>1</v>
      </c>
      <c r="C325" s="23"/>
      <c r="D325" s="270">
        <f>IF(ISBLANK(fixtures!$K213),"",fixtures!$K213)</f>
        <v>1</v>
      </c>
      <c r="E325" s="271" t="str">
        <f>IF(ISBLANK(fixtures!$L213),"",":")</f>
        <v>:</v>
      </c>
      <c r="F325" s="272">
        <f>IF(ISBLANK(fixtures!$L213),"",fixtures!$L213)</f>
        <v>1</v>
      </c>
      <c r="G325" s="23"/>
      <c r="H325" s="272" t="s">
        <v>125</v>
      </c>
      <c r="I325" s="272" t="s">
        <v>57</v>
      </c>
      <c r="J325" s="23"/>
      <c r="K325" s="23"/>
      <c r="L325" s="23"/>
      <c r="M325" s="23"/>
    </row>
    <row r="326" spans="1:21" x14ac:dyDescent="0.4">
      <c r="A326" s="269">
        <f ca="1">IFERROR(INDIRECT("fixtures!" &amp; Dashboard!J1 &amp;214) - Dashboard!K1/24,"TBC")</f>
        <v>44968.708333333336</v>
      </c>
      <c r="B326" s="270" t="s">
        <v>6</v>
      </c>
      <c r="C326" s="23"/>
      <c r="D326" s="270">
        <f>IF(ISBLANK(fixtures!$K214),"",fixtures!$K214)</f>
        <v>1</v>
      </c>
      <c r="E326" s="271" t="str">
        <f>IF(ISBLANK(fixtures!$L214),"",":")</f>
        <v>:</v>
      </c>
      <c r="F326" s="272">
        <f>IF(ISBLANK(fixtures!$L214),"",fixtures!$L214)</f>
        <v>1</v>
      </c>
      <c r="G326" s="23"/>
      <c r="H326" s="272" t="s">
        <v>4</v>
      </c>
      <c r="I326" s="272" t="s">
        <v>52</v>
      </c>
      <c r="J326" s="23"/>
      <c r="K326" s="23"/>
      <c r="L326" s="23"/>
      <c r="M326" s="23"/>
      <c r="N326" s="486"/>
      <c r="O326" s="486"/>
      <c r="P326" s="486"/>
      <c r="Q326" s="486"/>
      <c r="R326" s="486"/>
      <c r="S326" s="486"/>
      <c r="T326" s="486"/>
      <c r="U326" s="486"/>
    </row>
    <row r="327" spans="1:21" x14ac:dyDescent="0.4">
      <c r="A327" s="269">
        <f ca="1">IFERROR(INDIRECT("fixtures!" &amp; Dashboard!J1 &amp;215) - Dashboard!K1/24,"TBC")</f>
        <v>44968.708333333336</v>
      </c>
      <c r="B327" s="270" t="s">
        <v>126</v>
      </c>
      <c r="C327" s="23"/>
      <c r="D327" s="270">
        <f>IF(ISBLANK(fixtures!$K215),"",fixtures!$K215)</f>
        <v>2</v>
      </c>
      <c r="E327" s="271" t="str">
        <f>IF(ISBLANK(fixtures!$L215),"",":")</f>
        <v>:</v>
      </c>
      <c r="F327" s="272">
        <f>IF(ISBLANK(fixtures!$L215),"",fixtures!$L215)</f>
        <v>0</v>
      </c>
      <c r="G327" s="23"/>
      <c r="H327" s="272" t="s">
        <v>204</v>
      </c>
      <c r="I327" s="272" t="s">
        <v>431</v>
      </c>
      <c r="J327" s="23"/>
      <c r="K327" s="23"/>
      <c r="L327" s="23"/>
      <c r="M327" s="23"/>
    </row>
    <row r="328" spans="1:21" x14ac:dyDescent="0.4">
      <c r="A328" s="269">
        <f ca="1">IFERROR(INDIRECT("fixtures!" &amp; Dashboard!J1 &amp;216) - Dashboard!K1/24,"TBC")</f>
        <v>44968.708333333336</v>
      </c>
      <c r="B328" s="270" t="s">
        <v>8</v>
      </c>
      <c r="C328" s="23"/>
      <c r="D328" s="270">
        <f>IF(ISBLANK(fixtures!$K216),"",fixtures!$K216)</f>
        <v>4</v>
      </c>
      <c r="E328" s="271" t="str">
        <f>IF(ISBLANK(fixtures!$L216),"",":")</f>
        <v>:</v>
      </c>
      <c r="F328" s="272">
        <f>IF(ISBLANK(fixtures!$L216),"",fixtures!$L216)</f>
        <v>1</v>
      </c>
      <c r="G328" s="23"/>
      <c r="H328" s="272" t="s">
        <v>14</v>
      </c>
      <c r="I328" s="272" t="s">
        <v>54</v>
      </c>
      <c r="J328" s="23"/>
      <c r="K328" s="23"/>
      <c r="L328" s="23"/>
      <c r="M328" s="23"/>
    </row>
    <row r="329" spans="1:21" x14ac:dyDescent="0.4">
      <c r="A329" s="269">
        <f ca="1">IFERROR(INDIRECT("fixtures!" &amp; Dashboard!J1 &amp;217) - Dashboard!K1/24,"TBC")</f>
        <v>44968.708333333336</v>
      </c>
      <c r="B329" s="270" t="s">
        <v>13</v>
      </c>
      <c r="C329" s="23"/>
      <c r="D329" s="270">
        <f>IF(ISBLANK(fixtures!$K217),"",fixtures!$K217)</f>
        <v>1</v>
      </c>
      <c r="E329" s="271" t="str">
        <f>IF(ISBLANK(fixtures!$L217),"",":")</f>
        <v>:</v>
      </c>
      <c r="F329" s="272">
        <f>IF(ISBLANK(fixtures!$L217),"",fixtures!$L217)</f>
        <v>2</v>
      </c>
      <c r="G329" s="23"/>
      <c r="H329" s="272" t="s">
        <v>16</v>
      </c>
      <c r="I329" s="272" t="s">
        <v>60</v>
      </c>
      <c r="J329" s="23"/>
      <c r="K329" s="23"/>
      <c r="L329" s="23"/>
      <c r="M329" s="23"/>
    </row>
    <row r="330" spans="1:21" x14ac:dyDescent="0.4">
      <c r="A330" s="269">
        <f ca="1">IFERROR(INDIRECT("fixtures!" &amp; Dashboard!J1 &amp;218) - Dashboard!K1/24,"TBC")</f>
        <v>44968.8125</v>
      </c>
      <c r="B330" s="270" t="s">
        <v>3</v>
      </c>
      <c r="C330" s="23"/>
      <c r="D330" s="270">
        <f>IF(ISBLANK(fixtures!$K218),"",fixtures!$K218)</f>
        <v>1</v>
      </c>
      <c r="E330" s="271" t="str">
        <f>IF(ISBLANK(fixtures!$L218),"",":")</f>
        <v>:</v>
      </c>
      <c r="F330" s="272">
        <f>IF(ISBLANK(fixtures!$L218),"",fixtures!$L218)</f>
        <v>1</v>
      </c>
      <c r="G330" s="23"/>
      <c r="H330" s="272" t="s">
        <v>12</v>
      </c>
      <c r="I330" s="272" t="s">
        <v>51</v>
      </c>
      <c r="J330" s="23"/>
      <c r="K330" s="23"/>
      <c r="L330" s="23"/>
      <c r="M330" s="23"/>
    </row>
    <row r="331" spans="1:21" x14ac:dyDescent="0.4">
      <c r="A331" s="267" t="s">
        <v>634</v>
      </c>
      <c r="B331" s="268"/>
      <c r="C331" s="268"/>
      <c r="D331" s="268"/>
      <c r="E331" s="268"/>
      <c r="F331" s="268"/>
      <c r="G331" s="268"/>
      <c r="H331" s="268"/>
      <c r="I331" s="268"/>
      <c r="J331" s="268"/>
      <c r="K331" s="268"/>
      <c r="L331" s="268"/>
      <c r="M331" s="268"/>
      <c r="N331" s="486"/>
      <c r="O331" s="486"/>
      <c r="P331" s="486"/>
      <c r="Q331" s="486"/>
      <c r="R331" s="486"/>
      <c r="S331" s="486"/>
      <c r="T331" s="486"/>
      <c r="U331" s="486"/>
    </row>
    <row r="332" spans="1:21" x14ac:dyDescent="0.4">
      <c r="A332" s="269">
        <f ca="1">IFERROR(INDIRECT("fixtures!" &amp; Dashboard!J1 &amp;219) - Dashboard!K1/24,"TBC")</f>
        <v>44969.666666666664</v>
      </c>
      <c r="B332" s="270" t="s">
        <v>139</v>
      </c>
      <c r="C332" s="23"/>
      <c r="D332" s="270">
        <f>IF(ISBLANK(fixtures!$K219),"",fixtures!$K219)</f>
        <v>0</v>
      </c>
      <c r="E332" s="271" t="str">
        <f>IF(ISBLANK(fixtures!$L219),"",":")</f>
        <v>:</v>
      </c>
      <c r="F332" s="272">
        <f>IF(ISBLANK(fixtures!$L219),"",fixtures!$L219)</f>
        <v>2</v>
      </c>
      <c r="G332" s="23"/>
      <c r="H332" s="272" t="s">
        <v>11</v>
      </c>
      <c r="I332" s="272" t="s">
        <v>140</v>
      </c>
      <c r="J332" s="23"/>
      <c r="K332" s="23"/>
      <c r="L332" s="23"/>
      <c r="M332" s="23"/>
    </row>
    <row r="333" spans="1:21" x14ac:dyDescent="0.4">
      <c r="A333" s="269">
        <f ca="1">IFERROR(INDIRECT("fixtures!" &amp; Dashboard!J1 &amp;220) - Dashboard!K1/24,"TBC")</f>
        <v>44969.770833333336</v>
      </c>
      <c r="B333" s="270" t="s">
        <v>10</v>
      </c>
      <c r="C333" s="23"/>
      <c r="D333" s="270">
        <f>IF(ISBLANK(fixtures!$K220),"",fixtures!$K220)</f>
        <v>3</v>
      </c>
      <c r="E333" s="271" t="str">
        <f>IF(ISBLANK(fixtures!$L220),"",":")</f>
        <v>:</v>
      </c>
      <c r="F333" s="272">
        <f>IF(ISBLANK(fixtures!$L220),"",fixtures!$L220)</f>
        <v>1</v>
      </c>
      <c r="G333" s="23"/>
      <c r="H333" s="272" t="s">
        <v>2</v>
      </c>
      <c r="I333" s="272" t="s">
        <v>61</v>
      </c>
      <c r="J333" s="23"/>
      <c r="K333" s="23"/>
      <c r="L333" s="23"/>
      <c r="M333" s="23"/>
    </row>
    <row r="334" spans="1:21" x14ac:dyDescent="0.4">
      <c r="A334" s="267" t="s">
        <v>635</v>
      </c>
      <c r="B334" s="268"/>
      <c r="C334" s="268"/>
      <c r="D334" s="268"/>
      <c r="E334" s="268"/>
      <c r="F334" s="268"/>
      <c r="G334" s="268"/>
      <c r="H334" s="268"/>
      <c r="I334" s="268"/>
      <c r="J334" s="268"/>
      <c r="K334" s="268"/>
      <c r="L334" s="268"/>
      <c r="M334" s="268"/>
    </row>
    <row r="335" spans="1:21" x14ac:dyDescent="0.4">
      <c r="A335" s="269">
        <f ca="1">IFERROR(INDIRECT("fixtures!" &amp; Dashboard!J1 &amp;221) - Dashboard!K1/24,"TBC")</f>
        <v>44970.916666666664</v>
      </c>
      <c r="B335" s="270" t="s">
        <v>9</v>
      </c>
      <c r="C335" s="23"/>
      <c r="D335" s="270">
        <f>IF(ISBLANK(fixtures!$K221),"",fixtures!$K221)</f>
        <v>2</v>
      </c>
      <c r="E335" s="271" t="str">
        <f>IF(ISBLANK(fixtures!$L221),"",":")</f>
        <v>:</v>
      </c>
      <c r="F335" s="272">
        <f>IF(ISBLANK(fixtures!$L221),"",fixtures!$L221)</f>
        <v>0</v>
      </c>
      <c r="G335" s="23"/>
      <c r="H335" s="272" t="s">
        <v>7</v>
      </c>
      <c r="I335" s="272" t="s">
        <v>48</v>
      </c>
      <c r="J335" s="23"/>
      <c r="K335" s="23"/>
      <c r="L335" s="23"/>
      <c r="M335" s="23"/>
    </row>
    <row r="336" spans="1:21" x14ac:dyDescent="0.4">
      <c r="A336" s="273" t="str">
        <f>"Time Zone: " &amp; Dashboard!D1</f>
        <v>Time Zone: Europe Western</v>
      </c>
      <c r="B336" s="23"/>
      <c r="C336" s="23"/>
      <c r="D336" s="23"/>
      <c r="E336" s="23"/>
      <c r="F336" s="23"/>
      <c r="G336" s="23"/>
      <c r="H336" s="23"/>
      <c r="I336" s="451" t="s">
        <v>592</v>
      </c>
      <c r="J336" s="23"/>
      <c r="K336" s="23"/>
      <c r="L336" s="23"/>
      <c r="M336" s="23"/>
    </row>
    <row r="337" spans="1:21" ht="31.5" x14ac:dyDescent="0.5">
      <c r="A337" s="28"/>
      <c r="B337" s="28"/>
      <c r="C337" s="28"/>
      <c r="D337" s="28"/>
      <c r="E337" s="28"/>
      <c r="F337" s="28"/>
      <c r="G337" s="28"/>
      <c r="H337" s="109" t="s">
        <v>74</v>
      </c>
      <c r="I337" s="28"/>
      <c r="J337" s="28"/>
      <c r="K337" s="28"/>
      <c r="L337" s="28"/>
      <c r="M337" s="28"/>
    </row>
    <row r="338" spans="1:21" x14ac:dyDescent="0.4">
      <c r="A338" s="197" t="s">
        <v>636</v>
      </c>
      <c r="B338" s="198"/>
      <c r="C338" s="198"/>
      <c r="D338" s="198"/>
      <c r="E338" s="198"/>
      <c r="F338" s="198"/>
      <c r="G338" s="198"/>
      <c r="H338" s="198"/>
      <c r="I338" s="198"/>
      <c r="J338" s="198"/>
      <c r="K338" s="198"/>
      <c r="L338" s="198"/>
      <c r="M338" s="198"/>
    </row>
    <row r="339" spans="1:21" x14ac:dyDescent="0.4">
      <c r="A339" s="171">
        <f ca="1">IFERROR(INDIRECT("fixtures!" &amp; Dashboard!J1 &amp;222) - Dashboard!K1/24,"TBC")</f>
        <v>44972.895833333336</v>
      </c>
      <c r="B339" s="110" t="s">
        <v>1</v>
      </c>
      <c r="C339" s="29"/>
      <c r="D339" s="110">
        <f>IF(ISBLANK(fixtures!$K222),"",fixtures!$K222)</f>
        <v>1</v>
      </c>
      <c r="E339" s="111" t="str">
        <f>IF(ISBLANK(fixtures!$L222),"",":")</f>
        <v>:</v>
      </c>
      <c r="F339" s="112">
        <f>IF(ISBLANK(fixtures!$L222),"",fixtures!$L222)</f>
        <v>3</v>
      </c>
      <c r="G339" s="29"/>
      <c r="H339" s="112" t="s">
        <v>10</v>
      </c>
      <c r="I339" s="112" t="s">
        <v>57</v>
      </c>
      <c r="J339" s="29"/>
      <c r="K339" s="29"/>
      <c r="L339" s="29"/>
      <c r="M339" s="29"/>
      <c r="N339" s="486"/>
      <c r="O339" s="486"/>
      <c r="P339" s="486"/>
      <c r="Q339" s="486"/>
      <c r="R339" s="486"/>
      <c r="S339" s="486"/>
      <c r="T339" s="486"/>
      <c r="U339" s="486"/>
    </row>
    <row r="340" spans="1:21" x14ac:dyDescent="0.4">
      <c r="A340" s="113" t="str">
        <f>"Time Zone: " &amp; Dashboard!D1</f>
        <v>Time Zone: Europe Western</v>
      </c>
      <c r="B340" s="29"/>
      <c r="C340" s="29"/>
      <c r="D340" s="29"/>
      <c r="E340" s="29"/>
      <c r="F340" s="29"/>
      <c r="G340" s="29"/>
      <c r="H340" s="29"/>
      <c r="I340" s="452" t="s">
        <v>592</v>
      </c>
      <c r="J340" s="29"/>
      <c r="K340" s="29"/>
      <c r="L340" s="29"/>
      <c r="M340" s="29"/>
    </row>
    <row r="341" spans="1:21" ht="31.5" x14ac:dyDescent="0.5">
      <c r="A341" s="31"/>
      <c r="B341" s="31"/>
      <c r="C341" s="31"/>
      <c r="D341" s="31"/>
      <c r="E341" s="31"/>
      <c r="F341" s="31"/>
      <c r="G341" s="31"/>
      <c r="H341" s="114" t="s">
        <v>86</v>
      </c>
      <c r="I341" s="31"/>
      <c r="J341" s="31"/>
      <c r="K341" s="31"/>
      <c r="L341" s="31"/>
      <c r="M341" s="31"/>
    </row>
    <row r="342" spans="1:21" x14ac:dyDescent="0.4">
      <c r="A342" s="199" t="s">
        <v>566</v>
      </c>
      <c r="B342" s="200"/>
      <c r="C342" s="200"/>
      <c r="D342" s="200"/>
      <c r="E342" s="200"/>
      <c r="F342" s="200"/>
      <c r="G342" s="200"/>
      <c r="H342" s="200"/>
      <c r="I342" s="200"/>
      <c r="J342" s="200"/>
      <c r="K342" s="200"/>
      <c r="L342" s="200"/>
      <c r="M342" s="200"/>
      <c r="N342" s="486"/>
      <c r="O342" s="486"/>
      <c r="P342" s="486"/>
      <c r="Q342" s="486"/>
      <c r="R342" s="486"/>
      <c r="S342" s="486"/>
      <c r="T342" s="486"/>
      <c r="U342" s="486"/>
    </row>
    <row r="343" spans="1:21" x14ac:dyDescent="0.4">
      <c r="A343" s="172">
        <f ca="1">IFERROR(INDIRECT("fixtures!" &amp; Dashboard!J1 &amp;223) - Dashboard!K1/24,"TBC")</f>
        <v>44975.604166666664</v>
      </c>
      <c r="B343" s="115" t="s">
        <v>2</v>
      </c>
      <c r="C343" s="32"/>
      <c r="D343" s="115">
        <f>IF(ISBLANK(fixtures!$K223),"",fixtures!$K223)</f>
        <v>2</v>
      </c>
      <c r="E343" s="116" t="str">
        <f>IF(ISBLANK(fixtures!$L223),"",":")</f>
        <v>:</v>
      </c>
      <c r="F343" s="117">
        <f>IF(ISBLANK(fixtures!$L223),"",fixtures!$L223)</f>
        <v>4</v>
      </c>
      <c r="G343" s="32"/>
      <c r="H343" s="117" t="s">
        <v>1</v>
      </c>
      <c r="I343" s="117" t="s">
        <v>58</v>
      </c>
      <c r="J343" s="32"/>
      <c r="K343" s="32"/>
      <c r="L343" s="32"/>
      <c r="M343" s="32"/>
    </row>
    <row r="344" spans="1:21" x14ac:dyDescent="0.4">
      <c r="A344" s="172">
        <f ca="1">IFERROR(INDIRECT("fixtures!" &amp; Dashboard!J1 &amp;224) - Dashboard!K1/24,"TBC")</f>
        <v>44975.708333333336</v>
      </c>
      <c r="B344" s="115" t="s">
        <v>125</v>
      </c>
      <c r="C344" s="32"/>
      <c r="D344" s="115">
        <f>IF(ISBLANK(fixtures!$K224),"",fixtures!$K224)</f>
        <v>1</v>
      </c>
      <c r="E344" s="116" t="str">
        <f>IF(ISBLANK(fixtures!$L224),"",":")</f>
        <v>:</v>
      </c>
      <c r="F344" s="117">
        <f>IF(ISBLANK(fixtures!$L224),"",fixtures!$L224)</f>
        <v>1</v>
      </c>
      <c r="G344" s="32"/>
      <c r="H344" s="117" t="s">
        <v>6</v>
      </c>
      <c r="I344" s="117" t="s">
        <v>593</v>
      </c>
      <c r="J344" s="32"/>
      <c r="K344" s="32"/>
      <c r="L344" s="32"/>
      <c r="M344" s="32"/>
    </row>
    <row r="345" spans="1:21" x14ac:dyDescent="0.4">
      <c r="A345" s="172">
        <f ca="1">IFERROR(INDIRECT("fixtures!" &amp; Dashboard!J1 &amp;225) - Dashboard!K1/24,"TBC")</f>
        <v>44975.708333333336</v>
      </c>
      <c r="B345" s="115" t="s">
        <v>4</v>
      </c>
      <c r="C345" s="32"/>
      <c r="D345" s="115">
        <f>IF(ISBLANK(fixtures!$K225),"",fixtures!$K225)</f>
        <v>0</v>
      </c>
      <c r="E345" s="116" t="str">
        <f>IF(ISBLANK(fixtures!$L225),"",":")</f>
        <v>:</v>
      </c>
      <c r="F345" s="117">
        <f>IF(ISBLANK(fixtures!$L225),"",fixtures!$L225)</f>
        <v>1</v>
      </c>
      <c r="G345" s="32"/>
      <c r="H345" s="117" t="s">
        <v>126</v>
      </c>
      <c r="I345" s="117" t="s">
        <v>151</v>
      </c>
      <c r="J345" s="32"/>
      <c r="K345" s="32"/>
      <c r="L345" s="32"/>
      <c r="M345" s="32"/>
    </row>
    <row r="346" spans="1:21" x14ac:dyDescent="0.4">
      <c r="A346" s="172">
        <f ca="1">IFERROR(INDIRECT("fixtures!" &amp; Dashboard!J1 &amp;226) - Dashboard!K1/24,"TBC")</f>
        <v>44975.708333333336</v>
      </c>
      <c r="B346" s="115" t="s">
        <v>5</v>
      </c>
      <c r="C346" s="32"/>
      <c r="D346" s="115">
        <f>IF(ISBLANK(fixtures!$K226),"",fixtures!$K226)</f>
        <v>0</v>
      </c>
      <c r="E346" s="116" t="str">
        <f>IF(ISBLANK(fixtures!$L226),"",":")</f>
        <v>:</v>
      </c>
      <c r="F346" s="117">
        <f>IF(ISBLANK(fixtures!$L226),"",fixtures!$L226)</f>
        <v>1</v>
      </c>
      <c r="G346" s="32"/>
      <c r="H346" s="117" t="s">
        <v>13</v>
      </c>
      <c r="I346" s="117" t="s">
        <v>62</v>
      </c>
      <c r="J346" s="32"/>
      <c r="K346" s="32"/>
      <c r="L346" s="32"/>
      <c r="M346" s="32"/>
      <c r="N346" s="486"/>
      <c r="O346" s="486"/>
      <c r="P346" s="486"/>
      <c r="Q346" s="486"/>
      <c r="R346" s="486"/>
      <c r="S346" s="486"/>
      <c r="T346" s="486"/>
      <c r="U346" s="486"/>
    </row>
    <row r="347" spans="1:21" x14ac:dyDescent="0.4">
      <c r="A347" s="172">
        <f ca="1">IFERROR(INDIRECT("fixtures!" &amp; Dashboard!J1 &amp;227) - Dashboard!K1/24,"TBC")</f>
        <v>44975.708333333336</v>
      </c>
      <c r="B347" s="115" t="s">
        <v>7</v>
      </c>
      <c r="C347" s="32"/>
      <c r="D347" s="115">
        <f>IF(ISBLANK(fixtures!$K227),"",fixtures!$K227)</f>
        <v>1</v>
      </c>
      <c r="E347" s="116" t="str">
        <f>IF(ISBLANK(fixtures!$L227),"",":")</f>
        <v>:</v>
      </c>
      <c r="F347" s="117">
        <f>IF(ISBLANK(fixtures!$L227),"",fixtures!$L227)</f>
        <v>0</v>
      </c>
      <c r="G347" s="32"/>
      <c r="H347" s="117" t="s">
        <v>139</v>
      </c>
      <c r="I347" s="117" t="s">
        <v>59</v>
      </c>
      <c r="J347" s="32"/>
      <c r="K347" s="32"/>
      <c r="L347" s="32"/>
      <c r="M347" s="32"/>
    </row>
    <row r="348" spans="1:21" x14ac:dyDescent="0.4">
      <c r="A348" s="172">
        <f ca="1">IFERROR(INDIRECT("fixtures!" &amp; Dashboard!J1 &amp;228) - Dashboard!K1/24,"TBC")</f>
        <v>44975.708333333336</v>
      </c>
      <c r="B348" s="115" t="s">
        <v>204</v>
      </c>
      <c r="C348" s="32"/>
      <c r="D348" s="115">
        <f>IF(ISBLANK(fixtures!$K228),"",fixtures!$K228)</f>
        <v>1</v>
      </c>
      <c r="E348" s="116" t="str">
        <f>IF(ISBLANK(fixtures!$L228),"",":")</f>
        <v>:</v>
      </c>
      <c r="F348" s="117">
        <f>IF(ISBLANK(fixtures!$L228),"",fixtures!$L228)</f>
        <v>1</v>
      </c>
      <c r="G348" s="32"/>
      <c r="H348" s="117" t="s">
        <v>10</v>
      </c>
      <c r="I348" s="117" t="s">
        <v>436</v>
      </c>
      <c r="J348" s="32"/>
      <c r="K348" s="32"/>
      <c r="L348" s="32"/>
      <c r="M348" s="32"/>
    </row>
    <row r="349" spans="1:21" x14ac:dyDescent="0.4">
      <c r="A349" s="172">
        <f ca="1">IFERROR(INDIRECT("fixtures!" &amp; Dashboard!J1 &amp;229) - Dashboard!K1/24,"TBC")</f>
        <v>44975.708333333336</v>
      </c>
      <c r="B349" s="115" t="s">
        <v>16</v>
      </c>
      <c r="C349" s="32"/>
      <c r="D349" s="115">
        <f>IF(ISBLANK(fixtures!$K229),"",fixtures!$K229)</f>
        <v>0</v>
      </c>
      <c r="E349" s="116" t="str">
        <f>IF(ISBLANK(fixtures!$L229),"",":")</f>
        <v>:</v>
      </c>
      <c r="F349" s="117">
        <f>IF(ISBLANK(fixtures!$L229),"",fixtures!$L229)</f>
        <v>1</v>
      </c>
      <c r="G349" s="32"/>
      <c r="H349" s="117" t="s">
        <v>3</v>
      </c>
      <c r="I349" s="117" t="s">
        <v>63</v>
      </c>
      <c r="J349" s="32"/>
      <c r="K349" s="32"/>
      <c r="L349" s="32"/>
      <c r="M349" s="32"/>
    </row>
    <row r="350" spans="1:21" x14ac:dyDescent="0.4">
      <c r="A350" s="172">
        <f ca="1">IFERROR(INDIRECT("fixtures!" &amp; Dashboard!J1 &amp;230) - Dashboard!K1/24,"TBC")</f>
        <v>44975.8125</v>
      </c>
      <c r="B350" s="115" t="s">
        <v>12</v>
      </c>
      <c r="C350" s="32"/>
      <c r="D350" s="115">
        <f>IF(ISBLANK(fixtures!$K230),"",fixtures!$K230)</f>
        <v>0</v>
      </c>
      <c r="E350" s="116" t="str">
        <f>IF(ISBLANK(fixtures!$L230),"",":")</f>
        <v>:</v>
      </c>
      <c r="F350" s="117">
        <f>IF(ISBLANK(fixtures!$L230),"",fixtures!$L230)</f>
        <v>2</v>
      </c>
      <c r="G350" s="32"/>
      <c r="H350" s="117" t="s">
        <v>9</v>
      </c>
      <c r="I350" s="117" t="s">
        <v>55</v>
      </c>
      <c r="J350" s="32"/>
      <c r="K350" s="32"/>
      <c r="L350" s="32"/>
      <c r="M350" s="32"/>
      <c r="N350" s="486"/>
      <c r="O350" s="486"/>
      <c r="P350" s="486"/>
      <c r="Q350" s="486"/>
      <c r="R350" s="486"/>
      <c r="S350" s="486"/>
      <c r="T350" s="486"/>
      <c r="U350" s="486"/>
    </row>
    <row r="351" spans="1:21" x14ac:dyDescent="0.4">
      <c r="A351" s="199" t="s">
        <v>637</v>
      </c>
      <c r="B351" s="200"/>
      <c r="C351" s="200"/>
      <c r="D351" s="200"/>
      <c r="E351" s="200"/>
      <c r="F351" s="200"/>
      <c r="G351" s="200"/>
      <c r="H351" s="200"/>
      <c r="I351" s="200"/>
      <c r="J351" s="200"/>
      <c r="K351" s="200"/>
      <c r="L351" s="200"/>
      <c r="M351" s="200"/>
    </row>
    <row r="352" spans="1:21" x14ac:dyDescent="0.4">
      <c r="A352" s="172">
        <f ca="1">IFERROR(INDIRECT("fixtures!" &amp; Dashboard!J1 &amp;231) - Dashboard!K1/24,"TBC")</f>
        <v>44976.666666666664</v>
      </c>
      <c r="B352" s="115" t="s">
        <v>11</v>
      </c>
      <c r="C352" s="32"/>
      <c r="D352" s="115">
        <f>IF(ISBLANK(fixtures!$K231),"",fixtures!$K231)</f>
        <v>3</v>
      </c>
      <c r="E352" s="116" t="str">
        <f>IF(ISBLANK(fixtures!$L231),"",":")</f>
        <v>:</v>
      </c>
      <c r="F352" s="117">
        <f>IF(ISBLANK(fixtures!$L231),"",fixtures!$L231)</f>
        <v>0</v>
      </c>
      <c r="G352" s="32"/>
      <c r="H352" s="117" t="s">
        <v>8</v>
      </c>
      <c r="I352" s="117" t="s">
        <v>56</v>
      </c>
      <c r="J352" s="32"/>
      <c r="K352" s="32"/>
      <c r="L352" s="32"/>
      <c r="M352" s="32"/>
    </row>
    <row r="353" spans="1:21" x14ac:dyDescent="0.4">
      <c r="A353" s="172">
        <f ca="1">IFERROR(INDIRECT("fixtures!" &amp; Dashboard!J1 &amp;232) - Dashboard!K1/24,"TBC")</f>
        <v>44976.770833333336</v>
      </c>
      <c r="B353" s="115" t="s">
        <v>14</v>
      </c>
      <c r="C353" s="32"/>
      <c r="D353" s="115">
        <f>IF(ISBLANK(fixtures!$K232),"",fixtures!$K232)</f>
        <v>2</v>
      </c>
      <c r="E353" s="116" t="str">
        <f>IF(ISBLANK(fixtures!$L232),"",":")</f>
        <v>:</v>
      </c>
      <c r="F353" s="117">
        <f>IF(ISBLANK(fixtures!$L232),"",fixtures!$L232)</f>
        <v>0</v>
      </c>
      <c r="G353" s="32"/>
      <c r="H353" s="117" t="s">
        <v>15</v>
      </c>
      <c r="I353" s="117" t="s">
        <v>53</v>
      </c>
      <c r="J353" s="32"/>
      <c r="K353" s="32"/>
      <c r="L353" s="32"/>
      <c r="M353" s="32"/>
    </row>
    <row r="354" spans="1:21" x14ac:dyDescent="0.4">
      <c r="A354" s="118" t="str">
        <f>"Time Zone: " &amp; Dashboard!D1</f>
        <v>Time Zone: Europe Western</v>
      </c>
      <c r="B354" s="32"/>
      <c r="C354" s="32"/>
      <c r="D354" s="32"/>
      <c r="E354" s="32"/>
      <c r="F354" s="32"/>
      <c r="G354" s="32"/>
      <c r="H354" s="32"/>
      <c r="I354" s="453" t="s">
        <v>592</v>
      </c>
      <c r="J354" s="32"/>
      <c r="K354" s="32"/>
      <c r="L354" s="32"/>
      <c r="M354" s="32"/>
    </row>
    <row r="355" spans="1:21" ht="31.5" x14ac:dyDescent="0.5">
      <c r="A355" s="24"/>
      <c r="B355" s="24"/>
      <c r="C355" s="24"/>
      <c r="D355" s="24"/>
      <c r="E355" s="24"/>
      <c r="F355" s="24"/>
      <c r="G355" s="24"/>
      <c r="H355" s="186" t="s">
        <v>87</v>
      </c>
      <c r="I355" s="24"/>
      <c r="J355" s="24"/>
      <c r="K355" s="24"/>
      <c r="L355" s="24"/>
      <c r="M355" s="24"/>
    </row>
    <row r="356" spans="1:21" x14ac:dyDescent="0.4">
      <c r="A356" s="195" t="s">
        <v>638</v>
      </c>
      <c r="B356" s="196"/>
      <c r="C356" s="196"/>
      <c r="D356" s="196"/>
      <c r="E356" s="196"/>
      <c r="F356" s="196"/>
      <c r="G356" s="196"/>
      <c r="H356" s="196"/>
      <c r="I356" s="196"/>
      <c r="J356" s="196"/>
      <c r="K356" s="196"/>
      <c r="L356" s="196"/>
      <c r="M356" s="196"/>
    </row>
    <row r="357" spans="1:21" x14ac:dyDescent="0.4">
      <c r="A357" s="170">
        <f ca="1">IFERROR(INDIRECT("fixtures!" &amp; Dashboard!J1 &amp;233) - Dashboard!K1/24,"TBC")</f>
        <v>44981.916666666664</v>
      </c>
      <c r="B357" s="105" t="s">
        <v>126</v>
      </c>
      <c r="C357" s="25"/>
      <c r="D357" s="105">
        <f>IF(ISBLANK(fixtures!$K233),"",fixtures!$K233)</f>
        <v>1</v>
      </c>
      <c r="E357" s="106" t="str">
        <f>IF(ISBLANK(fixtures!$L233),"",":")</f>
        <v>:</v>
      </c>
      <c r="F357" s="107">
        <f>IF(ISBLANK(fixtures!$L233),"",fixtures!$L233)</f>
        <v>1</v>
      </c>
      <c r="G357" s="25"/>
      <c r="H357" s="107" t="s">
        <v>16</v>
      </c>
      <c r="I357" s="107" t="s">
        <v>431</v>
      </c>
      <c r="J357" s="25"/>
      <c r="K357" s="25"/>
      <c r="L357" s="25"/>
      <c r="M357" s="25"/>
    </row>
    <row r="358" spans="1:21" x14ac:dyDescent="0.4">
      <c r="A358" s="195" t="s">
        <v>567</v>
      </c>
      <c r="B358" s="196"/>
      <c r="C358" s="196"/>
      <c r="D358" s="196"/>
      <c r="E358" s="196"/>
      <c r="F358" s="196"/>
      <c r="G358" s="196"/>
      <c r="H358" s="196"/>
      <c r="I358" s="196"/>
      <c r="J358" s="196"/>
      <c r="K358" s="196"/>
      <c r="L358" s="196"/>
      <c r="M358" s="196"/>
    </row>
    <row r="359" spans="1:21" x14ac:dyDescent="0.4">
      <c r="A359" s="170">
        <f ca="1">IFERROR(INDIRECT("fixtures!" &amp; Dashboard!J1 &amp;234) - Dashboard!K1/24,"TBC")</f>
        <v>44982.708333333336</v>
      </c>
      <c r="B359" s="105" t="s">
        <v>7</v>
      </c>
      <c r="C359" s="25"/>
      <c r="D359" s="105">
        <f>IF(ISBLANK(fixtures!$K234),"",fixtures!$K234)</f>
        <v>0</v>
      </c>
      <c r="E359" s="106" t="str">
        <f>IF(ISBLANK(fixtures!$L234),"",":")</f>
        <v>:</v>
      </c>
      <c r="F359" s="107">
        <f>IF(ISBLANK(fixtures!$L234),"",fixtures!$L234)</f>
        <v>2</v>
      </c>
      <c r="G359" s="25"/>
      <c r="H359" s="107" t="s">
        <v>2</v>
      </c>
      <c r="I359" s="107" t="s">
        <v>59</v>
      </c>
      <c r="J359" s="25"/>
      <c r="K359" s="25"/>
      <c r="L359" s="25"/>
      <c r="M359" s="25"/>
      <c r="N359" s="486"/>
      <c r="O359" s="486"/>
      <c r="P359" s="486"/>
      <c r="Q359" s="486"/>
      <c r="R359" s="486"/>
      <c r="S359" s="486"/>
      <c r="T359" s="486"/>
      <c r="U359" s="486"/>
    </row>
    <row r="360" spans="1:21" x14ac:dyDescent="0.4">
      <c r="A360" s="170">
        <f ca="1">IFERROR(INDIRECT("fixtures!" &amp; Dashboard!J1 &amp;235) - Dashboard!K1/24,"TBC")</f>
        <v>44982.708333333336</v>
      </c>
      <c r="B360" s="105" t="s">
        <v>139</v>
      </c>
      <c r="C360" s="25"/>
      <c r="D360" s="105">
        <f>IF(ISBLANK(fixtures!$K235),"",fixtures!$K235)</f>
        <v>1</v>
      </c>
      <c r="E360" s="106" t="str">
        <f>IF(ISBLANK(fixtures!$L235),"",":")</f>
        <v>:</v>
      </c>
      <c r="F360" s="107">
        <f>IF(ISBLANK(fixtures!$L235),"",fixtures!$L235)</f>
        <v>0</v>
      </c>
      <c r="G360" s="25"/>
      <c r="H360" s="107" t="s">
        <v>13</v>
      </c>
      <c r="I360" s="107" t="s">
        <v>140</v>
      </c>
      <c r="J360" s="25"/>
      <c r="K360" s="25"/>
      <c r="L360" s="25"/>
      <c r="M360" s="25"/>
    </row>
    <row r="361" spans="1:21" x14ac:dyDescent="0.4">
      <c r="A361" s="170">
        <f ca="1">IFERROR(INDIRECT("fixtures!" &amp; Dashboard!J1 &amp;236) - Dashboard!K1/24,"TBC")</f>
        <v>44982.708333333336</v>
      </c>
      <c r="B361" s="105" t="s">
        <v>8</v>
      </c>
      <c r="C361" s="25"/>
      <c r="D361" s="105">
        <f>IF(ISBLANK(fixtures!$K236),"",fixtures!$K236)</f>
        <v>0</v>
      </c>
      <c r="E361" s="106" t="str">
        <f>IF(ISBLANK(fixtures!$L236),"",":")</f>
        <v>:</v>
      </c>
      <c r="F361" s="107">
        <f>IF(ISBLANK(fixtures!$L236),"",fixtures!$L236)</f>
        <v>1</v>
      </c>
      <c r="G361" s="25"/>
      <c r="H361" s="107" t="s">
        <v>1</v>
      </c>
      <c r="I361" s="107" t="s">
        <v>54</v>
      </c>
      <c r="J361" s="25"/>
      <c r="K361" s="25"/>
      <c r="L361" s="25"/>
      <c r="M361" s="25"/>
    </row>
    <row r="362" spans="1:21" x14ac:dyDescent="0.4">
      <c r="A362" s="170">
        <f ca="1">IFERROR(INDIRECT("fixtures!" &amp; Dashboard!J1 &amp;237) - Dashboard!K1/24,"TBC")</f>
        <v>44982.708333333336</v>
      </c>
      <c r="B362" s="105" t="s">
        <v>15</v>
      </c>
      <c r="C362" s="25"/>
      <c r="D362" s="105">
        <f>IF(ISBLANK(fixtures!$K237),"",fixtures!$K237)</f>
        <v>4</v>
      </c>
      <c r="E362" s="106" t="str">
        <f>IF(ISBLANK(fixtures!$L237),"",":")</f>
        <v>:</v>
      </c>
      <c r="F362" s="107">
        <f>IF(ISBLANK(fixtures!$L237),"",fixtures!$L237)</f>
        <v>0</v>
      </c>
      <c r="G362" s="25"/>
      <c r="H362" s="107" t="s">
        <v>204</v>
      </c>
      <c r="I362" s="107" t="s">
        <v>50</v>
      </c>
      <c r="J362" s="25"/>
      <c r="K362" s="25"/>
      <c r="L362" s="25"/>
      <c r="M362" s="25"/>
    </row>
    <row r="363" spans="1:21" x14ac:dyDescent="0.4">
      <c r="A363" s="170">
        <f ca="1">IFERROR(INDIRECT("fixtures!" &amp; Dashboard!J1 &amp;238) - Dashboard!K1/24,"TBC")</f>
        <v>44982.8125</v>
      </c>
      <c r="B363" s="105" t="s">
        <v>3</v>
      </c>
      <c r="C363" s="25"/>
      <c r="D363" s="105">
        <f>IF(ISBLANK(fixtures!$K238),"",fixtures!$K238)</f>
        <v>1</v>
      </c>
      <c r="E363" s="106" t="str">
        <f>IF(ISBLANK(fixtures!$L238),"",":")</f>
        <v>:</v>
      </c>
      <c r="F363" s="107">
        <f>IF(ISBLANK(fixtures!$L238),"",fixtures!$L238)</f>
        <v>4</v>
      </c>
      <c r="G363" s="25"/>
      <c r="H363" s="107" t="s">
        <v>10</v>
      </c>
      <c r="I363" s="107" t="s">
        <v>51</v>
      </c>
      <c r="J363" s="25"/>
      <c r="K363" s="25"/>
      <c r="L363" s="25"/>
      <c r="M363" s="25"/>
    </row>
    <row r="364" spans="1:21" x14ac:dyDescent="0.4">
      <c r="A364" s="170">
        <f ca="1">IFERROR(INDIRECT("fixtures!" &amp; Dashboard!J1 &amp;239) - Dashboard!K1/24,"TBC")</f>
        <v>44982.90625</v>
      </c>
      <c r="B364" s="105" t="s">
        <v>6</v>
      </c>
      <c r="C364" s="25"/>
      <c r="D364" s="105">
        <f>IF(ISBLANK(fixtures!$K239),"",fixtures!$K239)</f>
        <v>0</v>
      </c>
      <c r="E364" s="106" t="str">
        <f>IF(ISBLANK(fixtures!$L239),"",":")</f>
        <v>:</v>
      </c>
      <c r="F364" s="107">
        <f>IF(ISBLANK(fixtures!$L239),"",fixtures!$L239)</f>
        <v>0</v>
      </c>
      <c r="G364" s="25"/>
      <c r="H364" s="107" t="s">
        <v>9</v>
      </c>
      <c r="I364" s="107" t="s">
        <v>52</v>
      </c>
      <c r="J364" s="25"/>
      <c r="K364" s="25"/>
      <c r="L364" s="25"/>
      <c r="M364" s="25"/>
      <c r="N364" s="486"/>
      <c r="O364" s="486"/>
      <c r="P364" s="486"/>
      <c r="Q364" s="486"/>
      <c r="R364" s="486"/>
      <c r="S364" s="486"/>
      <c r="T364" s="486"/>
      <c r="U364" s="486"/>
    </row>
    <row r="365" spans="1:21" x14ac:dyDescent="0.4">
      <c r="A365" s="195" t="s">
        <v>639</v>
      </c>
      <c r="B365" s="196"/>
      <c r="C365" s="196"/>
      <c r="D365" s="196"/>
      <c r="E365" s="196"/>
      <c r="F365" s="196"/>
      <c r="G365" s="196"/>
      <c r="H365" s="196"/>
      <c r="I365" s="196"/>
      <c r="J365" s="196"/>
      <c r="K365" s="196"/>
      <c r="L365" s="196"/>
      <c r="M365" s="196"/>
    </row>
    <row r="366" spans="1:21" x14ac:dyDescent="0.4">
      <c r="A366" s="170">
        <f ca="1">IFERROR(INDIRECT("fixtures!" &amp; Dashboard!J1 &amp;240) - Dashboard!K1/24,"TBC")</f>
        <v>44983.645833333336</v>
      </c>
      <c r="B366" s="105" t="s">
        <v>14</v>
      </c>
      <c r="C366" s="25"/>
      <c r="D366" s="105">
        <f>IF(ISBLANK(fixtures!$K240),"",fixtures!$K240)</f>
        <v>2</v>
      </c>
      <c r="E366" s="106" t="str">
        <f>IF(ISBLANK(fixtures!$L240),"",":")</f>
        <v>:</v>
      </c>
      <c r="F366" s="107">
        <f>IF(ISBLANK(fixtures!$L240),"",fixtures!$L240)</f>
        <v>0</v>
      </c>
      <c r="G366" s="25"/>
      <c r="H366" s="107" t="s">
        <v>5</v>
      </c>
      <c r="I366" s="107" t="s">
        <v>53</v>
      </c>
      <c r="J366" s="25"/>
      <c r="K366" s="25"/>
      <c r="L366" s="25"/>
      <c r="M366" s="25"/>
      <c r="N366" s="486"/>
      <c r="O366" s="486"/>
      <c r="P366" s="486"/>
      <c r="Q366" s="486"/>
      <c r="R366" s="486"/>
      <c r="S366" s="486"/>
      <c r="T366" s="486"/>
      <c r="U366" s="486"/>
    </row>
    <row r="367" spans="1:21" x14ac:dyDescent="0.4">
      <c r="A367" s="108" t="str">
        <f>"Time Zone: " &amp; Dashboard!D1</f>
        <v>Time Zone: Europe Western</v>
      </c>
      <c r="B367" s="25"/>
      <c r="C367" s="25"/>
      <c r="D367" s="25"/>
      <c r="E367" s="25"/>
      <c r="F367" s="25"/>
      <c r="G367" s="25"/>
      <c r="H367" s="25"/>
      <c r="I367" s="454" t="s">
        <v>592</v>
      </c>
      <c r="J367" s="25"/>
      <c r="K367" s="25"/>
      <c r="L367" s="25"/>
      <c r="M367" s="25"/>
    </row>
    <row r="368" spans="1:21" ht="31.5" x14ac:dyDescent="0.5">
      <c r="A368" s="33"/>
      <c r="B368" s="33"/>
      <c r="C368" s="33"/>
      <c r="D368" s="33"/>
      <c r="E368" s="33"/>
      <c r="F368" s="33"/>
      <c r="G368" s="33"/>
      <c r="H368" s="119" t="s">
        <v>629</v>
      </c>
      <c r="I368" s="33"/>
      <c r="J368" s="33"/>
      <c r="K368" s="33"/>
      <c r="L368" s="33"/>
      <c r="M368" s="33"/>
    </row>
    <row r="369" spans="1:21" x14ac:dyDescent="0.4">
      <c r="A369" s="201" t="s">
        <v>651</v>
      </c>
      <c r="B369" s="202"/>
      <c r="C369" s="202"/>
      <c r="D369" s="202"/>
      <c r="E369" s="202"/>
      <c r="F369" s="202"/>
      <c r="G369" s="202"/>
      <c r="H369" s="202"/>
      <c r="I369" s="202"/>
      <c r="J369" s="202"/>
      <c r="K369" s="202"/>
      <c r="L369" s="202"/>
      <c r="M369" s="202"/>
    </row>
    <row r="370" spans="1:21" x14ac:dyDescent="0.4">
      <c r="A370" s="173">
        <f ca="1">IFERROR(INDIRECT("fixtures!" &amp; Dashboard!J1 &amp;241) - Dashboard!K1/24,"TBC")</f>
        <v>44986.90625</v>
      </c>
      <c r="B370" s="120" t="s">
        <v>1</v>
      </c>
      <c r="C370" s="34"/>
      <c r="D370" s="120">
        <f>IF(ISBLANK(fixtures!$K241),"",fixtures!$K241)</f>
        <v>4</v>
      </c>
      <c r="E370" s="121" t="str">
        <f>IF(ISBLANK(fixtures!$L241),"",":")</f>
        <v>:</v>
      </c>
      <c r="F370" s="122">
        <f>IF(ISBLANK(fixtures!$L241),"",fixtures!$L241)</f>
        <v>0</v>
      </c>
      <c r="G370" s="34"/>
      <c r="H370" s="122" t="s">
        <v>7</v>
      </c>
      <c r="I370" s="122" t="s">
        <v>57</v>
      </c>
      <c r="J370" s="34"/>
      <c r="K370" s="34"/>
      <c r="L370" s="34"/>
      <c r="M370" s="34"/>
    </row>
    <row r="371" spans="1:21" x14ac:dyDescent="0.4">
      <c r="A371" s="173">
        <f ca="1">IFERROR(INDIRECT("fixtures!" &amp; Dashboard!J1 &amp;242) - Dashboard!K1/24,"TBC")</f>
        <v>44986.916666666664</v>
      </c>
      <c r="B371" s="120" t="s">
        <v>9</v>
      </c>
      <c r="C371" s="34"/>
      <c r="D371" s="120">
        <f>IF(ISBLANK(fixtures!$K242),"",fixtures!$K242)</f>
        <v>2</v>
      </c>
      <c r="E371" s="121" t="str">
        <f>IF(ISBLANK(fixtures!$L242),"",":")</f>
        <v>:</v>
      </c>
      <c r="F371" s="122">
        <f>IF(ISBLANK(fixtures!$L242),"",fixtures!$L242)</f>
        <v>0</v>
      </c>
      <c r="G371" s="34"/>
      <c r="H371" s="122" t="s">
        <v>16</v>
      </c>
      <c r="I371" s="122" t="s">
        <v>48</v>
      </c>
      <c r="J371" s="34"/>
      <c r="K371" s="34"/>
      <c r="L371" s="34"/>
      <c r="M371" s="34"/>
    </row>
    <row r="372" spans="1:21" x14ac:dyDescent="0.4">
      <c r="A372" s="123" t="str">
        <f>"Time Zone: " &amp; Dashboard!D1</f>
        <v>Time Zone: Europe Western</v>
      </c>
      <c r="B372" s="34"/>
      <c r="C372" s="34"/>
      <c r="D372" s="34"/>
      <c r="E372" s="34"/>
      <c r="F372" s="34"/>
      <c r="G372" s="34"/>
      <c r="H372" s="34"/>
      <c r="I372" s="455" t="s">
        <v>592</v>
      </c>
      <c r="J372" s="34"/>
      <c r="K372" s="34"/>
      <c r="L372" s="34"/>
      <c r="M372" s="34"/>
    </row>
    <row r="373" spans="1:21" ht="31.5" x14ac:dyDescent="0.5">
      <c r="A373" s="35"/>
      <c r="B373" s="35"/>
      <c r="C373" s="35"/>
      <c r="D373" s="35"/>
      <c r="E373" s="35"/>
      <c r="F373" s="35"/>
      <c r="G373" s="35"/>
      <c r="H373" s="124" t="s">
        <v>88</v>
      </c>
      <c r="I373" s="35"/>
      <c r="J373" s="35"/>
      <c r="K373" s="35"/>
      <c r="L373" s="35"/>
      <c r="M373" s="35"/>
    </row>
    <row r="374" spans="1:21" x14ac:dyDescent="0.4">
      <c r="A374" s="203" t="s">
        <v>568</v>
      </c>
      <c r="B374" s="204"/>
      <c r="C374" s="204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486"/>
      <c r="O374" s="486"/>
      <c r="P374" s="486"/>
      <c r="Q374" s="486"/>
      <c r="R374" s="486"/>
      <c r="S374" s="486"/>
      <c r="T374" s="486"/>
      <c r="U374" s="486"/>
    </row>
    <row r="375" spans="1:21" x14ac:dyDescent="0.4">
      <c r="A375" s="174">
        <f ca="1">IFERROR(INDIRECT("fixtures!" &amp; Dashboard!J1 &amp;243) - Dashboard!K1/24,"TBC")</f>
        <v>44989.604166666664</v>
      </c>
      <c r="B375" s="125" t="s">
        <v>10</v>
      </c>
      <c r="C375" s="36"/>
      <c r="D375" s="125">
        <f>IF(ISBLANK(fixtures!$K243),"",fixtures!$K243)</f>
        <v>2</v>
      </c>
      <c r="E375" s="126" t="str">
        <f>IF(ISBLANK(fixtures!$L243),"",":")</f>
        <v>:</v>
      </c>
      <c r="F375" s="127">
        <f>IF(ISBLANK(fixtures!$L243),"",fixtures!$L243)</f>
        <v>0</v>
      </c>
      <c r="G375" s="36"/>
      <c r="H375" s="127" t="s">
        <v>12</v>
      </c>
      <c r="I375" s="127" t="s">
        <v>61</v>
      </c>
      <c r="J375" s="36"/>
      <c r="K375" s="36"/>
      <c r="L375" s="36"/>
      <c r="M375" s="36"/>
    </row>
    <row r="376" spans="1:21" x14ac:dyDescent="0.4">
      <c r="A376" s="174">
        <f ca="1">IFERROR(INDIRECT("fixtures!" &amp; Dashboard!J1 &amp;244) - Dashboard!K1/24,"TBC")</f>
        <v>44989.708333333336</v>
      </c>
      <c r="B376" s="125" t="s">
        <v>1</v>
      </c>
      <c r="C376" s="36"/>
      <c r="D376" s="125">
        <f>IF(ISBLANK(fixtures!$K244),"",fixtures!$K244)</f>
        <v>3</v>
      </c>
      <c r="E376" s="126" t="str">
        <f>IF(ISBLANK(fixtures!$L244),"",":")</f>
        <v>:</v>
      </c>
      <c r="F376" s="127">
        <f>IF(ISBLANK(fixtures!$L244),"",fixtures!$L244)</f>
        <v>2</v>
      </c>
      <c r="G376" s="36"/>
      <c r="H376" s="127" t="s">
        <v>3</v>
      </c>
      <c r="I376" s="127" t="s">
        <v>57</v>
      </c>
      <c r="J376" s="36"/>
      <c r="K376" s="36"/>
      <c r="L376" s="36"/>
      <c r="M376" s="36"/>
    </row>
    <row r="377" spans="1:21" x14ac:dyDescent="0.4">
      <c r="A377" s="174">
        <f ca="1">IFERROR(INDIRECT("fixtures!" &amp; Dashboard!J1 &amp;245) - Dashboard!K1/24,"TBC")</f>
        <v>44989.708333333336</v>
      </c>
      <c r="B377" s="125" t="s">
        <v>2</v>
      </c>
      <c r="C377" s="36"/>
      <c r="D377" s="125">
        <f>IF(ISBLANK(fixtures!$K245),"",fixtures!$K245)</f>
        <v>1</v>
      </c>
      <c r="E377" s="126" t="str">
        <f>IF(ISBLANK(fixtures!$L245),"",":")</f>
        <v>:</v>
      </c>
      <c r="F377" s="127">
        <f>IF(ISBLANK(fixtures!$L245),"",fixtures!$L245)</f>
        <v>0</v>
      </c>
      <c r="G377" s="36"/>
      <c r="H377" s="127" t="s">
        <v>6</v>
      </c>
      <c r="I377" s="127" t="s">
        <v>58</v>
      </c>
      <c r="J377" s="36"/>
      <c r="K377" s="36"/>
      <c r="L377" s="36"/>
      <c r="M377" s="36"/>
    </row>
    <row r="378" spans="1:21" x14ac:dyDescent="0.4">
      <c r="A378" s="174">
        <f ca="1">IFERROR(INDIRECT("fixtures!" &amp; Dashboard!J1 &amp;246) - Dashboard!K1/24,"TBC")</f>
        <v>44989.708333333336</v>
      </c>
      <c r="B378" s="125" t="s">
        <v>4</v>
      </c>
      <c r="C378" s="36"/>
      <c r="D378" s="125">
        <f>IF(ISBLANK(fixtures!$K246),"",fixtures!$K246)</f>
        <v>4</v>
      </c>
      <c r="E378" s="126" t="str">
        <f>IF(ISBLANK(fixtures!$L246),"",":")</f>
        <v>:</v>
      </c>
      <c r="F378" s="127">
        <f>IF(ISBLANK(fixtures!$L246),"",fixtures!$L246)</f>
        <v>0</v>
      </c>
      <c r="G378" s="36"/>
      <c r="H378" s="127" t="s">
        <v>15</v>
      </c>
      <c r="I378" s="127" t="s">
        <v>151</v>
      </c>
      <c r="J378" s="36"/>
      <c r="K378" s="36"/>
      <c r="L378" s="36"/>
      <c r="M378" s="36"/>
    </row>
    <row r="379" spans="1:21" x14ac:dyDescent="0.4">
      <c r="A379" s="174">
        <f ca="1">IFERROR(INDIRECT("fixtures!" &amp; Dashboard!J1 &amp;247) - Dashboard!K1/24,"TBC")</f>
        <v>44989.708333333336</v>
      </c>
      <c r="B379" s="125" t="s">
        <v>5</v>
      </c>
      <c r="C379" s="36"/>
      <c r="D379" s="125">
        <f>IF(ISBLANK(fixtures!$K247),"",fixtures!$K247)</f>
        <v>1</v>
      </c>
      <c r="E379" s="126" t="str">
        <f>IF(ISBLANK(fixtures!$L247),"",":")</f>
        <v>:</v>
      </c>
      <c r="F379" s="127">
        <f>IF(ISBLANK(fixtures!$L247),"",fixtures!$L247)</f>
        <v>0</v>
      </c>
      <c r="G379" s="36"/>
      <c r="H379" s="127" t="s">
        <v>139</v>
      </c>
      <c r="I379" s="127" t="s">
        <v>62</v>
      </c>
      <c r="J379" s="36"/>
      <c r="K379" s="36"/>
      <c r="L379" s="36"/>
      <c r="M379" s="36"/>
      <c r="N379" s="486"/>
      <c r="O379" s="486"/>
      <c r="P379" s="486"/>
      <c r="Q379" s="486"/>
      <c r="R379" s="486"/>
      <c r="S379" s="486"/>
      <c r="T379" s="486"/>
      <c r="U379" s="486"/>
    </row>
    <row r="380" spans="1:21" x14ac:dyDescent="0.4">
      <c r="A380" s="174">
        <f ca="1">IFERROR(INDIRECT("fixtures!" &amp; Dashboard!J1 &amp;248) - Dashboard!K1/24,"TBC")</f>
        <v>44989.708333333336</v>
      </c>
      <c r="B380" s="125" t="s">
        <v>16</v>
      </c>
      <c r="C380" s="36"/>
      <c r="D380" s="125">
        <f>IF(ISBLANK(fixtures!$K248),"",fixtures!$K248)</f>
        <v>1</v>
      </c>
      <c r="E380" s="126" t="str">
        <f>IF(ISBLANK(fixtures!$L248),"",":")</f>
        <v>:</v>
      </c>
      <c r="F380" s="127">
        <f>IF(ISBLANK(fixtures!$L248),"",fixtures!$L248)</f>
        <v>0</v>
      </c>
      <c r="G380" s="36"/>
      <c r="H380" s="127" t="s">
        <v>14</v>
      </c>
      <c r="I380" s="127" t="s">
        <v>63</v>
      </c>
      <c r="J380" s="36"/>
      <c r="K380" s="36"/>
      <c r="L380" s="36"/>
      <c r="M380" s="36"/>
    </row>
    <row r="381" spans="1:21" x14ac:dyDescent="0.4">
      <c r="A381" s="174">
        <f ca="1">IFERROR(INDIRECT("fixtures!" &amp; Dashboard!J1 &amp;249) - Dashboard!K1/24,"TBC")</f>
        <v>44989.8125</v>
      </c>
      <c r="B381" s="125" t="s">
        <v>13</v>
      </c>
      <c r="C381" s="36"/>
      <c r="D381" s="125">
        <f>IF(ISBLANK(fixtures!$K249),"",fixtures!$K249)</f>
        <v>1</v>
      </c>
      <c r="E381" s="126" t="str">
        <f>IF(ISBLANK(fixtures!$L249),"",":")</f>
        <v>:</v>
      </c>
      <c r="F381" s="127">
        <f>IF(ISBLANK(fixtures!$L249),"",fixtures!$L249)</f>
        <v>0</v>
      </c>
      <c r="G381" s="36"/>
      <c r="H381" s="127" t="s">
        <v>8</v>
      </c>
      <c r="I381" s="127" t="s">
        <v>60</v>
      </c>
      <c r="J381" s="36"/>
      <c r="K381" s="36"/>
      <c r="L381" s="36"/>
      <c r="M381" s="36"/>
    </row>
    <row r="382" spans="1:21" x14ac:dyDescent="0.4">
      <c r="A382" s="203" t="s">
        <v>646</v>
      </c>
      <c r="B382" s="204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</row>
    <row r="383" spans="1:21" x14ac:dyDescent="0.4">
      <c r="A383" s="174">
        <f ca="1">IFERROR(INDIRECT("fixtures!" &amp; Dashboard!J1 &amp;250) - Dashboard!K1/24,"TBC")</f>
        <v>44990.666666666664</v>
      </c>
      <c r="B383" s="125" t="s">
        <v>204</v>
      </c>
      <c r="C383" s="36"/>
      <c r="D383" s="125">
        <f>IF(ISBLANK(fixtures!$K250),"",fixtures!$K250)</f>
        <v>2</v>
      </c>
      <c r="E383" s="126" t="str">
        <f>IF(ISBLANK(fixtures!$L250),"",":")</f>
        <v>:</v>
      </c>
      <c r="F383" s="127">
        <f>IF(ISBLANK(fixtures!$L250),"",fixtures!$L250)</f>
        <v>2</v>
      </c>
      <c r="G383" s="36"/>
      <c r="H383" s="127" t="s">
        <v>7</v>
      </c>
      <c r="I383" s="127" t="s">
        <v>436</v>
      </c>
      <c r="J383" s="36"/>
      <c r="K383" s="36"/>
      <c r="L383" s="36"/>
      <c r="M383" s="36"/>
    </row>
    <row r="384" spans="1:21" x14ac:dyDescent="0.4">
      <c r="A384" s="174">
        <f ca="1">IFERROR(INDIRECT("fixtures!" &amp; Dashboard!J1 &amp;251) - Dashboard!K1/24,"TBC")</f>
        <v>44990.770833333336</v>
      </c>
      <c r="B384" s="125" t="s">
        <v>9</v>
      </c>
      <c r="C384" s="36"/>
      <c r="D384" s="125">
        <f>IF(ISBLANK(fixtures!$K251),"",fixtures!$K251)</f>
        <v>7</v>
      </c>
      <c r="E384" s="126" t="str">
        <f>IF(ISBLANK(fixtures!$L251),"",":")</f>
        <v>:</v>
      </c>
      <c r="F384" s="127">
        <f>IF(ISBLANK(fixtures!$L251),"",fixtures!$L251)</f>
        <v>0</v>
      </c>
      <c r="G384" s="36"/>
      <c r="H384" s="127" t="s">
        <v>11</v>
      </c>
      <c r="I384" s="127" t="s">
        <v>48</v>
      </c>
      <c r="J384" s="36"/>
      <c r="K384" s="36"/>
      <c r="L384" s="36"/>
      <c r="M384" s="36"/>
    </row>
    <row r="385" spans="1:21" x14ac:dyDescent="0.4">
      <c r="A385" s="203" t="s">
        <v>647</v>
      </c>
      <c r="B385" s="204"/>
      <c r="C385" s="204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</row>
    <row r="386" spans="1:21" x14ac:dyDescent="0.4">
      <c r="A386" s="174">
        <f ca="1">IFERROR(INDIRECT("fixtures!" &amp; Dashboard!J1 &amp;252) - Dashboard!K1/24,"TBC")</f>
        <v>44991.916666666664</v>
      </c>
      <c r="B386" s="125" t="s">
        <v>125</v>
      </c>
      <c r="C386" s="36"/>
      <c r="D386" s="125">
        <f>IF(ISBLANK(fixtures!$K252),"",fixtures!$K252)</f>
        <v>3</v>
      </c>
      <c r="E386" s="126" t="str">
        <f>IF(ISBLANK(fixtures!$L252),"",":")</f>
        <v>:</v>
      </c>
      <c r="F386" s="127">
        <f>IF(ISBLANK(fixtures!$L252),"",fixtures!$L252)</f>
        <v>2</v>
      </c>
      <c r="G386" s="36"/>
      <c r="H386" s="127" t="s">
        <v>126</v>
      </c>
      <c r="I386" s="127" t="s">
        <v>593</v>
      </c>
      <c r="J386" s="36"/>
      <c r="K386" s="36"/>
      <c r="L386" s="36"/>
      <c r="M386" s="36"/>
    </row>
    <row r="387" spans="1:21" x14ac:dyDescent="0.4">
      <c r="A387" s="128" t="str">
        <f>"Time Zone: " &amp; Dashboard!D1</f>
        <v>Time Zone: Europe Western</v>
      </c>
      <c r="B387" s="36"/>
      <c r="C387" s="36"/>
      <c r="D387" s="36"/>
      <c r="E387" s="36"/>
      <c r="F387" s="36"/>
      <c r="G387" s="36"/>
      <c r="H387" s="36"/>
      <c r="I387" s="456" t="s">
        <v>592</v>
      </c>
      <c r="J387" s="36"/>
      <c r="K387" s="36"/>
      <c r="L387" s="36"/>
      <c r="M387" s="36"/>
    </row>
    <row r="388" spans="1:21" ht="31.5" x14ac:dyDescent="0.5">
      <c r="A388" s="5"/>
      <c r="B388" s="5"/>
      <c r="C388" s="5"/>
      <c r="D388" s="5"/>
      <c r="E388" s="5"/>
      <c r="F388" s="5"/>
      <c r="G388" s="5"/>
      <c r="H388" s="90" t="s">
        <v>89</v>
      </c>
      <c r="I388" s="5"/>
      <c r="J388" s="5"/>
      <c r="K388" s="5"/>
      <c r="L388" s="5"/>
      <c r="M388" s="5"/>
    </row>
    <row r="389" spans="1:21" x14ac:dyDescent="0.4">
      <c r="A389" s="187" t="s">
        <v>569</v>
      </c>
      <c r="B389" s="188"/>
      <c r="C389" s="188"/>
      <c r="D389" s="188"/>
      <c r="E389" s="188"/>
      <c r="F389" s="188"/>
      <c r="G389" s="188"/>
      <c r="H389" s="188"/>
      <c r="I389" s="188"/>
      <c r="J389" s="188"/>
      <c r="K389" s="188"/>
      <c r="L389" s="188"/>
      <c r="M389" s="188"/>
    </row>
    <row r="390" spans="1:21" x14ac:dyDescent="0.4">
      <c r="A390" s="167">
        <f ca="1">IFERROR(INDIRECT("fixtures!" &amp; Dashboard!J1 &amp;253) - Dashboard!K1/24,"TBC")</f>
        <v>44996.604166666664</v>
      </c>
      <c r="B390" s="91" t="s">
        <v>3</v>
      </c>
      <c r="C390" s="6"/>
      <c r="D390" s="91">
        <f>IF(ISBLANK(fixtures!$K253),"",fixtures!$K253)</f>
        <v>1</v>
      </c>
      <c r="E390" s="92" t="str">
        <f>IF(ISBLANK(fixtures!$L253),"",":")</f>
        <v>:</v>
      </c>
      <c r="F390" s="93">
        <f>IF(ISBLANK(fixtures!$L253),"",fixtures!$L253)</f>
        <v>0</v>
      </c>
      <c r="G390" s="6"/>
      <c r="H390" s="93" t="s">
        <v>9</v>
      </c>
      <c r="I390" s="93" t="s">
        <v>51</v>
      </c>
      <c r="J390" s="6"/>
      <c r="K390" s="6"/>
      <c r="L390" s="6"/>
      <c r="M390" s="6"/>
    </row>
    <row r="391" spans="1:21" x14ac:dyDescent="0.4">
      <c r="A391" s="167">
        <f ca="1">IFERROR(INDIRECT("fixtures!" &amp; Dashboard!J1 &amp;254) - Dashboard!K1/24,"TBC")</f>
        <v>44996.708333333336</v>
      </c>
      <c r="B391" s="91" t="s">
        <v>7</v>
      </c>
      <c r="C391" s="6"/>
      <c r="D391" s="91">
        <f>IF(ISBLANK(fixtures!$K254),"",fixtures!$K254)</f>
        <v>1</v>
      </c>
      <c r="E391" s="92" t="str">
        <f>IF(ISBLANK(fixtures!$L254),"",":")</f>
        <v>:</v>
      </c>
      <c r="F391" s="93">
        <f>IF(ISBLANK(fixtures!$L254),"",fixtures!$L254)</f>
        <v>0</v>
      </c>
      <c r="G391" s="6"/>
      <c r="H391" s="93" t="s">
        <v>125</v>
      </c>
      <c r="I391" s="93" t="s">
        <v>59</v>
      </c>
      <c r="J391" s="6"/>
      <c r="K391" s="6"/>
      <c r="L391" s="6"/>
      <c r="M391" s="6"/>
    </row>
    <row r="392" spans="1:21" x14ac:dyDescent="0.4">
      <c r="A392" s="167">
        <f ca="1">IFERROR(INDIRECT("fixtures!" &amp; Dashboard!J1 &amp;255) - Dashboard!K1/24,"TBC")</f>
        <v>44996.708333333336</v>
      </c>
      <c r="B392" s="91" t="s">
        <v>139</v>
      </c>
      <c r="C392" s="6"/>
      <c r="D392" s="91">
        <f>IF(ISBLANK(fixtures!$K255),"",fixtures!$K255)</f>
        <v>2</v>
      </c>
      <c r="E392" s="92" t="str">
        <f>IF(ISBLANK(fixtures!$L255),"",":")</f>
        <v>:</v>
      </c>
      <c r="F392" s="93">
        <f>IF(ISBLANK(fixtures!$L255),"",fixtures!$L255)</f>
        <v>2</v>
      </c>
      <c r="G392" s="6"/>
      <c r="H392" s="93" t="s">
        <v>4</v>
      </c>
      <c r="I392" s="93" t="s">
        <v>140</v>
      </c>
      <c r="J392" s="6"/>
      <c r="K392" s="6"/>
      <c r="L392" s="6"/>
      <c r="M392" s="6"/>
      <c r="N392" s="486"/>
      <c r="O392" s="486"/>
      <c r="P392" s="486"/>
      <c r="Q392" s="486"/>
      <c r="R392" s="486"/>
      <c r="S392" s="486"/>
      <c r="T392" s="486"/>
      <c r="U392" s="486"/>
    </row>
    <row r="393" spans="1:21" x14ac:dyDescent="0.4">
      <c r="A393" s="167">
        <f ca="1">IFERROR(INDIRECT("fixtures!" &amp; Dashboard!J1 &amp;256) - Dashboard!K1/24,"TBC")</f>
        <v>44996.708333333336</v>
      </c>
      <c r="B393" s="91" t="s">
        <v>8</v>
      </c>
      <c r="C393" s="6"/>
      <c r="D393" s="91">
        <f>IF(ISBLANK(fixtures!$K256),"",fixtures!$K256)</f>
        <v>1</v>
      </c>
      <c r="E393" s="92" t="str">
        <f>IF(ISBLANK(fixtures!$L256),"",":")</f>
        <v>:</v>
      </c>
      <c r="F393" s="93">
        <f>IF(ISBLANK(fixtures!$L256),"",fixtures!$L256)</f>
        <v>3</v>
      </c>
      <c r="G393" s="6"/>
      <c r="H393" s="93" t="s">
        <v>5</v>
      </c>
      <c r="I393" s="93" t="s">
        <v>54</v>
      </c>
      <c r="J393" s="6"/>
      <c r="K393" s="6"/>
      <c r="L393" s="6"/>
      <c r="M393" s="6"/>
    </row>
    <row r="394" spans="1:21" x14ac:dyDescent="0.4">
      <c r="A394" s="167">
        <f ca="1">IFERROR(INDIRECT("fixtures!" &amp; Dashboard!J1 &amp;257) - Dashboard!K1/24,"TBC")</f>
        <v>44996.708333333336</v>
      </c>
      <c r="B394" s="91" t="s">
        <v>14</v>
      </c>
      <c r="C394" s="6"/>
      <c r="D394" s="91">
        <f>IF(ISBLANK(fixtures!$K257),"",fixtures!$K257)</f>
        <v>3</v>
      </c>
      <c r="E394" s="92" t="str">
        <f>IF(ISBLANK(fixtures!$L257),"",":")</f>
        <v>:</v>
      </c>
      <c r="F394" s="93">
        <f>IF(ISBLANK(fixtures!$L257),"",fixtures!$L257)</f>
        <v>1</v>
      </c>
      <c r="G394" s="6"/>
      <c r="H394" s="93" t="s">
        <v>204</v>
      </c>
      <c r="I394" s="93" t="s">
        <v>53</v>
      </c>
      <c r="J394" s="6"/>
      <c r="K394" s="6"/>
      <c r="L394" s="6"/>
      <c r="M394" s="6"/>
    </row>
    <row r="395" spans="1:21" x14ac:dyDescent="0.4">
      <c r="A395" s="167">
        <f ca="1">IFERROR(INDIRECT("fixtures!" &amp; Dashboard!J1 &amp;258) - Dashboard!K1/24,"TBC")</f>
        <v>44996.8125</v>
      </c>
      <c r="B395" s="91" t="s">
        <v>6</v>
      </c>
      <c r="C395" s="6"/>
      <c r="D395" s="91">
        <f>IF(ISBLANK(fixtures!$K258),"",fixtures!$K258)</f>
        <v>0</v>
      </c>
      <c r="E395" s="92" t="str">
        <f>IF(ISBLANK(fixtures!$L258),"",":")</f>
        <v>:</v>
      </c>
      <c r="F395" s="93">
        <f>IF(ISBLANK(fixtures!$L258),"",fixtures!$L258)</f>
        <v>1</v>
      </c>
      <c r="G395" s="6"/>
      <c r="H395" s="93" t="s">
        <v>10</v>
      </c>
      <c r="I395" s="93" t="s">
        <v>52</v>
      </c>
      <c r="J395" s="6"/>
      <c r="K395" s="6"/>
      <c r="L395" s="6"/>
      <c r="M395" s="6"/>
    </row>
    <row r="396" spans="1:21" x14ac:dyDescent="0.4">
      <c r="A396" s="187" t="s">
        <v>648</v>
      </c>
      <c r="B396" s="188"/>
      <c r="C396" s="188"/>
      <c r="D396" s="188"/>
      <c r="E396" s="188"/>
      <c r="F396" s="188"/>
      <c r="G396" s="188"/>
      <c r="H396" s="188"/>
      <c r="I396" s="188"/>
      <c r="J396" s="188"/>
      <c r="K396" s="188"/>
      <c r="L396" s="188"/>
      <c r="M396" s="188"/>
    </row>
    <row r="397" spans="1:21" x14ac:dyDescent="0.4">
      <c r="A397" s="167">
        <f ca="1">IFERROR(INDIRECT("fixtures!" &amp; Dashboard!J1 &amp;259) - Dashboard!K1/24,"TBC")</f>
        <v>44997.666666666664</v>
      </c>
      <c r="B397" s="91" t="s">
        <v>126</v>
      </c>
      <c r="C397" s="6"/>
      <c r="D397" s="91">
        <f>IF(ISBLANK(fixtures!$K259),"",fixtures!$K259)</f>
        <v>0</v>
      </c>
      <c r="E397" s="92" t="str">
        <f>IF(ISBLANK(fixtures!$L259),"",":")</f>
        <v>:</v>
      </c>
      <c r="F397" s="93">
        <f>IF(ISBLANK(fixtures!$L259),"",fixtures!$L259)</f>
        <v>3</v>
      </c>
      <c r="G397" s="6"/>
      <c r="H397" s="93" t="s">
        <v>1</v>
      </c>
      <c r="I397" s="93" t="s">
        <v>431</v>
      </c>
      <c r="J397" s="6"/>
      <c r="K397" s="6"/>
      <c r="L397" s="6"/>
      <c r="M397" s="6"/>
    </row>
    <row r="398" spans="1:21" x14ac:dyDescent="0.4">
      <c r="A398" s="167">
        <f ca="1">IFERROR(INDIRECT("fixtures!" &amp; Dashboard!J1 &amp;260) - Dashboard!K1/24,"TBC")</f>
        <v>44997.666666666664</v>
      </c>
      <c r="B398" s="91" t="s">
        <v>11</v>
      </c>
      <c r="C398" s="6"/>
      <c r="D398" s="91">
        <f>IF(ISBLANK(fixtures!$K260),"",fixtures!$K260)</f>
        <v>0</v>
      </c>
      <c r="E398" s="92" t="str">
        <f>IF(ISBLANK(fixtures!$L260),"",":")</f>
        <v>:</v>
      </c>
      <c r="F398" s="93">
        <f>IF(ISBLANK(fixtures!$L260),"",fixtures!$L260)</f>
        <v>0</v>
      </c>
      <c r="G398" s="6"/>
      <c r="H398" s="93" t="s">
        <v>13</v>
      </c>
      <c r="I398" s="93" t="s">
        <v>56</v>
      </c>
      <c r="J398" s="6"/>
      <c r="K398" s="6"/>
      <c r="L398" s="6"/>
      <c r="M398" s="6"/>
    </row>
    <row r="399" spans="1:21" x14ac:dyDescent="0.4">
      <c r="A399" s="167">
        <f ca="1">IFERROR(INDIRECT("fixtures!" &amp; Dashboard!J1 &amp;261) - Dashboard!K1/24,"TBC")</f>
        <v>44997.666666666664</v>
      </c>
      <c r="B399" s="91" t="s">
        <v>15</v>
      </c>
      <c r="C399" s="6"/>
      <c r="D399" s="91">
        <f>IF(ISBLANK(fixtures!$K261),"",fixtures!$K261)</f>
        <v>1</v>
      </c>
      <c r="E399" s="92" t="str">
        <f>IF(ISBLANK(fixtures!$L261),"",":")</f>
        <v>:</v>
      </c>
      <c r="F399" s="93">
        <f>IF(ISBLANK(fixtures!$L261),"",fixtures!$L261)</f>
        <v>1</v>
      </c>
      <c r="G399" s="6"/>
      <c r="H399" s="93" t="s">
        <v>2</v>
      </c>
      <c r="I399" s="93" t="s">
        <v>50</v>
      </c>
      <c r="J399" s="6"/>
      <c r="K399" s="6"/>
      <c r="L399" s="6"/>
      <c r="M399" s="6"/>
    </row>
    <row r="400" spans="1:21" x14ac:dyDescent="0.4">
      <c r="A400" s="167">
        <f ca="1">IFERROR(INDIRECT("fixtures!" &amp; Dashboard!J1 &amp;262) - Dashboard!K1/24,"TBC")</f>
        <v>44997.770833333336</v>
      </c>
      <c r="B400" s="91" t="s">
        <v>12</v>
      </c>
      <c r="C400" s="6"/>
      <c r="D400" s="91">
        <f>IF(ISBLANK(fixtures!$K262),"",fixtures!$K262)</f>
        <v>2</v>
      </c>
      <c r="E400" s="92" t="str">
        <f>IF(ISBLANK(fixtures!$L262),"",":")</f>
        <v>:</v>
      </c>
      <c r="F400" s="93">
        <f>IF(ISBLANK(fixtures!$L262),"",fixtures!$L262)</f>
        <v>1</v>
      </c>
      <c r="G400" s="6"/>
      <c r="H400" s="93" t="s">
        <v>16</v>
      </c>
      <c r="I400" s="93" t="s">
        <v>55</v>
      </c>
      <c r="J400" s="6"/>
      <c r="K400" s="6"/>
      <c r="L400" s="6"/>
      <c r="M400" s="6"/>
    </row>
    <row r="401" spans="1:21" x14ac:dyDescent="0.4">
      <c r="A401" s="94" t="str">
        <f>"Time Zone: " &amp; Dashboard!D1</f>
        <v>Time Zone: Europe Western</v>
      </c>
      <c r="B401" s="6"/>
      <c r="C401" s="6"/>
      <c r="D401" s="6"/>
      <c r="E401" s="6"/>
      <c r="F401" s="6"/>
      <c r="G401" s="6"/>
      <c r="H401" s="6"/>
      <c r="I401" s="447" t="s">
        <v>592</v>
      </c>
      <c r="J401" s="6"/>
      <c r="K401" s="6"/>
      <c r="L401" s="6"/>
      <c r="M401" s="6"/>
    </row>
    <row r="402" spans="1:21" ht="31.5" x14ac:dyDescent="0.5">
      <c r="A402" s="10"/>
      <c r="B402" s="10"/>
      <c r="C402" s="10"/>
      <c r="D402" s="10"/>
      <c r="E402" s="10"/>
      <c r="F402" s="10"/>
      <c r="G402" s="10"/>
      <c r="H402" s="95" t="s">
        <v>70</v>
      </c>
      <c r="I402" s="10"/>
      <c r="J402" s="10"/>
      <c r="K402" s="10"/>
      <c r="L402" s="10"/>
      <c r="M402" s="10"/>
    </row>
    <row r="403" spans="1:21" x14ac:dyDescent="0.4">
      <c r="A403" s="189" t="s">
        <v>652</v>
      </c>
      <c r="B403" s="190"/>
      <c r="C403" s="190"/>
      <c r="D403" s="190"/>
      <c r="E403" s="190"/>
      <c r="F403" s="190"/>
      <c r="G403" s="190"/>
      <c r="H403" s="190"/>
      <c r="I403" s="190"/>
      <c r="J403" s="190"/>
      <c r="K403" s="190"/>
      <c r="L403" s="190"/>
      <c r="M403" s="190"/>
    </row>
    <row r="404" spans="1:21" x14ac:dyDescent="0.4">
      <c r="A404" s="168">
        <f ca="1">IFERROR(INDIRECT("fixtures!" &amp; Dashboard!J1 &amp;263) - Dashboard!K1/24,"TBC")</f>
        <v>45000.895833333336</v>
      </c>
      <c r="B404" s="96" t="s">
        <v>4</v>
      </c>
      <c r="C404" s="11"/>
      <c r="D404" s="96">
        <f>IF(ISBLANK(fixtures!$K263),"",fixtures!$K263)</f>
        <v>1</v>
      </c>
      <c r="E404" s="97" t="str">
        <f>IF(ISBLANK(fixtures!$L263),"",":")</f>
        <v>:</v>
      </c>
      <c r="F404" s="98">
        <f>IF(ISBLANK(fixtures!$L263),"",fixtures!$L263)</f>
        <v>0</v>
      </c>
      <c r="G404" s="11"/>
      <c r="H404" s="98" t="s">
        <v>6</v>
      </c>
      <c r="I404" s="98" t="s">
        <v>151</v>
      </c>
      <c r="J404" s="11"/>
      <c r="K404" s="11"/>
      <c r="L404" s="11"/>
      <c r="M404" s="11"/>
    </row>
    <row r="405" spans="1:21" x14ac:dyDescent="0.4">
      <c r="A405" s="99" t="str">
        <f>"Time Zone: " &amp; Dashboard!D1</f>
        <v>Time Zone: Europe Western</v>
      </c>
      <c r="B405" s="11"/>
      <c r="C405" s="11"/>
      <c r="D405" s="11"/>
      <c r="E405" s="11"/>
      <c r="F405" s="11"/>
      <c r="G405" s="11"/>
      <c r="H405" s="11"/>
      <c r="I405" s="448" t="s">
        <v>592</v>
      </c>
      <c r="J405" s="11"/>
      <c r="K405" s="11"/>
      <c r="L405" s="11"/>
      <c r="M405" s="11"/>
      <c r="N405" s="486"/>
      <c r="O405" s="486"/>
      <c r="P405" s="486"/>
      <c r="Q405" s="486"/>
      <c r="R405" s="486"/>
      <c r="S405" s="486"/>
      <c r="T405" s="486"/>
      <c r="U405" s="486"/>
    </row>
    <row r="406" spans="1:21" ht="31.5" x14ac:dyDescent="0.5">
      <c r="A406" s="12"/>
      <c r="B406" s="12"/>
      <c r="C406" s="12"/>
      <c r="D406" s="12"/>
      <c r="E406" s="12"/>
      <c r="F406" s="12"/>
      <c r="G406" s="12"/>
      <c r="H406" s="100" t="s">
        <v>629</v>
      </c>
      <c r="I406" s="12"/>
      <c r="J406" s="12"/>
      <c r="K406" s="12"/>
      <c r="L406" s="12"/>
      <c r="M406" s="12"/>
    </row>
    <row r="407" spans="1:21" x14ac:dyDescent="0.4">
      <c r="A407" s="169">
        <f ca="1">IFERROR(INDIRECT("fixtures!" &amp; Dashboard!J1 &amp;264) - Dashboard!K1/24,"TBC")</f>
        <v>45000.895833333336</v>
      </c>
      <c r="B407" s="101" t="s">
        <v>13</v>
      </c>
      <c r="C407" s="13"/>
      <c r="D407" s="101">
        <f>IF(ISBLANK(fixtures!$K264),"",fixtures!$K264)</f>
        <v>0</v>
      </c>
      <c r="E407" s="102" t="str">
        <f>IF(ISBLANK(fixtures!$L264),"",":")</f>
        <v>:</v>
      </c>
      <c r="F407" s="103">
        <f>IF(ISBLANK(fixtures!$L264),"",fixtures!$L264)</f>
        <v>2</v>
      </c>
      <c r="G407" s="13"/>
      <c r="H407" s="103" t="s">
        <v>125</v>
      </c>
      <c r="I407" s="103" t="s">
        <v>60</v>
      </c>
      <c r="J407" s="13"/>
      <c r="K407" s="13"/>
      <c r="L407" s="13"/>
      <c r="M407" s="13"/>
    </row>
    <row r="408" spans="1:21" x14ac:dyDescent="0.4">
      <c r="A408" s="104" t="str">
        <f>"Time Zone: " &amp; Dashboard!D1</f>
        <v>Time Zone: Europe Western</v>
      </c>
      <c r="B408" s="13"/>
      <c r="C408" s="13"/>
      <c r="D408" s="13"/>
      <c r="E408" s="13"/>
      <c r="F408" s="13"/>
      <c r="G408" s="13"/>
      <c r="H408" s="13"/>
      <c r="I408" s="449" t="s">
        <v>592</v>
      </c>
      <c r="J408" s="13"/>
      <c r="K408" s="13"/>
      <c r="L408" s="13"/>
      <c r="M408" s="13"/>
    </row>
    <row r="409" spans="1:21" ht="31.5" x14ac:dyDescent="0.5">
      <c r="A409" s="14"/>
      <c r="B409" s="14"/>
      <c r="C409" s="14"/>
      <c r="D409" s="14"/>
      <c r="E409" s="14"/>
      <c r="F409" s="14"/>
      <c r="G409" s="14"/>
      <c r="H409" s="179" t="s">
        <v>90</v>
      </c>
      <c r="I409" s="14"/>
      <c r="J409" s="14"/>
      <c r="K409" s="14"/>
      <c r="L409" s="14"/>
      <c r="M409" s="14"/>
    </row>
    <row r="410" spans="1:21" x14ac:dyDescent="0.4">
      <c r="A410" s="193" t="s">
        <v>649</v>
      </c>
      <c r="B410" s="194"/>
      <c r="C410" s="194"/>
      <c r="D410" s="194"/>
      <c r="E410" s="194"/>
      <c r="F410" s="194"/>
      <c r="G410" s="194"/>
      <c r="H410" s="194"/>
      <c r="I410" s="194"/>
      <c r="J410" s="194"/>
      <c r="K410" s="194"/>
      <c r="L410" s="194"/>
      <c r="M410" s="194"/>
    </row>
    <row r="411" spans="1:21" x14ac:dyDescent="0.4">
      <c r="A411" s="180">
        <f ca="1">IFERROR(INDIRECT("fixtures!" &amp; Dashboard!J1 &amp;265) - Dashboard!K1/24,"TBC")</f>
        <v>45002.916666666664</v>
      </c>
      <c r="B411" s="181" t="s">
        <v>204</v>
      </c>
      <c r="C411" s="15"/>
      <c r="D411" s="181">
        <f>IF(ISBLANK(fixtures!$K265),"",fixtures!$K265)</f>
        <v>1</v>
      </c>
      <c r="E411" s="182" t="str">
        <f>IF(ISBLANK(fixtures!$L265),"",":")</f>
        <v>:</v>
      </c>
      <c r="F411" s="183">
        <f>IF(ISBLANK(fixtures!$L265),"",fixtures!$L265)</f>
        <v>2</v>
      </c>
      <c r="G411" s="15"/>
      <c r="H411" s="183" t="s">
        <v>12</v>
      </c>
      <c r="I411" s="183" t="s">
        <v>436</v>
      </c>
      <c r="J411" s="15"/>
      <c r="K411" s="15"/>
      <c r="L411" s="15"/>
      <c r="M411" s="15"/>
    </row>
    <row r="412" spans="1:21" x14ac:dyDescent="0.4">
      <c r="A412" s="193" t="s">
        <v>570</v>
      </c>
      <c r="B412" s="194"/>
      <c r="C412" s="194"/>
      <c r="D412" s="194"/>
      <c r="E412" s="194"/>
      <c r="F412" s="194"/>
      <c r="G412" s="194"/>
      <c r="H412" s="194"/>
      <c r="I412" s="194"/>
      <c r="J412" s="194"/>
      <c r="K412" s="194"/>
      <c r="L412" s="194"/>
      <c r="M412" s="194"/>
    </row>
    <row r="413" spans="1:21" x14ac:dyDescent="0.4">
      <c r="A413" s="180">
        <f ca="1">IFERROR(INDIRECT("fixtures!" &amp; Dashboard!J1 &amp;266) - Dashboard!K1/24,"TBC")</f>
        <v>45003.708333333336</v>
      </c>
      <c r="B413" s="181" t="s">
        <v>2</v>
      </c>
      <c r="C413" s="15"/>
      <c r="D413" s="181">
        <f>IF(ISBLANK(fixtures!$K266),"",fixtures!$K266)</f>
        <v>3</v>
      </c>
      <c r="E413" s="182" t="str">
        <f>IF(ISBLANK(fixtures!$L266),"",":")</f>
        <v>:</v>
      </c>
      <c r="F413" s="183">
        <f>IF(ISBLANK(fixtures!$L266),"",fixtures!$L266)</f>
        <v>0</v>
      </c>
      <c r="G413" s="15"/>
      <c r="H413" s="183" t="s">
        <v>3</v>
      </c>
      <c r="I413" s="183" t="s">
        <v>58</v>
      </c>
      <c r="J413" s="15"/>
      <c r="K413" s="15"/>
      <c r="L413" s="15"/>
      <c r="M413" s="15"/>
    </row>
    <row r="414" spans="1:21" x14ac:dyDescent="0.4">
      <c r="A414" s="180">
        <f ca="1">IFERROR(INDIRECT("fixtures!" &amp; Dashboard!J1 &amp;267) - Dashboard!K1/24,"TBC")</f>
        <v>45003.708333333336</v>
      </c>
      <c r="B414" s="181" t="s">
        <v>125</v>
      </c>
      <c r="C414" s="15"/>
      <c r="D414" s="181">
        <f>IF(ISBLANK(fixtures!$K267),"",fixtures!$K267)</f>
        <v>1</v>
      </c>
      <c r="E414" s="182" t="str">
        <f>IF(ISBLANK(fixtures!$L267),"",":")</f>
        <v>:</v>
      </c>
      <c r="F414" s="183">
        <f>IF(ISBLANK(fixtures!$L267),"",fixtures!$L267)</f>
        <v>1</v>
      </c>
      <c r="G414" s="15"/>
      <c r="H414" s="183" t="s">
        <v>8</v>
      </c>
      <c r="I414" s="183" t="s">
        <v>593</v>
      </c>
      <c r="J414" s="15"/>
      <c r="K414" s="15"/>
      <c r="L414" s="15"/>
      <c r="M414" s="15"/>
    </row>
    <row r="415" spans="1:21" x14ac:dyDescent="0.4">
      <c r="A415" s="180">
        <f ca="1">IFERROR(INDIRECT("fixtures!" &amp; Dashboard!J1 &amp;268) - Dashboard!K1/24,"TBC")</f>
        <v>45003.708333333336</v>
      </c>
      <c r="B415" s="181" t="s">
        <v>13</v>
      </c>
      <c r="C415" s="15"/>
      <c r="D415" s="181">
        <f>IF(ISBLANK(fixtures!$K268),"",fixtures!$K268)</f>
        <v>3</v>
      </c>
      <c r="E415" s="182" t="str">
        <f>IF(ISBLANK(fixtures!$L268),"",":")</f>
        <v>:</v>
      </c>
      <c r="F415" s="183">
        <f>IF(ISBLANK(fixtures!$L268),"",fixtures!$L268)</f>
        <v>3</v>
      </c>
      <c r="G415" s="15"/>
      <c r="H415" s="183" t="s">
        <v>14</v>
      </c>
      <c r="I415" s="183" t="s">
        <v>60</v>
      </c>
      <c r="J415" s="15"/>
      <c r="K415" s="15"/>
      <c r="L415" s="15"/>
      <c r="M415" s="15"/>
    </row>
    <row r="416" spans="1:21" x14ac:dyDescent="0.4">
      <c r="A416" s="180">
        <f ca="1">IFERROR(INDIRECT("fixtures!" &amp; Dashboard!J1 &amp;269) - Dashboard!K1/24,"TBC")</f>
        <v>45003.708333333336</v>
      </c>
      <c r="B416" s="181" t="s">
        <v>16</v>
      </c>
      <c r="C416" s="15"/>
      <c r="D416" s="181">
        <f>IF(ISBLANK(fixtures!$K269),"",fixtures!$K269)</f>
        <v>2</v>
      </c>
      <c r="E416" s="182" t="str">
        <f>IF(ISBLANK(fixtures!$L269),"",":")</f>
        <v>:</v>
      </c>
      <c r="F416" s="183">
        <f>IF(ISBLANK(fixtures!$L269),"",fixtures!$L269)</f>
        <v>4</v>
      </c>
      <c r="G416" s="15"/>
      <c r="H416" s="183" t="s">
        <v>139</v>
      </c>
      <c r="I416" s="183" t="s">
        <v>63</v>
      </c>
      <c r="J416" s="15"/>
      <c r="K416" s="15"/>
      <c r="L416" s="15"/>
      <c r="M416" s="15"/>
    </row>
    <row r="417" spans="1:21" x14ac:dyDescent="0.4">
      <c r="A417" s="180">
        <f ca="1">IFERROR(INDIRECT("fixtures!" &amp; Dashboard!J1 &amp;270) - Dashboard!K1/24,"TBC")</f>
        <v>45003.8125</v>
      </c>
      <c r="B417" s="181" t="s">
        <v>5</v>
      </c>
      <c r="C417" s="15"/>
      <c r="D417" s="181">
        <f>IF(ISBLANK(fixtures!$K270),"",fixtures!$K270)</f>
        <v>2</v>
      </c>
      <c r="E417" s="182" t="str">
        <f>IF(ISBLANK(fixtures!$L270),"",":")</f>
        <v>:</v>
      </c>
      <c r="F417" s="183">
        <f>IF(ISBLANK(fixtures!$L270),"",fixtures!$L270)</f>
        <v>2</v>
      </c>
      <c r="G417" s="15"/>
      <c r="H417" s="183" t="s">
        <v>7</v>
      </c>
      <c r="I417" s="183" t="s">
        <v>62</v>
      </c>
      <c r="J417" s="15"/>
      <c r="K417" s="15"/>
      <c r="L417" s="15"/>
      <c r="M417" s="15"/>
    </row>
    <row r="418" spans="1:21" x14ac:dyDescent="0.4">
      <c r="A418" s="193" t="s">
        <v>650</v>
      </c>
      <c r="B418" s="194"/>
      <c r="C418" s="194"/>
      <c r="D418" s="194"/>
      <c r="E418" s="194"/>
      <c r="F418" s="194"/>
      <c r="G418" s="194"/>
      <c r="H418" s="194"/>
      <c r="I418" s="194"/>
      <c r="J418" s="194"/>
      <c r="K418" s="194"/>
      <c r="L418" s="194"/>
      <c r="M418" s="194"/>
      <c r="N418" s="486"/>
      <c r="O418" s="486"/>
      <c r="P418" s="486"/>
      <c r="Q418" s="486"/>
      <c r="R418" s="486"/>
      <c r="S418" s="486"/>
      <c r="T418" s="486"/>
      <c r="U418" s="486"/>
    </row>
    <row r="419" spans="1:21" x14ac:dyDescent="0.4">
      <c r="A419" s="180">
        <f ca="1">IFERROR(INDIRECT("fixtures!" &amp; Dashboard!J1 &amp;271) - Dashboard!K1/24,"TBC")</f>
        <v>45004.666666666664</v>
      </c>
      <c r="B419" s="181" t="s">
        <v>1</v>
      </c>
      <c r="C419" s="15"/>
      <c r="D419" s="181">
        <f>IF(ISBLANK(fixtures!$K271),"",fixtures!$K271)</f>
        <v>4</v>
      </c>
      <c r="E419" s="182" t="str">
        <f>IF(ISBLANK(fixtures!$L271),"",":")</f>
        <v>:</v>
      </c>
      <c r="F419" s="183">
        <f>IF(ISBLANK(fixtures!$L271),"",fixtures!$L271)</f>
        <v>1</v>
      </c>
      <c r="G419" s="15"/>
      <c r="H419" s="183" t="s">
        <v>6</v>
      </c>
      <c r="I419" s="183" t="s">
        <v>57</v>
      </c>
      <c r="J419" s="15"/>
      <c r="K419" s="15"/>
      <c r="L419" s="15"/>
      <c r="M419" s="15"/>
    </row>
    <row r="420" spans="1:21" x14ac:dyDescent="0.4">
      <c r="A420" s="184" t="str">
        <f>"Time Zone: " &amp; Dashboard!D1</f>
        <v>Time Zone: Europe Western</v>
      </c>
      <c r="B420" s="15"/>
      <c r="C420" s="15"/>
      <c r="D420" s="15"/>
      <c r="E420" s="15"/>
      <c r="F420" s="15"/>
      <c r="G420" s="15"/>
      <c r="H420" s="15"/>
      <c r="I420" s="450" t="s">
        <v>592</v>
      </c>
      <c r="J420" s="15"/>
      <c r="K420" s="15"/>
      <c r="L420" s="15"/>
      <c r="M420" s="15"/>
    </row>
    <row r="421" spans="1:21" ht="31.5" x14ac:dyDescent="0.5">
      <c r="A421" s="205"/>
      <c r="B421" s="205"/>
      <c r="C421" s="205"/>
      <c r="D421" s="205"/>
      <c r="E421" s="205"/>
      <c r="F421" s="205"/>
      <c r="G421" s="205"/>
      <c r="H421" s="266" t="s">
        <v>91</v>
      </c>
      <c r="I421" s="205"/>
      <c r="J421" s="205"/>
      <c r="K421" s="205"/>
      <c r="L421" s="205"/>
      <c r="M421" s="205"/>
    </row>
    <row r="422" spans="1:21" x14ac:dyDescent="0.4">
      <c r="A422" s="267" t="s">
        <v>571</v>
      </c>
      <c r="B422" s="268"/>
      <c r="C422" s="268"/>
      <c r="D422" s="268"/>
      <c r="E422" s="268"/>
      <c r="F422" s="268"/>
      <c r="G422" s="268"/>
      <c r="H422" s="268"/>
      <c r="I422" s="268"/>
      <c r="J422" s="268"/>
      <c r="K422" s="268"/>
      <c r="L422" s="268"/>
      <c r="M422" s="268"/>
    </row>
    <row r="423" spans="1:21" x14ac:dyDescent="0.4">
      <c r="A423" s="269">
        <f ca="1">IFERROR(INDIRECT("fixtures!" &amp; Dashboard!J1 &amp;272) - Dashboard!K1/24,"TBC")</f>
        <v>45017.604166666664</v>
      </c>
      <c r="B423" s="270" t="s">
        <v>10</v>
      </c>
      <c r="C423" s="23"/>
      <c r="D423" s="270">
        <f>IF(ISBLANK(fixtures!$K272),"",fixtures!$K272)</f>
        <v>4</v>
      </c>
      <c r="E423" s="271" t="str">
        <f>IF(ISBLANK(fixtures!$L272),"",":")</f>
        <v>:</v>
      </c>
      <c r="F423" s="272">
        <f>IF(ISBLANK(fixtures!$L272),"",fixtures!$L272)</f>
        <v>1</v>
      </c>
      <c r="G423" s="23"/>
      <c r="H423" s="272" t="s">
        <v>9</v>
      </c>
      <c r="I423" s="272" t="s">
        <v>61</v>
      </c>
      <c r="J423" s="23"/>
      <c r="K423" s="23"/>
      <c r="L423" s="23"/>
      <c r="M423" s="23"/>
    </row>
    <row r="424" spans="1:21" x14ac:dyDescent="0.4">
      <c r="A424" s="269">
        <f ca="1">IFERROR(INDIRECT("fixtures!" &amp; Dashboard!J1 &amp;273) - Dashboard!K1/24,"TBC")</f>
        <v>45017.708333333336</v>
      </c>
      <c r="B424" s="270" t="s">
        <v>1</v>
      </c>
      <c r="C424" s="23"/>
      <c r="D424" s="270">
        <f>IF(ISBLANK(fixtures!$K273),"",fixtures!$K273)</f>
        <v>4</v>
      </c>
      <c r="E424" s="271" t="str">
        <f>IF(ISBLANK(fixtures!$L273),"",":")</f>
        <v>:</v>
      </c>
      <c r="F424" s="272">
        <f>IF(ISBLANK(fixtures!$L273),"",fixtures!$L273)</f>
        <v>1</v>
      </c>
      <c r="G424" s="23"/>
      <c r="H424" s="272" t="s">
        <v>139</v>
      </c>
      <c r="I424" s="272" t="s">
        <v>57</v>
      </c>
      <c r="J424" s="23"/>
      <c r="K424" s="23"/>
      <c r="L424" s="23"/>
      <c r="M424" s="23"/>
    </row>
    <row r="425" spans="1:21" x14ac:dyDescent="0.4">
      <c r="A425" s="269">
        <f ca="1">IFERROR(INDIRECT("fixtures!" &amp; Dashboard!J1 &amp;274) - Dashboard!K1/24,"TBC")</f>
        <v>45017.708333333336</v>
      </c>
      <c r="B425" s="270" t="s">
        <v>3</v>
      </c>
      <c r="C425" s="23"/>
      <c r="D425" s="270">
        <f>IF(ISBLANK(fixtures!$K274),"",fixtures!$K274)</f>
        <v>2</v>
      </c>
      <c r="E425" s="271" t="str">
        <f>IF(ISBLANK(fixtures!$L274),"",":")</f>
        <v>:</v>
      </c>
      <c r="F425" s="272">
        <f>IF(ISBLANK(fixtures!$L274),"",fixtures!$L274)</f>
        <v>1</v>
      </c>
      <c r="G425" s="23"/>
      <c r="H425" s="272" t="s">
        <v>126</v>
      </c>
      <c r="I425" s="272" t="s">
        <v>51</v>
      </c>
      <c r="J425" s="23"/>
      <c r="K425" s="23"/>
      <c r="L425" s="23"/>
      <c r="M425" s="23"/>
    </row>
    <row r="426" spans="1:21" x14ac:dyDescent="0.4">
      <c r="A426" s="269">
        <f ca="1">IFERROR(INDIRECT("fixtures!" &amp; Dashboard!J1 &amp;275) - Dashboard!K1/24,"TBC")</f>
        <v>45017.708333333336</v>
      </c>
      <c r="B426" s="270" t="s">
        <v>4</v>
      </c>
      <c r="C426" s="23"/>
      <c r="D426" s="270">
        <f>IF(ISBLANK(fixtures!$K275),"",fixtures!$K275)</f>
        <v>3</v>
      </c>
      <c r="E426" s="271" t="str">
        <f>IF(ISBLANK(fixtures!$L275),"",":")</f>
        <v>:</v>
      </c>
      <c r="F426" s="272">
        <f>IF(ISBLANK(fixtures!$L275),"",fixtures!$L275)</f>
        <v>3</v>
      </c>
      <c r="G426" s="23"/>
      <c r="H426" s="272" t="s">
        <v>125</v>
      </c>
      <c r="I426" s="272" t="s">
        <v>151</v>
      </c>
      <c r="J426" s="23"/>
      <c r="K426" s="23"/>
      <c r="L426" s="23"/>
      <c r="M426" s="23"/>
    </row>
    <row r="427" spans="1:21" x14ac:dyDescent="0.4">
      <c r="A427" s="269">
        <f ca="1">IFERROR(INDIRECT("fixtures!" &amp; Dashboard!J1 &amp;276) - Dashboard!K1/24,"TBC")</f>
        <v>45017.708333333336</v>
      </c>
      <c r="B427" s="270" t="s">
        <v>6</v>
      </c>
      <c r="C427" s="23"/>
      <c r="D427" s="270">
        <f>IF(ISBLANK(fixtures!$K276),"",fixtures!$K276)</f>
        <v>2</v>
      </c>
      <c r="E427" s="271" t="str">
        <f>IF(ISBLANK(fixtures!$L276),"",":")</f>
        <v>:</v>
      </c>
      <c r="F427" s="272">
        <f>IF(ISBLANK(fixtures!$L276),"",fixtures!$L276)</f>
        <v>1</v>
      </c>
      <c r="G427" s="23"/>
      <c r="H427" s="272" t="s">
        <v>8</v>
      </c>
      <c r="I427" s="272" t="s">
        <v>52</v>
      </c>
      <c r="J427" s="23"/>
      <c r="K427" s="23"/>
      <c r="L427" s="23"/>
      <c r="M427" s="23"/>
    </row>
    <row r="428" spans="1:21" x14ac:dyDescent="0.4">
      <c r="A428" s="269">
        <f ca="1">IFERROR(INDIRECT("fixtures!" &amp; Dashboard!J1 &amp;277) - Dashboard!K1/24,"TBC")</f>
        <v>45017.708333333336</v>
      </c>
      <c r="B428" s="270" t="s">
        <v>204</v>
      </c>
      <c r="C428" s="23"/>
      <c r="D428" s="270">
        <f>IF(ISBLANK(fixtures!$K277),"",fixtures!$K277)</f>
        <v>1</v>
      </c>
      <c r="E428" s="271" t="str">
        <f>IF(ISBLANK(fixtures!$L277),"",":")</f>
        <v>:</v>
      </c>
      <c r="F428" s="272">
        <f>IF(ISBLANK(fixtures!$L277),"",fixtures!$L277)</f>
        <v>1</v>
      </c>
      <c r="G428" s="23"/>
      <c r="H428" s="272" t="s">
        <v>16</v>
      </c>
      <c r="I428" s="272" t="s">
        <v>436</v>
      </c>
      <c r="J428" s="23"/>
      <c r="K428" s="23"/>
      <c r="L428" s="23"/>
      <c r="M428" s="23"/>
    </row>
    <row r="429" spans="1:21" x14ac:dyDescent="0.4">
      <c r="A429" s="269">
        <f ca="1">IFERROR(INDIRECT("fixtures!" &amp; Dashboard!J1 &amp;278) - Dashboard!K1/24,"TBC")</f>
        <v>45017.8125</v>
      </c>
      <c r="B429" s="270" t="s">
        <v>5</v>
      </c>
      <c r="C429" s="23"/>
      <c r="D429" s="270">
        <f>IF(ISBLANK(fixtures!$K278),"",fixtures!$K278)</f>
        <v>0</v>
      </c>
      <c r="E429" s="271" t="str">
        <f>IF(ISBLANK(fixtures!$L278),"",":")</f>
        <v>:</v>
      </c>
      <c r="F429" s="272">
        <f>IF(ISBLANK(fixtures!$L278),"",fixtures!$L278)</f>
        <v>2</v>
      </c>
      <c r="G429" s="23"/>
      <c r="H429" s="272" t="s">
        <v>2</v>
      </c>
      <c r="I429" s="272" t="s">
        <v>62</v>
      </c>
      <c r="J429" s="23"/>
      <c r="K429" s="23"/>
      <c r="L429" s="23"/>
      <c r="M429" s="23"/>
    </row>
    <row r="430" spans="1:21" x14ac:dyDescent="0.4">
      <c r="A430" s="267" t="s">
        <v>653</v>
      </c>
      <c r="B430" s="268"/>
      <c r="C430" s="268"/>
      <c r="D430" s="268"/>
      <c r="E430" s="268"/>
      <c r="F430" s="268"/>
      <c r="G430" s="268"/>
      <c r="H430" s="268"/>
      <c r="I430" s="268"/>
      <c r="J430" s="268"/>
      <c r="K430" s="268"/>
      <c r="L430" s="268"/>
      <c r="M430" s="268"/>
    </row>
    <row r="431" spans="1:21" x14ac:dyDescent="0.4">
      <c r="A431" s="269">
        <f ca="1">IFERROR(INDIRECT("fixtures!" &amp; Dashboard!J1 &amp;279) - Dashboard!K1/24,"TBC")</f>
        <v>45018.666666666664</v>
      </c>
      <c r="B431" s="270" t="s">
        <v>15</v>
      </c>
      <c r="C431" s="23"/>
      <c r="D431" s="270">
        <f>IF(ISBLANK(fixtures!$K279),"",fixtures!$K279)</f>
        <v>1</v>
      </c>
      <c r="E431" s="271" t="str">
        <f>IF(ISBLANK(fixtures!$L279),"",":")</f>
        <v>:</v>
      </c>
      <c r="F431" s="272">
        <f>IF(ISBLANK(fixtures!$L279),"",fixtures!$L279)</f>
        <v>0</v>
      </c>
      <c r="G431" s="23"/>
      <c r="H431" s="272" t="s">
        <v>13</v>
      </c>
      <c r="I431" s="272" t="s">
        <v>50</v>
      </c>
      <c r="J431" s="23"/>
      <c r="K431" s="23"/>
      <c r="L431" s="23"/>
      <c r="M431" s="23"/>
      <c r="N431" s="486"/>
      <c r="O431" s="486"/>
      <c r="P431" s="486"/>
      <c r="Q431" s="486"/>
      <c r="R431" s="486"/>
      <c r="S431" s="486"/>
      <c r="T431" s="486"/>
      <c r="U431" s="486"/>
    </row>
    <row r="432" spans="1:21" x14ac:dyDescent="0.4">
      <c r="A432" s="269">
        <f ca="1">IFERROR(INDIRECT("fixtures!" &amp; Dashboard!J1 &amp;280) - Dashboard!K1/24,"TBC")</f>
        <v>45018.770833333336</v>
      </c>
      <c r="B432" s="270" t="s">
        <v>12</v>
      </c>
      <c r="C432" s="23"/>
      <c r="D432" s="270">
        <f>IF(ISBLANK(fixtures!$K280),"",fixtures!$K280)</f>
        <v>2</v>
      </c>
      <c r="E432" s="271" t="str">
        <f>IF(ISBLANK(fixtures!$L280),"",":")</f>
        <v>:</v>
      </c>
      <c r="F432" s="272">
        <f>IF(ISBLANK(fixtures!$L280),"",fixtures!$L280)</f>
        <v>0</v>
      </c>
      <c r="G432" s="23"/>
      <c r="H432" s="272" t="s">
        <v>11</v>
      </c>
      <c r="I432" s="272" t="s">
        <v>55</v>
      </c>
      <c r="J432" s="23"/>
      <c r="K432" s="23"/>
      <c r="L432" s="23"/>
      <c r="M432" s="23"/>
    </row>
    <row r="433" spans="1:21" x14ac:dyDescent="0.4">
      <c r="A433" s="267" t="s">
        <v>654</v>
      </c>
      <c r="B433" s="268"/>
      <c r="C433" s="268"/>
      <c r="D433" s="268"/>
      <c r="E433" s="268"/>
      <c r="F433" s="268"/>
      <c r="G433" s="268"/>
      <c r="H433" s="268"/>
      <c r="I433" s="268"/>
      <c r="J433" s="268"/>
      <c r="K433" s="268"/>
      <c r="L433" s="268"/>
      <c r="M433" s="268"/>
    </row>
    <row r="434" spans="1:21" x14ac:dyDescent="0.4">
      <c r="A434" s="269">
        <f ca="1">IFERROR(INDIRECT("fixtures!" &amp; Dashboard!J1 &amp;281) - Dashboard!K1/24,"TBC")</f>
        <v>45019.916666666664</v>
      </c>
      <c r="B434" s="270" t="s">
        <v>7</v>
      </c>
      <c r="C434" s="23"/>
      <c r="D434" s="270">
        <f>IF(ISBLANK(fixtures!$K281),"",fixtures!$K281)</f>
        <v>1</v>
      </c>
      <c r="E434" s="271" t="str">
        <f>IF(ISBLANK(fixtures!$L281),"",":")</f>
        <v>:</v>
      </c>
      <c r="F434" s="272">
        <f>IF(ISBLANK(fixtures!$L281),"",fixtures!$L281)</f>
        <v>1</v>
      </c>
      <c r="G434" s="23"/>
      <c r="H434" s="272" t="s">
        <v>14</v>
      </c>
      <c r="I434" s="272" t="s">
        <v>59</v>
      </c>
      <c r="J434" s="23"/>
      <c r="K434" s="23"/>
      <c r="L434" s="23"/>
      <c r="M434" s="23"/>
    </row>
    <row r="435" spans="1:21" x14ac:dyDescent="0.4">
      <c r="A435" s="273" t="str">
        <f>"Time Zone: " &amp; Dashboard!D1</f>
        <v>Time Zone: Europe Western</v>
      </c>
      <c r="B435" s="23"/>
      <c r="C435" s="23"/>
      <c r="D435" s="23"/>
      <c r="E435" s="23"/>
      <c r="F435" s="23"/>
      <c r="G435" s="23"/>
      <c r="H435" s="23"/>
      <c r="I435" s="451" t="s">
        <v>592</v>
      </c>
      <c r="J435" s="23"/>
      <c r="K435" s="23"/>
      <c r="L435" s="23"/>
      <c r="M435" s="23"/>
    </row>
    <row r="436" spans="1:21" ht="31.5" x14ac:dyDescent="0.5">
      <c r="A436" s="28"/>
      <c r="B436" s="28"/>
      <c r="C436" s="28"/>
      <c r="D436" s="28"/>
      <c r="E436" s="28"/>
      <c r="F436" s="28"/>
      <c r="G436" s="28"/>
      <c r="H436" s="109" t="s">
        <v>629</v>
      </c>
      <c r="I436" s="28"/>
      <c r="J436" s="28"/>
      <c r="K436" s="28"/>
      <c r="L436" s="28"/>
      <c r="M436" s="28"/>
    </row>
    <row r="437" spans="1:21" x14ac:dyDescent="0.4">
      <c r="A437" s="197" t="s">
        <v>655</v>
      </c>
      <c r="B437" s="198"/>
      <c r="C437" s="198"/>
      <c r="D437" s="198"/>
      <c r="E437" s="198"/>
      <c r="F437" s="198"/>
      <c r="G437" s="198"/>
      <c r="H437" s="198"/>
      <c r="I437" s="198"/>
      <c r="J437" s="198"/>
      <c r="K437" s="198"/>
      <c r="L437" s="198"/>
      <c r="M437" s="198"/>
    </row>
    <row r="438" spans="1:21" x14ac:dyDescent="0.4">
      <c r="A438" s="171">
        <f ca="1">IFERROR(INDIRECT("fixtures!" &amp; Dashboard!J1 &amp;282) - Dashboard!K1/24,"TBC")</f>
        <v>45020.90625</v>
      </c>
      <c r="B438" s="110" t="s">
        <v>3</v>
      </c>
      <c r="C438" s="29"/>
      <c r="D438" s="110">
        <f>IF(ISBLANK(fixtures!$K282),"",fixtures!$K282)</f>
        <v>0</v>
      </c>
      <c r="E438" s="111" t="str">
        <f>IF(ISBLANK(fixtures!$L282),"",":")</f>
        <v>:</v>
      </c>
      <c r="F438" s="112">
        <f>IF(ISBLANK(fixtures!$L282),"",fixtures!$L282)</f>
        <v>2</v>
      </c>
      <c r="G438" s="29"/>
      <c r="H438" s="112" t="s">
        <v>4</v>
      </c>
      <c r="I438" s="112" t="s">
        <v>51</v>
      </c>
      <c r="J438" s="29"/>
      <c r="K438" s="29"/>
      <c r="L438" s="29"/>
      <c r="M438" s="29"/>
    </row>
    <row r="439" spans="1:21" x14ac:dyDescent="0.4">
      <c r="A439" s="171">
        <f ca="1">IFERROR(INDIRECT("fixtures!" &amp; Dashboard!J1 &amp;283) - Dashboard!K1/24,"TBC")</f>
        <v>45020.90625</v>
      </c>
      <c r="B439" s="110" t="s">
        <v>139</v>
      </c>
      <c r="C439" s="29"/>
      <c r="D439" s="110">
        <f>IF(ISBLANK(fixtures!$K283),"",fixtures!$K283)</f>
        <v>2</v>
      </c>
      <c r="E439" s="111" t="str">
        <f>IF(ISBLANK(fixtures!$L283),"",":")</f>
        <v>:</v>
      </c>
      <c r="F439" s="112">
        <f>IF(ISBLANK(fixtures!$L283),"",fixtures!$L283)</f>
        <v>1</v>
      </c>
      <c r="G439" s="29"/>
      <c r="H439" s="112" t="s">
        <v>204</v>
      </c>
      <c r="I439" s="112" t="s">
        <v>140</v>
      </c>
      <c r="J439" s="29"/>
      <c r="K439" s="29"/>
      <c r="L439" s="29"/>
      <c r="M439" s="29"/>
    </row>
    <row r="440" spans="1:21" x14ac:dyDescent="0.4">
      <c r="A440" s="171">
        <f ca="1">IFERROR(INDIRECT("fixtures!" &amp; Dashboard!J1 &amp;284) - Dashboard!K1/24,"TBC")</f>
        <v>45020.90625</v>
      </c>
      <c r="B440" s="110" t="s">
        <v>8</v>
      </c>
      <c r="C440" s="29"/>
      <c r="D440" s="110">
        <f>IF(ISBLANK(fixtures!$K284),"",fixtures!$K284)</f>
        <v>1</v>
      </c>
      <c r="E440" s="111" t="str">
        <f>IF(ISBLANK(fixtures!$L284),"",":")</f>
        <v>:</v>
      </c>
      <c r="F440" s="112">
        <f>IF(ISBLANK(fixtures!$L284),"",fixtures!$L284)</f>
        <v>2</v>
      </c>
      <c r="G440" s="29"/>
      <c r="H440" s="112" t="s">
        <v>2</v>
      </c>
      <c r="I440" s="112" t="s">
        <v>54</v>
      </c>
      <c r="J440" s="29"/>
      <c r="K440" s="29"/>
      <c r="L440" s="29"/>
      <c r="M440" s="29"/>
    </row>
    <row r="441" spans="1:21" x14ac:dyDescent="0.4">
      <c r="A441" s="113" t="str">
        <f>"Time Zone: " &amp; Dashboard!D1</f>
        <v>Time Zone: Europe Western</v>
      </c>
      <c r="B441" s="29"/>
      <c r="C441" s="29"/>
      <c r="D441" s="29"/>
      <c r="E441" s="29"/>
      <c r="F441" s="29"/>
      <c r="G441" s="29"/>
      <c r="H441" s="29"/>
      <c r="I441" s="452" t="s">
        <v>592</v>
      </c>
      <c r="J441" s="29"/>
      <c r="K441" s="29"/>
      <c r="L441" s="29"/>
      <c r="M441" s="29"/>
    </row>
    <row r="442" spans="1:21" ht="31.5" x14ac:dyDescent="0.5">
      <c r="A442" s="31"/>
      <c r="B442" s="31"/>
      <c r="C442" s="31"/>
      <c r="D442" s="31"/>
      <c r="E442" s="31"/>
      <c r="F442" s="31"/>
      <c r="G442" s="31"/>
      <c r="H442" s="114" t="s">
        <v>70</v>
      </c>
      <c r="I442" s="31"/>
      <c r="J442" s="31"/>
      <c r="K442" s="31"/>
      <c r="L442" s="31"/>
      <c r="M442" s="31"/>
    </row>
    <row r="443" spans="1:21" x14ac:dyDescent="0.4">
      <c r="A443" s="172">
        <f ca="1">IFERROR(INDIRECT("fixtures!" &amp; Dashboard!J1 &amp;285) - Dashboard!K1/24,"TBC")</f>
        <v>45020.916666666664</v>
      </c>
      <c r="B443" s="115" t="s">
        <v>5</v>
      </c>
      <c r="C443" s="32"/>
      <c r="D443" s="115">
        <f>IF(ISBLANK(fixtures!$K285),"",fixtures!$K285)</f>
        <v>0</v>
      </c>
      <c r="E443" s="116" t="str">
        <f>IF(ISBLANK(fixtures!$L285),"",":")</f>
        <v>:</v>
      </c>
      <c r="F443" s="117">
        <f>IF(ISBLANK(fixtures!$L285),"",fixtures!$L285)</f>
        <v>0</v>
      </c>
      <c r="G443" s="32"/>
      <c r="H443" s="117" t="s">
        <v>9</v>
      </c>
      <c r="I443" s="117" t="s">
        <v>62</v>
      </c>
      <c r="J443" s="32"/>
      <c r="K443" s="32"/>
      <c r="L443" s="32"/>
      <c r="M443" s="32"/>
    </row>
    <row r="444" spans="1:21" x14ac:dyDescent="0.4">
      <c r="A444" s="118" t="str">
        <f>"Time Zone: " &amp; Dashboard!D1</f>
        <v>Time Zone: Europe Western</v>
      </c>
      <c r="B444" s="32"/>
      <c r="C444" s="32"/>
      <c r="D444" s="32"/>
      <c r="E444" s="32"/>
      <c r="F444" s="32"/>
      <c r="G444" s="32"/>
      <c r="H444" s="32"/>
      <c r="I444" s="453" t="s">
        <v>592</v>
      </c>
      <c r="J444" s="32"/>
      <c r="K444" s="32"/>
      <c r="L444" s="32"/>
      <c r="M444" s="32"/>
      <c r="N444" s="486"/>
      <c r="O444" s="486"/>
      <c r="P444" s="486"/>
      <c r="Q444" s="486"/>
      <c r="R444" s="486"/>
      <c r="S444" s="486"/>
      <c r="T444" s="486"/>
      <c r="U444" s="486"/>
    </row>
    <row r="445" spans="1:21" ht="31.5" x14ac:dyDescent="0.5">
      <c r="A445" s="24"/>
      <c r="B445" s="24"/>
      <c r="C445" s="24"/>
      <c r="D445" s="24"/>
      <c r="E445" s="24"/>
      <c r="F445" s="24"/>
      <c r="G445" s="24"/>
      <c r="H445" s="186" t="s">
        <v>87</v>
      </c>
      <c r="I445" s="24"/>
      <c r="J445" s="24"/>
      <c r="K445" s="24"/>
      <c r="L445" s="24"/>
      <c r="M445" s="24"/>
    </row>
    <row r="446" spans="1:21" x14ac:dyDescent="0.4">
      <c r="A446" s="195" t="s">
        <v>656</v>
      </c>
      <c r="B446" s="196"/>
      <c r="C446" s="196"/>
      <c r="D446" s="196"/>
      <c r="E446" s="196"/>
      <c r="F446" s="196"/>
      <c r="G446" s="196"/>
      <c r="H446" s="196"/>
      <c r="I446" s="196"/>
      <c r="J446" s="196"/>
      <c r="K446" s="196"/>
      <c r="L446" s="196"/>
      <c r="M446" s="196"/>
    </row>
    <row r="447" spans="1:21" x14ac:dyDescent="0.4">
      <c r="A447" s="170">
        <f ca="1">IFERROR(INDIRECT("fixtures!" &amp; Dashboard!J1 &amp;286) - Dashboard!K1/24,"TBC")</f>
        <v>45021.916666666664</v>
      </c>
      <c r="B447" s="105" t="s">
        <v>11</v>
      </c>
      <c r="C447" s="25"/>
      <c r="D447" s="105">
        <f>IF(ISBLANK(fixtures!$K286),"",fixtures!$K286)</f>
        <v>1</v>
      </c>
      <c r="E447" s="106" t="str">
        <f>IF(ISBLANK(fixtures!$L286),"",":")</f>
        <v>:</v>
      </c>
      <c r="F447" s="107">
        <f>IF(ISBLANK(fixtures!$L286),"",fixtures!$L286)</f>
        <v>0</v>
      </c>
      <c r="G447" s="25"/>
      <c r="H447" s="107" t="s">
        <v>125</v>
      </c>
      <c r="I447" s="107" t="s">
        <v>56</v>
      </c>
      <c r="J447" s="25"/>
      <c r="K447" s="25"/>
      <c r="L447" s="25"/>
      <c r="M447" s="25"/>
    </row>
    <row r="448" spans="1:21" x14ac:dyDescent="0.4">
      <c r="A448" s="108" t="str">
        <f>"Time Zone: " &amp; Dashboard!D1</f>
        <v>Time Zone: Europe Western</v>
      </c>
      <c r="B448" s="25"/>
      <c r="C448" s="25"/>
      <c r="D448" s="25"/>
      <c r="E448" s="25"/>
      <c r="F448" s="25"/>
      <c r="G448" s="25"/>
      <c r="H448" s="25"/>
      <c r="I448" s="454" t="s">
        <v>592</v>
      </c>
      <c r="J448" s="25"/>
      <c r="K448" s="25"/>
      <c r="L448" s="25"/>
      <c r="M448" s="25"/>
    </row>
    <row r="449" spans="1:21" ht="31.5" x14ac:dyDescent="0.5">
      <c r="A449" s="33"/>
      <c r="B449" s="33"/>
      <c r="C449" s="33"/>
      <c r="D449" s="33"/>
      <c r="E449" s="33"/>
      <c r="F449" s="33"/>
      <c r="G449" s="33"/>
      <c r="H449" s="119" t="s">
        <v>629</v>
      </c>
      <c r="I449" s="33"/>
      <c r="J449" s="33"/>
      <c r="K449" s="33"/>
      <c r="L449" s="33"/>
      <c r="M449" s="33"/>
    </row>
    <row r="450" spans="1:21" x14ac:dyDescent="0.4">
      <c r="A450" s="173">
        <f ca="1">IFERROR(INDIRECT("fixtures!" &amp; Dashboard!J1 &amp;287) - Dashboard!K1/24,"TBC")</f>
        <v>45021.916666666664</v>
      </c>
      <c r="B450" s="120" t="s">
        <v>15</v>
      </c>
      <c r="C450" s="34"/>
      <c r="D450" s="120">
        <f>IF(ISBLANK(fixtures!$K287),"",fixtures!$K287)</f>
        <v>1</v>
      </c>
      <c r="E450" s="121" t="str">
        <f>IF(ISBLANK(fixtures!$L287),"",":")</f>
        <v>:</v>
      </c>
      <c r="F450" s="122">
        <f>IF(ISBLANK(fixtures!$L287),"",fixtures!$L287)</f>
        <v>5</v>
      </c>
      <c r="G450" s="34"/>
      <c r="H450" s="122" t="s">
        <v>12</v>
      </c>
      <c r="I450" s="122" t="s">
        <v>50</v>
      </c>
      <c r="J450" s="34"/>
      <c r="K450" s="34"/>
      <c r="L450" s="34"/>
      <c r="M450" s="34"/>
    </row>
    <row r="451" spans="1:21" x14ac:dyDescent="0.4">
      <c r="A451" s="123" t="str">
        <f>"Time Zone: " &amp; Dashboard!D1</f>
        <v>Time Zone: Europe Western</v>
      </c>
      <c r="B451" s="34"/>
      <c r="C451" s="34"/>
      <c r="D451" s="34"/>
      <c r="E451" s="34"/>
      <c r="F451" s="34"/>
      <c r="G451" s="34"/>
      <c r="H451" s="34"/>
      <c r="I451" s="455" t="s">
        <v>592</v>
      </c>
      <c r="J451" s="34"/>
      <c r="K451" s="34"/>
      <c r="L451" s="34"/>
      <c r="M451" s="34"/>
    </row>
    <row r="452" spans="1:21" ht="31.5" x14ac:dyDescent="0.5">
      <c r="A452" s="35"/>
      <c r="B452" s="35"/>
      <c r="C452" s="35"/>
      <c r="D452" s="35"/>
      <c r="E452" s="35"/>
      <c r="F452" s="35"/>
      <c r="G452" s="35"/>
      <c r="H452" s="124" t="s">
        <v>92</v>
      </c>
      <c r="I452" s="35"/>
      <c r="J452" s="35"/>
      <c r="K452" s="35"/>
      <c r="L452" s="35"/>
      <c r="M452" s="35"/>
    </row>
    <row r="453" spans="1:21" x14ac:dyDescent="0.4">
      <c r="A453" s="203" t="s">
        <v>572</v>
      </c>
      <c r="B453" s="204"/>
      <c r="C453" s="204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</row>
    <row r="454" spans="1:21" x14ac:dyDescent="0.4">
      <c r="A454" s="174">
        <f ca="1">IFERROR(INDIRECT("fixtures!" &amp; Dashboard!J1 &amp;288) - Dashboard!K1/24,"TBC")</f>
        <v>45024.604166666664</v>
      </c>
      <c r="B454" s="125" t="s">
        <v>11</v>
      </c>
      <c r="C454" s="36"/>
      <c r="D454" s="125">
        <f>IF(ISBLANK(fixtures!$K288),"",fixtures!$K288)</f>
        <v>2</v>
      </c>
      <c r="E454" s="126" t="str">
        <f>IF(ISBLANK(fixtures!$L288),"",":")</f>
        <v>:</v>
      </c>
      <c r="F454" s="127">
        <f>IF(ISBLANK(fixtures!$L288),"",fixtures!$L288)</f>
        <v>0</v>
      </c>
      <c r="G454" s="36"/>
      <c r="H454" s="127" t="s">
        <v>7</v>
      </c>
      <c r="I454" s="127" t="s">
        <v>56</v>
      </c>
      <c r="J454" s="36"/>
      <c r="K454" s="36"/>
      <c r="L454" s="36"/>
      <c r="M454" s="36"/>
    </row>
    <row r="455" spans="1:21" x14ac:dyDescent="0.4">
      <c r="A455" s="174">
        <f ca="1">IFERROR(INDIRECT("fixtures!" &amp; Dashboard!J1 &amp;289) - Dashboard!K1/24,"TBC")</f>
        <v>45024.708333333336</v>
      </c>
      <c r="B455" s="125" t="s">
        <v>2</v>
      </c>
      <c r="C455" s="36"/>
      <c r="D455" s="125">
        <f>IF(ISBLANK(fixtures!$K289),"",fixtures!$K289)</f>
        <v>2</v>
      </c>
      <c r="E455" s="126" t="str">
        <f>IF(ISBLANK(fixtures!$L289),"",":")</f>
        <v>:</v>
      </c>
      <c r="F455" s="127">
        <f>IF(ISBLANK(fixtures!$L289),"",fixtures!$L289)</f>
        <v>0</v>
      </c>
      <c r="G455" s="36"/>
      <c r="H455" s="127" t="s">
        <v>204</v>
      </c>
      <c r="I455" s="127" t="s">
        <v>58</v>
      </c>
      <c r="J455" s="36"/>
      <c r="K455" s="36"/>
      <c r="L455" s="36"/>
      <c r="M455" s="36"/>
    </row>
    <row r="456" spans="1:21" x14ac:dyDescent="0.4">
      <c r="A456" s="174">
        <f ca="1">IFERROR(INDIRECT("fixtures!" &amp; Dashboard!J1 &amp;290) - Dashboard!K1/24,"TBC")</f>
        <v>45024.708333333336</v>
      </c>
      <c r="B456" s="125" t="s">
        <v>125</v>
      </c>
      <c r="C456" s="36"/>
      <c r="D456" s="125">
        <f>IF(ISBLANK(fixtures!$K290),"",fixtures!$K290)</f>
        <v>1</v>
      </c>
      <c r="E456" s="126" t="str">
        <f>IF(ISBLANK(fixtures!$L290),"",":")</f>
        <v>:</v>
      </c>
      <c r="F456" s="127">
        <f>IF(ISBLANK(fixtures!$L290),"",fixtures!$L290)</f>
        <v>2</v>
      </c>
      <c r="G456" s="36"/>
      <c r="H456" s="127" t="s">
        <v>12</v>
      </c>
      <c r="I456" s="127" t="s">
        <v>593</v>
      </c>
      <c r="J456" s="36"/>
      <c r="K456" s="36"/>
      <c r="L456" s="36"/>
      <c r="M456" s="36"/>
    </row>
    <row r="457" spans="1:21" x14ac:dyDescent="0.4">
      <c r="A457" s="174">
        <f ca="1">IFERROR(INDIRECT("fixtures!" &amp; Dashboard!J1 &amp;291) - Dashboard!K1/24,"TBC")</f>
        <v>45024.708333333336</v>
      </c>
      <c r="B457" s="125" t="s">
        <v>126</v>
      </c>
      <c r="C457" s="36"/>
      <c r="D457" s="125">
        <f>IF(ISBLANK(fixtures!$K291),"",fixtures!$K291)</f>
        <v>0</v>
      </c>
      <c r="E457" s="126" t="str">
        <f>IF(ISBLANK(fixtures!$L291),"",":")</f>
        <v>:</v>
      </c>
      <c r="F457" s="127">
        <f>IF(ISBLANK(fixtures!$L291),"",fixtures!$L291)</f>
        <v>1</v>
      </c>
      <c r="G457" s="36"/>
      <c r="H457" s="127" t="s">
        <v>15</v>
      </c>
      <c r="I457" s="127" t="s">
        <v>431</v>
      </c>
      <c r="J457" s="36"/>
      <c r="K457" s="36"/>
      <c r="L457" s="36"/>
      <c r="M457" s="36"/>
      <c r="N457" s="486"/>
      <c r="O457" s="486"/>
      <c r="P457" s="486"/>
      <c r="Q457" s="486"/>
      <c r="R457" s="486"/>
      <c r="S457" s="486"/>
      <c r="T457" s="486"/>
      <c r="U457" s="486"/>
    </row>
    <row r="458" spans="1:21" x14ac:dyDescent="0.4">
      <c r="A458" s="174">
        <f ca="1">IFERROR(INDIRECT("fixtures!" &amp; Dashboard!J1 &amp;292) - Dashboard!K1/24,"TBC")</f>
        <v>45024.708333333336</v>
      </c>
      <c r="B458" s="125" t="s">
        <v>8</v>
      </c>
      <c r="C458" s="36"/>
      <c r="D458" s="125">
        <f>IF(ISBLANK(fixtures!$K292),"",fixtures!$K292)</f>
        <v>0</v>
      </c>
      <c r="E458" s="126" t="str">
        <f>IF(ISBLANK(fixtures!$L292),"",":")</f>
        <v>:</v>
      </c>
      <c r="F458" s="127">
        <f>IF(ISBLANK(fixtures!$L292),"",fixtures!$L292)</f>
        <v>1</v>
      </c>
      <c r="G458" s="36"/>
      <c r="H458" s="127" t="s">
        <v>3</v>
      </c>
      <c r="I458" s="127" t="s">
        <v>54</v>
      </c>
      <c r="J458" s="36"/>
      <c r="K458" s="36"/>
      <c r="L458" s="36"/>
      <c r="M458" s="36"/>
    </row>
    <row r="459" spans="1:21" x14ac:dyDescent="0.4">
      <c r="A459" s="174">
        <f ca="1">IFERROR(INDIRECT("fixtures!" &amp; Dashboard!J1 &amp;293) - Dashboard!K1/24,"TBC")</f>
        <v>45024.708333333336</v>
      </c>
      <c r="B459" s="125" t="s">
        <v>14</v>
      </c>
      <c r="C459" s="36"/>
      <c r="D459" s="125">
        <f>IF(ISBLANK(fixtures!$K293),"",fixtures!$K293)</f>
        <v>2</v>
      </c>
      <c r="E459" s="126" t="str">
        <f>IF(ISBLANK(fixtures!$L293),"",":")</f>
        <v>:</v>
      </c>
      <c r="F459" s="127">
        <f>IF(ISBLANK(fixtures!$L293),"",fixtures!$L293)</f>
        <v>1</v>
      </c>
      <c r="G459" s="36"/>
      <c r="H459" s="127" t="s">
        <v>4</v>
      </c>
      <c r="I459" s="127" t="s">
        <v>53</v>
      </c>
      <c r="J459" s="36"/>
      <c r="K459" s="36"/>
      <c r="L459" s="36"/>
      <c r="M459" s="36"/>
    </row>
    <row r="460" spans="1:21" x14ac:dyDescent="0.4">
      <c r="A460" s="174">
        <f ca="1">IFERROR(INDIRECT("fixtures!" &amp; Dashboard!J1 &amp;294) - Dashboard!K1/24,"TBC")</f>
        <v>45024.708333333336</v>
      </c>
      <c r="B460" s="125" t="s">
        <v>16</v>
      </c>
      <c r="C460" s="36"/>
      <c r="D460" s="125">
        <f>IF(ISBLANK(fixtures!$K294),"",fixtures!$K294)</f>
        <v>1</v>
      </c>
      <c r="E460" s="126" t="str">
        <f>IF(ISBLANK(fixtures!$L294),"",":")</f>
        <v>:</v>
      </c>
      <c r="F460" s="127">
        <f>IF(ISBLANK(fixtures!$L294),"",fixtures!$L294)</f>
        <v>0</v>
      </c>
      <c r="G460" s="36"/>
      <c r="H460" s="127" t="s">
        <v>5</v>
      </c>
      <c r="I460" s="127" t="s">
        <v>63</v>
      </c>
      <c r="J460" s="36"/>
      <c r="K460" s="36"/>
      <c r="L460" s="36"/>
      <c r="M460" s="36"/>
    </row>
    <row r="461" spans="1:21" x14ac:dyDescent="0.4">
      <c r="A461" s="174">
        <f ca="1">IFERROR(INDIRECT("fixtures!" &amp; Dashboard!J1 &amp;295) - Dashboard!K1/24,"TBC")</f>
        <v>45024.8125</v>
      </c>
      <c r="B461" s="125" t="s">
        <v>13</v>
      </c>
      <c r="C461" s="36"/>
      <c r="D461" s="125">
        <f>IF(ISBLANK(fixtures!$K295),"",fixtures!$K295)</f>
        <v>1</v>
      </c>
      <c r="E461" s="126" t="str">
        <f>IF(ISBLANK(fixtures!$L295),"",":")</f>
        <v>:</v>
      </c>
      <c r="F461" s="127">
        <f>IF(ISBLANK(fixtures!$L295),"",fixtures!$L295)</f>
        <v>4</v>
      </c>
      <c r="G461" s="36"/>
      <c r="H461" s="127" t="s">
        <v>10</v>
      </c>
      <c r="I461" s="127" t="s">
        <v>60</v>
      </c>
      <c r="J461" s="36"/>
      <c r="K461" s="36"/>
      <c r="L461" s="36"/>
      <c r="M461" s="36"/>
    </row>
    <row r="462" spans="1:21" x14ac:dyDescent="0.4">
      <c r="A462" s="203" t="s">
        <v>657</v>
      </c>
      <c r="B462" s="204"/>
      <c r="C462" s="204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</row>
    <row r="463" spans="1:21" x14ac:dyDescent="0.4">
      <c r="A463" s="174">
        <f ca="1">IFERROR(INDIRECT("fixtures!" &amp; Dashboard!J1 &amp;296) - Dashboard!K1/24,"TBC")</f>
        <v>45025.666666666664</v>
      </c>
      <c r="B463" s="125" t="s">
        <v>139</v>
      </c>
      <c r="C463" s="36"/>
      <c r="D463" s="125">
        <f>IF(ISBLANK(fixtures!$K296),"",fixtures!$K296)</f>
        <v>1</v>
      </c>
      <c r="E463" s="126" t="str">
        <f>IF(ISBLANK(fixtures!$L296),"",":")</f>
        <v>:</v>
      </c>
      <c r="F463" s="127">
        <f>IF(ISBLANK(fixtures!$L296),"",fixtures!$L296)</f>
        <v>5</v>
      </c>
      <c r="G463" s="36"/>
      <c r="H463" s="127" t="s">
        <v>6</v>
      </c>
      <c r="I463" s="127" t="s">
        <v>140</v>
      </c>
      <c r="J463" s="36"/>
      <c r="K463" s="36"/>
      <c r="L463" s="36"/>
      <c r="M463" s="36"/>
    </row>
    <row r="464" spans="1:21" x14ac:dyDescent="0.4">
      <c r="A464" s="174">
        <f ca="1">IFERROR(INDIRECT("fixtures!" &amp; Dashboard!J1 &amp;297) - Dashboard!K1/24,"TBC")</f>
        <v>45025.770833333336</v>
      </c>
      <c r="B464" s="125" t="s">
        <v>9</v>
      </c>
      <c r="C464" s="36"/>
      <c r="D464" s="125">
        <f>IF(ISBLANK(fixtures!$K297),"",fixtures!$K297)</f>
        <v>2</v>
      </c>
      <c r="E464" s="126" t="str">
        <f>IF(ISBLANK(fixtures!$L297),"",":")</f>
        <v>:</v>
      </c>
      <c r="F464" s="127">
        <f>IF(ISBLANK(fixtures!$L297),"",fixtures!$L297)</f>
        <v>2</v>
      </c>
      <c r="G464" s="36"/>
      <c r="H464" s="127" t="s">
        <v>1</v>
      </c>
      <c r="I464" s="127" t="s">
        <v>48</v>
      </c>
      <c r="J464" s="36"/>
      <c r="K464" s="36"/>
      <c r="L464" s="36"/>
      <c r="M464" s="36"/>
    </row>
    <row r="465" spans="1:21" x14ac:dyDescent="0.4">
      <c r="A465" s="128" t="str">
        <f>"Time Zone: " &amp; Dashboard!D1</f>
        <v>Time Zone: Europe Western</v>
      </c>
      <c r="B465" s="36"/>
      <c r="C465" s="36"/>
      <c r="D465" s="36"/>
      <c r="E465" s="36"/>
      <c r="F465" s="36"/>
      <c r="G465" s="36"/>
      <c r="H465" s="36"/>
      <c r="I465" s="456" t="s">
        <v>592</v>
      </c>
      <c r="J465" s="36"/>
      <c r="K465" s="36"/>
      <c r="L465" s="36"/>
      <c r="M465" s="36"/>
    </row>
    <row r="466" spans="1:21" ht="31.5" x14ac:dyDescent="0.5">
      <c r="A466" s="5"/>
      <c r="B466" s="5"/>
      <c r="C466" s="5"/>
      <c r="D466" s="5"/>
      <c r="E466" s="5"/>
      <c r="F466" s="5"/>
      <c r="G466" s="5"/>
      <c r="H466" s="90" t="s">
        <v>93</v>
      </c>
      <c r="I466" s="5"/>
      <c r="J466" s="5"/>
      <c r="K466" s="5"/>
      <c r="L466" s="5"/>
      <c r="M466" s="5"/>
    </row>
    <row r="467" spans="1:21" x14ac:dyDescent="0.4">
      <c r="A467" s="187" t="s">
        <v>573</v>
      </c>
      <c r="B467" s="188"/>
      <c r="C467" s="188"/>
      <c r="D467" s="188"/>
      <c r="E467" s="188"/>
      <c r="F467" s="188"/>
      <c r="G467" s="188"/>
      <c r="H467" s="188"/>
      <c r="I467" s="188"/>
      <c r="J467" s="188"/>
      <c r="K467" s="188"/>
      <c r="L467" s="188"/>
      <c r="M467" s="188"/>
    </row>
    <row r="468" spans="1:21" x14ac:dyDescent="0.4">
      <c r="A468" s="167">
        <f ca="1">IFERROR(INDIRECT("fixtures!" &amp; Dashboard!J1 &amp;298) - Dashboard!K1/24,"TBC")</f>
        <v>45031.604166666664</v>
      </c>
      <c r="B468" s="91" t="s">
        <v>2</v>
      </c>
      <c r="C468" s="6"/>
      <c r="D468" s="91">
        <f>IF(ISBLANK(fixtures!$K298),"",fixtures!$K298)</f>
        <v>3</v>
      </c>
      <c r="E468" s="92" t="str">
        <f>IF(ISBLANK(fixtures!$L298),"",":")</f>
        <v>:</v>
      </c>
      <c r="F468" s="93">
        <f>IF(ISBLANK(fixtures!$L298),"",fixtures!$L298)</f>
        <v>0</v>
      </c>
      <c r="G468" s="6"/>
      <c r="H468" s="93" t="s">
        <v>12</v>
      </c>
      <c r="I468" s="93" t="s">
        <v>58</v>
      </c>
      <c r="J468" s="6"/>
      <c r="K468" s="6"/>
      <c r="L468" s="6"/>
      <c r="M468" s="6"/>
    </row>
    <row r="469" spans="1:21" x14ac:dyDescent="0.4">
      <c r="A469" s="167">
        <f ca="1">IFERROR(INDIRECT("fixtures!" &amp; Dashboard!J1 &amp;299) - Dashboard!K1/24,"TBC")</f>
        <v>45031.708333333336</v>
      </c>
      <c r="B469" s="91" t="s">
        <v>5</v>
      </c>
      <c r="C469" s="6"/>
      <c r="D469" s="91">
        <f>IF(ISBLANK(fixtures!$K299),"",fixtures!$K299)</f>
        <v>1</v>
      </c>
      <c r="E469" s="92" t="str">
        <f>IF(ISBLANK(fixtures!$L299),"",":")</f>
        <v>:</v>
      </c>
      <c r="F469" s="93">
        <f>IF(ISBLANK(fixtures!$L299),"",fixtures!$L299)</f>
        <v>2</v>
      </c>
      <c r="G469" s="6"/>
      <c r="H469" s="93" t="s">
        <v>4</v>
      </c>
      <c r="I469" s="93" t="s">
        <v>62</v>
      </c>
      <c r="J469" s="6"/>
      <c r="K469" s="6"/>
      <c r="L469" s="6"/>
      <c r="M469" s="6"/>
    </row>
    <row r="470" spans="1:21" x14ac:dyDescent="0.4">
      <c r="A470" s="167">
        <f ca="1">IFERROR(INDIRECT("fixtures!" &amp; Dashboard!J1 &amp;300) - Dashboard!K1/24,"TBC")</f>
        <v>45031.708333333336</v>
      </c>
      <c r="B470" s="91" t="s">
        <v>7</v>
      </c>
      <c r="C470" s="6"/>
      <c r="D470" s="91">
        <f>IF(ISBLANK(fixtures!$K300),"",fixtures!$K300)</f>
        <v>1</v>
      </c>
      <c r="E470" s="92" t="str">
        <f>IF(ISBLANK(fixtures!$L300),"",":")</f>
        <v>:</v>
      </c>
      <c r="F470" s="93">
        <f>IF(ISBLANK(fixtures!$L300),"",fixtures!$L300)</f>
        <v>3</v>
      </c>
      <c r="G470" s="6"/>
      <c r="H470" s="93" t="s">
        <v>126</v>
      </c>
      <c r="I470" s="93" t="s">
        <v>59</v>
      </c>
      <c r="J470" s="6"/>
      <c r="K470" s="6"/>
      <c r="L470" s="6"/>
      <c r="M470" s="6"/>
      <c r="N470" s="486"/>
      <c r="O470" s="486"/>
      <c r="P470" s="486"/>
      <c r="Q470" s="486"/>
      <c r="R470" s="486"/>
      <c r="S470" s="486"/>
      <c r="T470" s="486"/>
      <c r="U470" s="486"/>
    </row>
    <row r="471" spans="1:21" x14ac:dyDescent="0.4">
      <c r="A471" s="167">
        <f ca="1">IFERROR(INDIRECT("fixtures!" &amp; Dashboard!J1 &amp;301) - Dashboard!K1/24,"TBC")</f>
        <v>45031.708333333336</v>
      </c>
      <c r="B471" s="91" t="s">
        <v>13</v>
      </c>
      <c r="C471" s="6"/>
      <c r="D471" s="91">
        <f>IF(ISBLANK(fixtures!$K301),"",fixtures!$K301)</f>
        <v>0</v>
      </c>
      <c r="E471" s="92" t="str">
        <f>IF(ISBLANK(fixtures!$L301),"",":")</f>
        <v>:</v>
      </c>
      <c r="F471" s="93">
        <f>IF(ISBLANK(fixtures!$L301),"",fixtures!$L301)</f>
        <v>2</v>
      </c>
      <c r="G471" s="6"/>
      <c r="H471" s="93" t="s">
        <v>6</v>
      </c>
      <c r="I471" s="93" t="s">
        <v>60</v>
      </c>
      <c r="J471" s="6"/>
      <c r="K471" s="6"/>
      <c r="L471" s="6"/>
      <c r="M471" s="6"/>
    </row>
    <row r="472" spans="1:21" x14ac:dyDescent="0.4">
      <c r="A472" s="167">
        <f ca="1">IFERROR(INDIRECT("fixtures!" &amp; Dashboard!J1 &amp;302) - Dashboard!K1/24,"TBC")</f>
        <v>45031.708333333336</v>
      </c>
      <c r="B472" s="91" t="s">
        <v>16</v>
      </c>
      <c r="C472" s="6"/>
      <c r="D472" s="91">
        <f>IF(ISBLANK(fixtures!$K302),"",fixtures!$K302)</f>
        <v>2</v>
      </c>
      <c r="E472" s="92" t="str">
        <f>IF(ISBLANK(fixtures!$L302),"",":")</f>
        <v>:</v>
      </c>
      <c r="F472" s="93">
        <f>IF(ISBLANK(fixtures!$L302),"",fixtures!$L302)</f>
        <v>0</v>
      </c>
      <c r="G472" s="6"/>
      <c r="H472" s="93" t="s">
        <v>125</v>
      </c>
      <c r="I472" s="93" t="s">
        <v>63</v>
      </c>
      <c r="J472" s="6"/>
      <c r="K472" s="6"/>
      <c r="L472" s="6"/>
      <c r="M472" s="6"/>
    </row>
    <row r="473" spans="1:21" x14ac:dyDescent="0.4">
      <c r="A473" s="167">
        <f ca="1">IFERROR(INDIRECT("fixtures!" &amp; Dashboard!J1 &amp;303) - Dashboard!K1/24,"TBC")</f>
        <v>45031.71875</v>
      </c>
      <c r="B473" s="91" t="s">
        <v>14</v>
      </c>
      <c r="C473" s="6"/>
      <c r="D473" s="91">
        <f>IF(ISBLANK(fixtures!$K303),"",fixtures!$K303)</f>
        <v>2</v>
      </c>
      <c r="E473" s="92" t="str">
        <f>IF(ISBLANK(fixtures!$L303),"",":")</f>
        <v>:</v>
      </c>
      <c r="F473" s="93">
        <f>IF(ISBLANK(fixtures!$L303),"",fixtures!$L303)</f>
        <v>3</v>
      </c>
      <c r="G473" s="6"/>
      <c r="H473" s="93" t="s">
        <v>3</v>
      </c>
      <c r="I473" s="93" t="s">
        <v>53</v>
      </c>
      <c r="J473" s="6"/>
      <c r="K473" s="6"/>
      <c r="L473" s="6"/>
      <c r="M473" s="6"/>
    </row>
    <row r="474" spans="1:21" x14ac:dyDescent="0.4">
      <c r="A474" s="167">
        <f ca="1">IFERROR(INDIRECT("fixtures!" &amp; Dashboard!J1 &amp;304) - Dashboard!K1/24,"TBC")</f>
        <v>45031.8125</v>
      </c>
      <c r="B474" s="91" t="s">
        <v>10</v>
      </c>
      <c r="C474" s="6"/>
      <c r="D474" s="91">
        <f>IF(ISBLANK(fixtures!$K304),"",fixtures!$K304)</f>
        <v>3</v>
      </c>
      <c r="E474" s="92" t="str">
        <f>IF(ISBLANK(fixtures!$L304),"",":")</f>
        <v>:</v>
      </c>
      <c r="F474" s="93">
        <f>IF(ISBLANK(fixtures!$L304),"",fixtures!$L304)</f>
        <v>1</v>
      </c>
      <c r="G474" s="6"/>
      <c r="H474" s="93" t="s">
        <v>8</v>
      </c>
      <c r="I474" s="93" t="s">
        <v>61</v>
      </c>
      <c r="J474" s="6"/>
      <c r="K474" s="6"/>
      <c r="L474" s="6"/>
      <c r="M474" s="6"/>
    </row>
    <row r="475" spans="1:21" x14ac:dyDescent="0.4">
      <c r="A475" s="187" t="s">
        <v>658</v>
      </c>
      <c r="B475" s="188"/>
      <c r="C475" s="188"/>
      <c r="D475" s="188"/>
      <c r="E475" s="188"/>
      <c r="F475" s="188"/>
      <c r="G475" s="188"/>
      <c r="H475" s="188"/>
      <c r="I475" s="188"/>
      <c r="J475" s="188"/>
      <c r="K475" s="188"/>
      <c r="L475" s="188"/>
      <c r="M475" s="188"/>
    </row>
    <row r="476" spans="1:21" x14ac:dyDescent="0.4">
      <c r="A476" s="167">
        <f ca="1">IFERROR(INDIRECT("fixtures!" &amp; Dashboard!J1 &amp;305) - Dashboard!K1/24,"TBC")</f>
        <v>45032.666666666664</v>
      </c>
      <c r="B476" s="91" t="s">
        <v>15</v>
      </c>
      <c r="C476" s="6"/>
      <c r="D476" s="91">
        <f>IF(ISBLANK(fixtures!$K305),"",fixtures!$K305)</f>
        <v>2</v>
      </c>
      <c r="E476" s="92" t="str">
        <f>IF(ISBLANK(fixtures!$L305),"",":")</f>
        <v>:</v>
      </c>
      <c r="F476" s="93">
        <f>IF(ISBLANK(fixtures!$L305),"",fixtures!$L305)</f>
        <v>2</v>
      </c>
      <c r="G476" s="6"/>
      <c r="H476" s="93" t="s">
        <v>1</v>
      </c>
      <c r="I476" s="93" t="s">
        <v>50</v>
      </c>
      <c r="J476" s="6"/>
      <c r="K476" s="6"/>
      <c r="L476" s="6"/>
      <c r="M476" s="6"/>
    </row>
    <row r="477" spans="1:21" x14ac:dyDescent="0.4">
      <c r="A477" s="167">
        <f ca="1">IFERROR(INDIRECT("fixtures!" &amp; Dashboard!J1 &amp;306) - Dashboard!K1/24,"TBC")</f>
        <v>45032.770833333336</v>
      </c>
      <c r="B477" s="91" t="s">
        <v>204</v>
      </c>
      <c r="C477" s="6"/>
      <c r="D477" s="91">
        <f>IF(ISBLANK(fixtures!$K306),"",fixtures!$K306)</f>
        <v>0</v>
      </c>
      <c r="E477" s="92" t="str">
        <f>IF(ISBLANK(fixtures!$L306),"",":")</f>
        <v>:</v>
      </c>
      <c r="F477" s="93">
        <f>IF(ISBLANK(fixtures!$L306),"",fixtures!$L306)</f>
        <v>2</v>
      </c>
      <c r="G477" s="6"/>
      <c r="H477" s="93" t="s">
        <v>11</v>
      </c>
      <c r="I477" s="93" t="s">
        <v>436</v>
      </c>
      <c r="J477" s="6"/>
      <c r="K477" s="6"/>
      <c r="L477" s="6"/>
      <c r="M477" s="6"/>
    </row>
    <row r="478" spans="1:21" x14ac:dyDescent="0.4">
      <c r="A478" s="187" t="s">
        <v>659</v>
      </c>
      <c r="B478" s="188"/>
      <c r="C478" s="188"/>
      <c r="D478" s="188"/>
      <c r="E478" s="188"/>
      <c r="F478" s="188"/>
      <c r="G478" s="188"/>
      <c r="H478" s="188"/>
      <c r="I478" s="188"/>
      <c r="J478" s="188"/>
      <c r="K478" s="188"/>
      <c r="L478" s="188"/>
      <c r="M478" s="188"/>
      <c r="N478" s="486"/>
      <c r="O478" s="486"/>
      <c r="P478" s="486"/>
      <c r="Q478" s="486"/>
      <c r="R478" s="486"/>
      <c r="S478" s="486"/>
      <c r="T478" s="486"/>
      <c r="U478" s="486"/>
    </row>
    <row r="479" spans="1:21" x14ac:dyDescent="0.4">
      <c r="A479" s="167">
        <f ca="1">IFERROR(INDIRECT("fixtures!" &amp; Dashboard!J1 &amp;307) - Dashboard!K1/24,"TBC")</f>
        <v>45033.916666666664</v>
      </c>
      <c r="B479" s="91" t="s">
        <v>139</v>
      </c>
      <c r="C479" s="6"/>
      <c r="D479" s="91">
        <f>IF(ISBLANK(fixtures!$K307),"",fixtures!$K307)</f>
        <v>1</v>
      </c>
      <c r="E479" s="92" t="str">
        <f>IF(ISBLANK(fixtures!$L307),"",":")</f>
        <v>:</v>
      </c>
      <c r="F479" s="93">
        <f>IF(ISBLANK(fixtures!$L307),"",fixtures!$L307)</f>
        <v>6</v>
      </c>
      <c r="G479" s="6"/>
      <c r="H479" s="93" t="s">
        <v>9</v>
      </c>
      <c r="I479" s="93" t="s">
        <v>140</v>
      </c>
      <c r="J479" s="6"/>
      <c r="K479" s="6"/>
      <c r="L479" s="6"/>
      <c r="M479" s="6"/>
    </row>
    <row r="480" spans="1:21" x14ac:dyDescent="0.4">
      <c r="A480" s="94" t="str">
        <f>"Time Zone: " &amp; Dashboard!D1</f>
        <v>Time Zone: Europe Western</v>
      </c>
      <c r="B480" s="6"/>
      <c r="C480" s="6"/>
      <c r="D480" s="6"/>
      <c r="E480" s="6"/>
      <c r="F480" s="6"/>
      <c r="G480" s="6"/>
      <c r="H480" s="6"/>
      <c r="I480" s="447" t="s">
        <v>592</v>
      </c>
      <c r="J480" s="6"/>
      <c r="K480" s="6"/>
      <c r="L480" s="6"/>
      <c r="M480" s="6"/>
    </row>
    <row r="481" spans="1:21" ht="31.5" x14ac:dyDescent="0.5">
      <c r="A481" s="10"/>
      <c r="B481" s="10"/>
      <c r="C481" s="10"/>
      <c r="D481" s="10"/>
      <c r="E481" s="10"/>
      <c r="F481" s="10"/>
      <c r="G481" s="10"/>
      <c r="H481" s="95" t="s">
        <v>94</v>
      </c>
      <c r="I481" s="10"/>
      <c r="J481" s="10"/>
      <c r="K481" s="10"/>
      <c r="L481" s="10"/>
      <c r="M481" s="10"/>
    </row>
    <row r="482" spans="1:21" x14ac:dyDescent="0.4">
      <c r="A482" s="189" t="s">
        <v>660</v>
      </c>
      <c r="B482" s="190"/>
      <c r="C482" s="190"/>
      <c r="D482" s="190"/>
      <c r="E482" s="190"/>
      <c r="F482" s="190"/>
      <c r="G482" s="190"/>
      <c r="H482" s="190"/>
      <c r="I482" s="190"/>
      <c r="J482" s="190"/>
      <c r="K482" s="190"/>
      <c r="L482" s="190"/>
      <c r="M482" s="190"/>
    </row>
    <row r="483" spans="1:21" x14ac:dyDescent="0.4">
      <c r="A483" s="168">
        <f ca="1">IFERROR(INDIRECT("fixtures!" &amp; Dashboard!J1 &amp;308) - Dashboard!K1/24,"TBC")</f>
        <v>45037.916666666664</v>
      </c>
      <c r="B483" s="96" t="s">
        <v>1</v>
      </c>
      <c r="C483" s="11"/>
      <c r="D483" s="96">
        <f>IF(ISBLANK(fixtures!$K308),"",fixtures!$K308)</f>
        <v>3</v>
      </c>
      <c r="E483" s="97" t="str">
        <f>IF(ISBLANK(fixtures!$L308),"",":")</f>
        <v>:</v>
      </c>
      <c r="F483" s="98">
        <f>IF(ISBLANK(fixtures!$L308),"",fixtures!$L308)</f>
        <v>3</v>
      </c>
      <c r="G483" s="11"/>
      <c r="H483" s="98" t="s">
        <v>13</v>
      </c>
      <c r="I483" s="98" t="s">
        <v>57</v>
      </c>
      <c r="J483" s="11"/>
      <c r="K483" s="11"/>
      <c r="L483" s="11"/>
      <c r="M483" s="11"/>
    </row>
    <row r="484" spans="1:21" x14ac:dyDescent="0.4">
      <c r="A484" s="189" t="s">
        <v>574</v>
      </c>
      <c r="B484" s="190"/>
      <c r="C484" s="190"/>
      <c r="D484" s="190"/>
      <c r="E484" s="190"/>
      <c r="F484" s="190"/>
      <c r="G484" s="190"/>
      <c r="H484" s="190"/>
      <c r="I484" s="190"/>
      <c r="J484" s="190"/>
      <c r="K484" s="190"/>
      <c r="L484" s="190"/>
      <c r="M484" s="190"/>
      <c r="N484" s="486"/>
      <c r="O484" s="486"/>
      <c r="P484" s="486"/>
      <c r="Q484" s="486"/>
      <c r="R484" s="486"/>
      <c r="S484" s="486"/>
      <c r="T484" s="486"/>
      <c r="U484" s="486"/>
    </row>
    <row r="485" spans="1:21" x14ac:dyDescent="0.4">
      <c r="A485" s="168">
        <f ca="1">IFERROR(INDIRECT("fixtures!" &amp; Dashboard!J1 &amp;309) - Dashboard!K1/24,"TBC")</f>
        <v>45038.604166666664</v>
      </c>
      <c r="B485" s="96" t="s">
        <v>126</v>
      </c>
      <c r="C485" s="11"/>
      <c r="D485" s="96">
        <f>IF(ISBLANK(fixtures!$K309),"",fixtures!$K309)</f>
        <v>2</v>
      </c>
      <c r="E485" s="97" t="str">
        <f>IF(ISBLANK(fixtures!$L309),"",":")</f>
        <v>:</v>
      </c>
      <c r="F485" s="98">
        <f>IF(ISBLANK(fixtures!$L309),"",fixtures!$L309)</f>
        <v>1</v>
      </c>
      <c r="G485" s="11"/>
      <c r="H485" s="98" t="s">
        <v>139</v>
      </c>
      <c r="I485" s="98" t="s">
        <v>431</v>
      </c>
      <c r="J485" s="11"/>
      <c r="K485" s="11"/>
      <c r="L485" s="11"/>
      <c r="M485" s="11"/>
    </row>
    <row r="486" spans="1:21" x14ac:dyDescent="0.4">
      <c r="A486" s="168">
        <f ca="1">IFERROR(INDIRECT("fixtures!" &amp; Dashboard!J1 &amp;310) - Dashboard!K1/24,"TBC")</f>
        <v>45038.708333333336</v>
      </c>
      <c r="B486" s="96" t="s">
        <v>125</v>
      </c>
      <c r="C486" s="11"/>
      <c r="D486" s="96">
        <f>IF(ISBLANK(fixtures!$K310),"",fixtures!$K310)</f>
        <v>1</v>
      </c>
      <c r="E486" s="97" t="str">
        <f>IF(ISBLANK(fixtures!$L310),"",":")</f>
        <v>:</v>
      </c>
      <c r="F486" s="98">
        <f>IF(ISBLANK(fixtures!$L310),"",fixtures!$L310)</f>
        <v>1</v>
      </c>
      <c r="G486" s="11"/>
      <c r="H486" s="98" t="s">
        <v>2</v>
      </c>
      <c r="I486" s="98" t="s">
        <v>593</v>
      </c>
      <c r="J486" s="11"/>
      <c r="K486" s="11"/>
      <c r="L486" s="11"/>
      <c r="M486" s="11"/>
    </row>
    <row r="487" spans="1:21" x14ac:dyDescent="0.4">
      <c r="A487" s="168">
        <f ca="1">IFERROR(INDIRECT("fixtures!" &amp; Dashboard!J1 &amp;311) - Dashboard!K1/24,"TBC")</f>
        <v>45038.708333333336</v>
      </c>
      <c r="B487" s="96" t="s">
        <v>6</v>
      </c>
      <c r="C487" s="11"/>
      <c r="D487" s="96">
        <f>IF(ISBLANK(fixtures!$K311),"",fixtures!$K311)</f>
        <v>0</v>
      </c>
      <c r="E487" s="97" t="str">
        <f>IF(ISBLANK(fixtures!$L311),"",":")</f>
        <v>:</v>
      </c>
      <c r="F487" s="98">
        <f>IF(ISBLANK(fixtures!$L311),"",fixtures!$L311)</f>
        <v>0</v>
      </c>
      <c r="G487" s="11"/>
      <c r="H487" s="98" t="s">
        <v>7</v>
      </c>
      <c r="I487" s="98" t="s">
        <v>52</v>
      </c>
      <c r="J487" s="11"/>
      <c r="K487" s="11"/>
      <c r="L487" s="11"/>
      <c r="M487" s="11"/>
    </row>
    <row r="488" spans="1:21" x14ac:dyDescent="0.4">
      <c r="A488" s="168">
        <f ca="1">IFERROR(INDIRECT("fixtures!" &amp; Dashboard!J1 &amp;312) - Dashboard!K1/24,"TBC")</f>
        <v>45038.708333333336</v>
      </c>
      <c r="B488" s="96" t="s">
        <v>8</v>
      </c>
      <c r="C488" s="11"/>
      <c r="D488" s="96">
        <f>IF(ISBLANK(fixtures!$K312),"",fixtures!$K312)</f>
        <v>2</v>
      </c>
      <c r="E488" s="97" t="str">
        <f>IF(ISBLANK(fixtures!$L312),"",":")</f>
        <v>:</v>
      </c>
      <c r="F488" s="98">
        <f>IF(ISBLANK(fixtures!$L312),"",fixtures!$L312)</f>
        <v>1</v>
      </c>
      <c r="G488" s="11"/>
      <c r="H488" s="98" t="s">
        <v>16</v>
      </c>
      <c r="I488" s="98" t="s">
        <v>54</v>
      </c>
      <c r="J488" s="11"/>
      <c r="K488" s="11"/>
      <c r="L488" s="11"/>
      <c r="M488" s="11"/>
    </row>
    <row r="489" spans="1:21" x14ac:dyDescent="0.4">
      <c r="A489" s="168">
        <f ca="1">IFERROR(INDIRECT("fixtures!" &amp; Dashboard!J1 &amp;313) - Dashboard!K1/24,"TBC")</f>
        <v>45038.708333333336</v>
      </c>
      <c r="B489" s="96" t="s">
        <v>9</v>
      </c>
      <c r="C489" s="11"/>
      <c r="D489" s="96">
        <f>IF(ISBLANK(fixtures!$K313),"",fixtures!$K313)</f>
        <v>3</v>
      </c>
      <c r="E489" s="97" t="str">
        <f>IF(ISBLANK(fixtures!$L313),"",":")</f>
        <v>:</v>
      </c>
      <c r="F489" s="98">
        <f>IF(ISBLANK(fixtures!$L313),"",fixtures!$L313)</f>
        <v>2</v>
      </c>
      <c r="G489" s="11"/>
      <c r="H489" s="98" t="s">
        <v>204</v>
      </c>
      <c r="I489" s="98" t="s">
        <v>48</v>
      </c>
      <c r="J489" s="11"/>
      <c r="K489" s="11"/>
      <c r="L489" s="11"/>
      <c r="M489" s="11"/>
    </row>
    <row r="490" spans="1:21" x14ac:dyDescent="0.4">
      <c r="A490" s="189" t="s">
        <v>661</v>
      </c>
      <c r="B490" s="190"/>
      <c r="C490" s="190"/>
      <c r="D490" s="190"/>
      <c r="E490" s="190"/>
      <c r="F490" s="190"/>
      <c r="G490" s="190"/>
      <c r="H490" s="190"/>
      <c r="I490" s="190"/>
      <c r="J490" s="190"/>
      <c r="K490" s="190"/>
      <c r="L490" s="190"/>
      <c r="M490" s="190"/>
    </row>
    <row r="491" spans="1:21" x14ac:dyDescent="0.4">
      <c r="A491" s="168">
        <f ca="1">IFERROR(INDIRECT("fixtures!" &amp; Dashboard!J1 &amp;314) - Dashboard!K1/24,"TBC")</f>
        <v>45039.666666666664</v>
      </c>
      <c r="B491" s="96" t="s">
        <v>3</v>
      </c>
      <c r="C491" s="11"/>
      <c r="D491" s="96">
        <f>IF(ISBLANK(fixtures!$K314),"",fixtures!$K314)</f>
        <v>0</v>
      </c>
      <c r="E491" s="97" t="str">
        <f>IF(ISBLANK(fixtures!$L314),"",":")</f>
        <v>:</v>
      </c>
      <c r="F491" s="98">
        <f>IF(ISBLANK(fixtures!$L314),"",fixtures!$L314)</f>
        <v>4</v>
      </c>
      <c r="G491" s="11"/>
      <c r="H491" s="98" t="s">
        <v>15</v>
      </c>
      <c r="I491" s="98" t="s">
        <v>51</v>
      </c>
      <c r="J491" s="11"/>
      <c r="K491" s="11"/>
      <c r="L491" s="11"/>
      <c r="M491" s="11"/>
    </row>
    <row r="492" spans="1:21" x14ac:dyDescent="0.4">
      <c r="A492" s="168">
        <f ca="1">IFERROR(INDIRECT("fixtures!" &amp; Dashboard!J1 &amp;315) - Dashboard!K1/24,"TBC")</f>
        <v>45039.666666666664</v>
      </c>
      <c r="B492" s="96" t="s">
        <v>12</v>
      </c>
      <c r="C492" s="11"/>
      <c r="D492" s="96">
        <f>IF(ISBLANK(fixtures!$K315),"",fixtures!$K315)</f>
        <v>6</v>
      </c>
      <c r="E492" s="97" t="str">
        <f>IF(ISBLANK(fixtures!$L315),"",":")</f>
        <v>:</v>
      </c>
      <c r="F492" s="98">
        <f>IF(ISBLANK(fixtures!$L315),"",fixtures!$L315)</f>
        <v>1</v>
      </c>
      <c r="G492" s="11"/>
      <c r="H492" s="98" t="s">
        <v>14</v>
      </c>
      <c r="I492" s="98" t="s">
        <v>55</v>
      </c>
      <c r="J492" s="11"/>
      <c r="K492" s="11"/>
      <c r="L492" s="11"/>
      <c r="M492" s="11"/>
    </row>
    <row r="493" spans="1:21" x14ac:dyDescent="0.4">
      <c r="A493" s="99" t="str">
        <f>"Time Zone: " &amp; Dashboard!D1</f>
        <v>Time Zone: Europe Western</v>
      </c>
      <c r="B493" s="11"/>
      <c r="C493" s="11"/>
      <c r="D493" s="11"/>
      <c r="E493" s="11"/>
      <c r="F493" s="11"/>
      <c r="G493" s="11"/>
      <c r="H493" s="11"/>
      <c r="I493" s="448" t="s">
        <v>592</v>
      </c>
      <c r="J493" s="11"/>
      <c r="K493" s="11"/>
      <c r="L493" s="11"/>
      <c r="M493" s="11"/>
    </row>
    <row r="494" spans="1:21" ht="31.5" x14ac:dyDescent="0.5">
      <c r="A494" s="12"/>
      <c r="B494" s="12"/>
      <c r="C494" s="12"/>
      <c r="D494" s="12"/>
      <c r="E494" s="12"/>
      <c r="F494" s="12"/>
      <c r="G494" s="12"/>
      <c r="H494" s="100" t="s">
        <v>95</v>
      </c>
      <c r="I494" s="12"/>
      <c r="J494" s="12"/>
      <c r="K494" s="12"/>
      <c r="L494" s="12"/>
      <c r="M494" s="12"/>
    </row>
    <row r="495" spans="1:21" x14ac:dyDescent="0.4">
      <c r="A495" s="191" t="s">
        <v>575</v>
      </c>
      <c r="B495" s="192"/>
      <c r="C495" s="192"/>
      <c r="D495" s="192"/>
      <c r="E495" s="192"/>
      <c r="F495" s="192"/>
      <c r="G495" s="192"/>
      <c r="H495" s="192"/>
      <c r="I495" s="192"/>
      <c r="J495" s="192"/>
      <c r="K495" s="192"/>
      <c r="L495" s="192"/>
      <c r="M495" s="192"/>
    </row>
    <row r="496" spans="1:21" x14ac:dyDescent="0.4">
      <c r="A496" s="169">
        <f ca="1">IFERROR(INDIRECT("fixtures!" &amp; Dashboard!J1 &amp;316) - Dashboard!K1/24,"TBC")</f>
        <v>45041.895833333336</v>
      </c>
      <c r="B496" s="101" t="s">
        <v>16</v>
      </c>
      <c r="C496" s="13"/>
      <c r="D496" s="101">
        <f>IF(ISBLANK(fixtures!$K316),"",fixtures!$K316)</f>
        <v>2</v>
      </c>
      <c r="E496" s="102" t="str">
        <f>IF(ISBLANK(fixtures!$L316),"",":")</f>
        <v>:</v>
      </c>
      <c r="F496" s="103">
        <f>IF(ISBLANK(fixtures!$L316),"",fixtures!$L316)</f>
        <v>0</v>
      </c>
      <c r="G496" s="13"/>
      <c r="H496" s="103" t="s">
        <v>6</v>
      </c>
      <c r="I496" s="103" t="s">
        <v>63</v>
      </c>
      <c r="J496" s="13"/>
      <c r="K496" s="13"/>
      <c r="L496" s="13"/>
      <c r="M496" s="13"/>
    </row>
    <row r="497" spans="1:21" x14ac:dyDescent="0.4">
      <c r="A497" s="169">
        <f ca="1">IFERROR(INDIRECT("fixtures!" &amp; Dashboard!J1 &amp;317) - Dashboard!K1/24,"TBC")</f>
        <v>45041.90625</v>
      </c>
      <c r="B497" s="101" t="s">
        <v>2</v>
      </c>
      <c r="C497" s="13"/>
      <c r="D497" s="101">
        <f>IF(ISBLANK(fixtures!$K317),"",fixtures!$K317)</f>
        <v>1</v>
      </c>
      <c r="E497" s="102" t="str">
        <f>IF(ISBLANK(fixtures!$L317),"",":")</f>
        <v>:</v>
      </c>
      <c r="F497" s="103">
        <f>IF(ISBLANK(fixtures!$L317),"",fixtures!$L317)</f>
        <v>0</v>
      </c>
      <c r="G497" s="13"/>
      <c r="H497" s="103" t="s">
        <v>126</v>
      </c>
      <c r="I497" s="103" t="s">
        <v>58</v>
      </c>
      <c r="J497" s="13"/>
      <c r="K497" s="13"/>
      <c r="L497" s="13"/>
      <c r="M497" s="13"/>
      <c r="N497" s="486"/>
      <c r="O497" s="486"/>
      <c r="P497" s="486"/>
      <c r="Q497" s="486"/>
      <c r="R497" s="486"/>
      <c r="S497" s="486"/>
      <c r="T497" s="486"/>
      <c r="U497" s="486"/>
    </row>
    <row r="498" spans="1:21" x14ac:dyDescent="0.4">
      <c r="A498" s="169">
        <f ca="1">IFERROR(INDIRECT("fixtures!" &amp; Dashboard!J1 &amp;318) - Dashboard!K1/24,"TBC")</f>
        <v>45041.916666666664</v>
      </c>
      <c r="B498" s="101" t="s">
        <v>139</v>
      </c>
      <c r="C498" s="13"/>
      <c r="D498" s="101">
        <f>IF(ISBLANK(fixtures!$K318),"",fixtures!$K318)</f>
        <v>1</v>
      </c>
      <c r="E498" s="102" t="str">
        <f>IF(ISBLANK(fixtures!$L318),"",":")</f>
        <v>:</v>
      </c>
      <c r="F498" s="103">
        <f>IF(ISBLANK(fixtures!$L318),"",fixtures!$L318)</f>
        <v>1</v>
      </c>
      <c r="G498" s="13"/>
      <c r="H498" s="103" t="s">
        <v>8</v>
      </c>
      <c r="I498" s="103" t="s">
        <v>140</v>
      </c>
      <c r="J498" s="13"/>
      <c r="K498" s="13"/>
      <c r="L498" s="13"/>
      <c r="M498" s="13"/>
    </row>
    <row r="499" spans="1:21" x14ac:dyDescent="0.4">
      <c r="A499" s="191" t="s">
        <v>576</v>
      </c>
      <c r="B499" s="192"/>
      <c r="C499" s="192"/>
      <c r="D499" s="192"/>
      <c r="E499" s="192"/>
      <c r="F499" s="192"/>
      <c r="G499" s="192"/>
      <c r="H499" s="192"/>
      <c r="I499" s="192"/>
      <c r="J499" s="192"/>
      <c r="K499" s="192"/>
      <c r="L499" s="192"/>
      <c r="M499" s="192"/>
    </row>
    <row r="500" spans="1:21" x14ac:dyDescent="0.4">
      <c r="A500" s="169">
        <f ca="1">IFERROR(INDIRECT("fixtures!" &amp; Dashboard!J1 &amp;319) - Dashboard!K1/24,"TBC")</f>
        <v>45042.895833333336</v>
      </c>
      <c r="B500" s="101" t="s">
        <v>204</v>
      </c>
      <c r="C500" s="13"/>
      <c r="D500" s="101">
        <f>IF(ISBLANK(fixtures!$K319),"",fixtures!$K319)</f>
        <v>3</v>
      </c>
      <c r="E500" s="102" t="str">
        <f>IF(ISBLANK(fixtures!$L319),"",":")</f>
        <v>:</v>
      </c>
      <c r="F500" s="103">
        <f>IF(ISBLANK(fixtures!$L319),"",fixtures!$L319)</f>
        <v>1</v>
      </c>
      <c r="G500" s="13"/>
      <c r="H500" s="103" t="s">
        <v>4</v>
      </c>
      <c r="I500" s="103" t="s">
        <v>436</v>
      </c>
      <c r="J500" s="13"/>
      <c r="K500" s="13"/>
      <c r="L500" s="13"/>
      <c r="M500" s="13"/>
    </row>
    <row r="501" spans="1:21" x14ac:dyDescent="0.4">
      <c r="A501" s="169">
        <f ca="1">IFERROR(INDIRECT("fixtures!" &amp; Dashboard!J1 &amp;320) - Dashboard!K1/24,"TBC")</f>
        <v>45042.90625</v>
      </c>
      <c r="B501" s="101" t="s">
        <v>5</v>
      </c>
      <c r="C501" s="13"/>
      <c r="D501" s="101">
        <f>IF(ISBLANK(fixtures!$K320),"",fixtures!$K320)</f>
        <v>0</v>
      </c>
      <c r="E501" s="102" t="str">
        <f>IF(ISBLANK(fixtures!$L320),"",":")</f>
        <v>:</v>
      </c>
      <c r="F501" s="103">
        <f>IF(ISBLANK(fixtures!$L320),"",fixtures!$L320)</f>
        <v>2</v>
      </c>
      <c r="G501" s="13"/>
      <c r="H501" s="103" t="s">
        <v>125</v>
      </c>
      <c r="I501" s="103" t="s">
        <v>62</v>
      </c>
      <c r="J501" s="13"/>
      <c r="K501" s="13"/>
      <c r="L501" s="13"/>
      <c r="M501" s="13"/>
    </row>
    <row r="502" spans="1:21" x14ac:dyDescent="0.4">
      <c r="A502" s="169">
        <f ca="1">IFERROR(INDIRECT("fixtures!" &amp; Dashboard!J1 &amp;321) - Dashboard!K1/24,"TBC")</f>
        <v>45042.90625</v>
      </c>
      <c r="B502" s="101" t="s">
        <v>15</v>
      </c>
      <c r="C502" s="13"/>
      <c r="D502" s="101">
        <f>IF(ISBLANK(fixtures!$K321),"",fixtures!$K321)</f>
        <v>1</v>
      </c>
      <c r="E502" s="102" t="str">
        <f>IF(ISBLANK(fixtures!$L321),"",":")</f>
        <v>:</v>
      </c>
      <c r="F502" s="103">
        <f>IF(ISBLANK(fixtures!$L321),"",fixtures!$L321)</f>
        <v>2</v>
      </c>
      <c r="G502" s="13"/>
      <c r="H502" s="103" t="s">
        <v>9</v>
      </c>
      <c r="I502" s="103" t="s">
        <v>50</v>
      </c>
      <c r="J502" s="13"/>
      <c r="K502" s="13"/>
      <c r="L502" s="13"/>
      <c r="M502" s="13"/>
    </row>
    <row r="503" spans="1:21" x14ac:dyDescent="0.4">
      <c r="A503" s="169">
        <f ca="1">IFERROR(INDIRECT("fixtures!" &amp; Dashboard!J1 &amp;322) - Dashboard!K1/24,"TBC")</f>
        <v>45042.916666666664</v>
      </c>
      <c r="B503" s="101" t="s">
        <v>10</v>
      </c>
      <c r="C503" s="13"/>
      <c r="D503" s="101">
        <f>IF(ISBLANK(fixtures!$K322),"",fixtures!$K322)</f>
        <v>4</v>
      </c>
      <c r="E503" s="102" t="str">
        <f>IF(ISBLANK(fixtures!$L322),"",":")</f>
        <v>:</v>
      </c>
      <c r="F503" s="103">
        <f>IF(ISBLANK(fixtures!$L322),"",fixtures!$L322)</f>
        <v>1</v>
      </c>
      <c r="G503" s="13"/>
      <c r="H503" s="103" t="s">
        <v>1</v>
      </c>
      <c r="I503" s="103" t="s">
        <v>61</v>
      </c>
      <c r="J503" s="13"/>
      <c r="K503" s="13"/>
      <c r="L503" s="13"/>
      <c r="M503" s="13"/>
    </row>
    <row r="504" spans="1:21" x14ac:dyDescent="0.4">
      <c r="A504" s="191" t="s">
        <v>662</v>
      </c>
      <c r="B504" s="192"/>
      <c r="C504" s="192"/>
      <c r="D504" s="192"/>
      <c r="E504" s="192"/>
      <c r="F504" s="192"/>
      <c r="G504" s="192"/>
      <c r="H504" s="192"/>
      <c r="I504" s="192"/>
      <c r="J504" s="192"/>
      <c r="K504" s="192"/>
      <c r="L504" s="192"/>
      <c r="M504" s="192"/>
    </row>
    <row r="505" spans="1:21" x14ac:dyDescent="0.4">
      <c r="A505" s="169">
        <f ca="1">IFERROR(INDIRECT("fixtures!" &amp; Dashboard!J1 &amp;323) - Dashboard!K1/24,"TBC")</f>
        <v>45043.90625</v>
      </c>
      <c r="B505" s="101" t="s">
        <v>7</v>
      </c>
      <c r="C505" s="13"/>
      <c r="D505" s="101">
        <f>IF(ISBLANK(fixtures!$K323),"",fixtures!$K323)</f>
        <v>1</v>
      </c>
      <c r="E505" s="102" t="str">
        <f>IF(ISBLANK(fixtures!$L323),"",":")</f>
        <v>:</v>
      </c>
      <c r="F505" s="103">
        <f>IF(ISBLANK(fixtures!$L323),"",fixtures!$L323)</f>
        <v>4</v>
      </c>
      <c r="G505" s="13"/>
      <c r="H505" s="103" t="s">
        <v>12</v>
      </c>
      <c r="I505" s="103" t="s">
        <v>59</v>
      </c>
      <c r="J505" s="13"/>
      <c r="K505" s="13"/>
      <c r="L505" s="13"/>
      <c r="M505" s="13"/>
    </row>
    <row r="506" spans="1:21" x14ac:dyDescent="0.4">
      <c r="A506" s="169">
        <f ca="1">IFERROR(INDIRECT("fixtures!" &amp; Dashboard!J1 &amp;324) - Dashboard!K1/24,"TBC")</f>
        <v>45043.90625</v>
      </c>
      <c r="B506" s="101" t="s">
        <v>13</v>
      </c>
      <c r="C506" s="13"/>
      <c r="D506" s="101">
        <f>IF(ISBLANK(fixtures!$K324),"",fixtures!$K324)</f>
        <v>0</v>
      </c>
      <c r="E506" s="102" t="str">
        <f>IF(ISBLANK(fixtures!$L324),"",":")</f>
        <v>:</v>
      </c>
      <c r="F506" s="103">
        <f>IF(ISBLANK(fixtures!$L324),"",fixtures!$L324)</f>
        <v>1</v>
      </c>
      <c r="G506" s="13"/>
      <c r="H506" s="103" t="s">
        <v>3</v>
      </c>
      <c r="I506" s="103" t="s">
        <v>60</v>
      </c>
      <c r="J506" s="13"/>
      <c r="K506" s="13"/>
      <c r="L506" s="13"/>
      <c r="M506" s="13"/>
    </row>
    <row r="507" spans="1:21" x14ac:dyDescent="0.4">
      <c r="A507" s="169">
        <f ca="1">IFERROR(INDIRECT("fixtures!" &amp; Dashboard!J1 &amp;325) - Dashboard!K1/24,"TBC")</f>
        <v>45043.927083333336</v>
      </c>
      <c r="B507" s="101" t="s">
        <v>14</v>
      </c>
      <c r="C507" s="13"/>
      <c r="D507" s="101">
        <f>IF(ISBLANK(fixtures!$K325),"",fixtures!$K325)</f>
        <v>2</v>
      </c>
      <c r="E507" s="102" t="str">
        <f>IF(ISBLANK(fixtures!$L325),"",":")</f>
        <v>:</v>
      </c>
      <c r="F507" s="103">
        <f>IF(ISBLANK(fixtures!$L325),"",fixtures!$L325)</f>
        <v>2</v>
      </c>
      <c r="G507" s="13"/>
      <c r="H507" s="103" t="s">
        <v>11</v>
      </c>
      <c r="I507" s="103" t="s">
        <v>53</v>
      </c>
      <c r="J507" s="13"/>
      <c r="K507" s="13"/>
      <c r="L507" s="13"/>
      <c r="M507" s="13"/>
    </row>
    <row r="508" spans="1:21" x14ac:dyDescent="0.4">
      <c r="A508" s="104" t="str">
        <f>"Time Zone: " &amp; Dashboard!D1</f>
        <v>Time Zone: Europe Western</v>
      </c>
      <c r="B508" s="13"/>
      <c r="C508" s="13"/>
      <c r="D508" s="13"/>
      <c r="E508" s="13"/>
      <c r="F508" s="13"/>
      <c r="G508" s="13"/>
      <c r="H508" s="13"/>
      <c r="I508" s="449" t="s">
        <v>592</v>
      </c>
      <c r="J508" s="13"/>
      <c r="K508" s="13"/>
      <c r="L508" s="13"/>
      <c r="M508" s="13"/>
    </row>
    <row r="509" spans="1:21" ht="31.5" x14ac:dyDescent="0.5">
      <c r="A509" s="14"/>
      <c r="B509" s="14"/>
      <c r="C509" s="14"/>
      <c r="D509" s="14"/>
      <c r="E509" s="14"/>
      <c r="F509" s="14"/>
      <c r="G509" s="14"/>
      <c r="H509" s="179" t="s">
        <v>96</v>
      </c>
      <c r="I509" s="14"/>
      <c r="J509" s="14"/>
      <c r="K509" s="14"/>
      <c r="L509" s="14"/>
      <c r="M509" s="14"/>
    </row>
    <row r="510" spans="1:21" x14ac:dyDescent="0.4">
      <c r="A510" s="193" t="s">
        <v>577</v>
      </c>
      <c r="B510" s="194"/>
      <c r="C510" s="194"/>
      <c r="D510" s="194"/>
      <c r="E510" s="194"/>
      <c r="F510" s="194"/>
      <c r="G510" s="194"/>
      <c r="H510" s="194"/>
      <c r="I510" s="194"/>
      <c r="J510" s="194"/>
      <c r="K510" s="194"/>
      <c r="L510" s="194"/>
      <c r="M510" s="194"/>
      <c r="N510" s="486"/>
      <c r="O510" s="486"/>
      <c r="P510" s="486"/>
      <c r="Q510" s="486"/>
      <c r="R510" s="486"/>
      <c r="S510" s="486"/>
      <c r="T510" s="486"/>
      <c r="U510" s="486"/>
    </row>
    <row r="511" spans="1:21" x14ac:dyDescent="0.4">
      <c r="A511" s="180">
        <f ca="1">IFERROR(INDIRECT("fixtures!" &amp; Dashboard!J1 &amp;326) - Dashboard!K1/24,"TBC")</f>
        <v>45045.604166666664</v>
      </c>
      <c r="B511" s="181" t="s">
        <v>6</v>
      </c>
      <c r="C511" s="15"/>
      <c r="D511" s="181">
        <f>IF(ISBLANK(fixtures!$K326),"",fixtures!$K326)</f>
        <v>4</v>
      </c>
      <c r="E511" s="182" t="str">
        <f>IF(ISBLANK(fixtures!$L326),"",":")</f>
        <v>:</v>
      </c>
      <c r="F511" s="183">
        <f>IF(ISBLANK(fixtures!$L326),"",fixtures!$L326)</f>
        <v>3</v>
      </c>
      <c r="G511" s="15"/>
      <c r="H511" s="183" t="s">
        <v>15</v>
      </c>
      <c r="I511" s="183" t="s">
        <v>52</v>
      </c>
      <c r="J511" s="15"/>
      <c r="K511" s="15"/>
      <c r="L511" s="15"/>
      <c r="M511" s="15"/>
    </row>
    <row r="512" spans="1:21" x14ac:dyDescent="0.4">
      <c r="A512" s="180">
        <f ca="1">IFERROR(INDIRECT("fixtures!" &amp; Dashboard!J1 &amp;327) - Dashboard!K1/24,"TBC")</f>
        <v>45045.708333333336</v>
      </c>
      <c r="B512" s="181" t="s">
        <v>125</v>
      </c>
      <c r="C512" s="15"/>
      <c r="D512" s="181">
        <f>IF(ISBLANK(fixtures!$K327),"",fixtures!$K327)</f>
        <v>2</v>
      </c>
      <c r="E512" s="182" t="str">
        <f>IF(ISBLANK(fixtures!$L327),"",":")</f>
        <v>:</v>
      </c>
      <c r="F512" s="183">
        <f>IF(ISBLANK(fixtures!$L327),"",fixtures!$L327)</f>
        <v>1</v>
      </c>
      <c r="G512" s="15"/>
      <c r="H512" s="183" t="s">
        <v>204</v>
      </c>
      <c r="I512" s="183" t="s">
        <v>593</v>
      </c>
      <c r="J512" s="15"/>
      <c r="K512" s="15"/>
      <c r="L512" s="15"/>
      <c r="M512" s="15"/>
    </row>
    <row r="513" spans="1:21" x14ac:dyDescent="0.4">
      <c r="A513" s="180">
        <f ca="1">IFERROR(INDIRECT("fixtures!" &amp; Dashboard!J1 &amp;328) - Dashboard!K1/24,"TBC")</f>
        <v>45045.708333333336</v>
      </c>
      <c r="B513" s="181" t="s">
        <v>4</v>
      </c>
      <c r="C513" s="15"/>
      <c r="D513" s="181">
        <f>IF(ISBLANK(fixtures!$K328),"",fixtures!$K328)</f>
        <v>6</v>
      </c>
      <c r="E513" s="182" t="str">
        <f>IF(ISBLANK(fixtures!$L328),"",":")</f>
        <v>:</v>
      </c>
      <c r="F513" s="183">
        <f>IF(ISBLANK(fixtures!$L328),"",fixtures!$L328)</f>
        <v>0</v>
      </c>
      <c r="G513" s="15"/>
      <c r="H513" s="183" t="s">
        <v>16</v>
      </c>
      <c r="I513" s="183" t="s">
        <v>151</v>
      </c>
      <c r="J513" s="15"/>
      <c r="K513" s="15"/>
      <c r="L513" s="15"/>
      <c r="M513" s="15"/>
    </row>
    <row r="514" spans="1:21" x14ac:dyDescent="0.4">
      <c r="A514" s="193" t="s">
        <v>663</v>
      </c>
      <c r="B514" s="194"/>
      <c r="C514" s="194"/>
      <c r="D514" s="194"/>
      <c r="E514" s="194"/>
      <c r="F514" s="194"/>
      <c r="G514" s="194"/>
      <c r="H514" s="194"/>
      <c r="I514" s="194"/>
      <c r="J514" s="194"/>
      <c r="K514" s="194"/>
      <c r="L514" s="194"/>
      <c r="M514" s="194"/>
    </row>
    <row r="515" spans="1:21" x14ac:dyDescent="0.4">
      <c r="A515" s="180">
        <f ca="1">IFERROR(INDIRECT("fixtures!" &amp; Dashboard!J1 &amp;329) - Dashboard!K1/24,"TBC")</f>
        <v>45046.666666666664</v>
      </c>
      <c r="B515" s="181" t="s">
        <v>3</v>
      </c>
      <c r="C515" s="15"/>
      <c r="D515" s="181">
        <f>IF(ISBLANK(fixtures!$K329),"",fixtures!$K329)</f>
        <v>4</v>
      </c>
      <c r="E515" s="182" t="str">
        <f>IF(ISBLANK(fixtures!$L329),"",":")</f>
        <v>:</v>
      </c>
      <c r="F515" s="183">
        <f>IF(ISBLANK(fixtures!$L329),"",fixtures!$L329)</f>
        <v>1</v>
      </c>
      <c r="G515" s="15"/>
      <c r="H515" s="183" t="s">
        <v>139</v>
      </c>
      <c r="I515" s="183" t="s">
        <v>51</v>
      </c>
      <c r="J515" s="15"/>
      <c r="K515" s="15"/>
      <c r="L515" s="15"/>
      <c r="M515" s="15"/>
    </row>
    <row r="516" spans="1:21" x14ac:dyDescent="0.4">
      <c r="A516" s="180">
        <f ca="1">IFERROR(INDIRECT("fixtures!" &amp; Dashboard!J1 &amp;330) - Dashboard!K1/24,"TBC")</f>
        <v>45046.666666666664</v>
      </c>
      <c r="B516" s="181" t="s">
        <v>126</v>
      </c>
      <c r="C516" s="15"/>
      <c r="D516" s="181">
        <f>IF(ISBLANK(fixtures!$K330),"",fixtures!$K330)</f>
        <v>1</v>
      </c>
      <c r="E516" s="182" t="str">
        <f>IF(ISBLANK(fixtures!$L330),"",":")</f>
        <v>:</v>
      </c>
      <c r="F516" s="183">
        <f>IF(ISBLANK(fixtures!$L330),"",fixtures!$L330)</f>
        <v>2</v>
      </c>
      <c r="G516" s="15"/>
      <c r="H516" s="183" t="s">
        <v>10</v>
      </c>
      <c r="I516" s="183" t="s">
        <v>431</v>
      </c>
      <c r="J516" s="15"/>
      <c r="K516" s="15"/>
      <c r="L516" s="15"/>
      <c r="M516" s="15"/>
    </row>
    <row r="517" spans="1:21" x14ac:dyDescent="0.4">
      <c r="A517" s="180">
        <f ca="1">IFERROR(INDIRECT("fixtures!" &amp; Dashboard!J1 &amp;331) - Dashboard!K1/24,"TBC")</f>
        <v>45046.666666666664</v>
      </c>
      <c r="B517" s="181" t="s">
        <v>11</v>
      </c>
      <c r="C517" s="15"/>
      <c r="D517" s="181">
        <f>IF(ISBLANK(fixtures!$K331),"",fixtures!$K331)</f>
        <v>1</v>
      </c>
      <c r="E517" s="182" t="str">
        <f>IF(ISBLANK(fixtures!$L331),"",":")</f>
        <v>:</v>
      </c>
      <c r="F517" s="183">
        <f>IF(ISBLANK(fixtures!$L331),"",fixtures!$L331)</f>
        <v>0</v>
      </c>
      <c r="G517" s="15"/>
      <c r="H517" s="183" t="s">
        <v>2</v>
      </c>
      <c r="I517" s="183" t="s">
        <v>56</v>
      </c>
      <c r="J517" s="15"/>
      <c r="K517" s="15"/>
      <c r="L517" s="15"/>
      <c r="M517" s="15"/>
    </row>
    <row r="518" spans="1:21" x14ac:dyDescent="0.4">
      <c r="A518" s="180">
        <f ca="1">IFERROR(INDIRECT("fixtures!" &amp; Dashboard!J1 &amp;332) - Dashboard!K1/24,"TBC")</f>
        <v>45046.666666666664</v>
      </c>
      <c r="B518" s="181" t="s">
        <v>12</v>
      </c>
      <c r="C518" s="15"/>
      <c r="D518" s="181">
        <f>IF(ISBLANK(fixtures!$K332),"",fixtures!$K332)</f>
        <v>3</v>
      </c>
      <c r="E518" s="182" t="str">
        <f>IF(ISBLANK(fixtures!$L332),"",":")</f>
        <v>:</v>
      </c>
      <c r="F518" s="183">
        <f>IF(ISBLANK(fixtures!$L332),"",fixtures!$L332)</f>
        <v>1</v>
      </c>
      <c r="G518" s="15"/>
      <c r="H518" s="183" t="s">
        <v>13</v>
      </c>
      <c r="I518" s="183" t="s">
        <v>55</v>
      </c>
      <c r="J518" s="15"/>
      <c r="K518" s="15"/>
      <c r="L518" s="15"/>
      <c r="M518" s="15"/>
    </row>
    <row r="519" spans="1:21" x14ac:dyDescent="0.4">
      <c r="A519" s="180">
        <f ca="1">IFERROR(INDIRECT("fixtures!" &amp; Dashboard!J1 &amp;333) - Dashboard!K1/24,"TBC")</f>
        <v>45046.770833333336</v>
      </c>
      <c r="B519" s="181" t="s">
        <v>9</v>
      </c>
      <c r="C519" s="15"/>
      <c r="D519" s="181">
        <f>IF(ISBLANK(fixtures!$K333),"",fixtures!$K333)</f>
        <v>4</v>
      </c>
      <c r="E519" s="182" t="str">
        <f>IF(ISBLANK(fixtures!$L333),"",":")</f>
        <v>:</v>
      </c>
      <c r="F519" s="183">
        <f>IF(ISBLANK(fixtures!$L333),"",fixtures!$L333)</f>
        <v>3</v>
      </c>
      <c r="G519" s="15"/>
      <c r="H519" s="183" t="s">
        <v>14</v>
      </c>
      <c r="I519" s="183" t="s">
        <v>48</v>
      </c>
      <c r="J519" s="15"/>
      <c r="K519" s="15"/>
      <c r="L519" s="15"/>
      <c r="M519" s="15"/>
    </row>
    <row r="520" spans="1:21" x14ac:dyDescent="0.4">
      <c r="A520" s="193" t="s">
        <v>664</v>
      </c>
      <c r="B520" s="194"/>
      <c r="C520" s="194"/>
      <c r="D520" s="194"/>
      <c r="E520" s="194"/>
      <c r="F520" s="194"/>
      <c r="G520" s="194"/>
      <c r="H520" s="194"/>
      <c r="I520" s="194"/>
      <c r="J520" s="194"/>
      <c r="K520" s="194"/>
      <c r="L520" s="194"/>
      <c r="M520" s="194"/>
    </row>
    <row r="521" spans="1:21" x14ac:dyDescent="0.4">
      <c r="A521" s="180">
        <f ca="1">IFERROR(INDIRECT("fixtures!" &amp; Dashboard!J1 &amp;334) - Dashboard!K1/24,"TBC")</f>
        <v>45047.916666666664</v>
      </c>
      <c r="B521" s="181" t="s">
        <v>8</v>
      </c>
      <c r="C521" s="15"/>
      <c r="D521" s="181">
        <f>IF(ISBLANK(fixtures!$K334),"",fixtures!$K334)</f>
        <v>2</v>
      </c>
      <c r="E521" s="182" t="str">
        <f>IF(ISBLANK(fixtures!$L334),"",":")</f>
        <v>:</v>
      </c>
      <c r="F521" s="183">
        <f>IF(ISBLANK(fixtures!$L334),"",fixtures!$L334)</f>
        <v>2</v>
      </c>
      <c r="G521" s="15"/>
      <c r="H521" s="183" t="s">
        <v>7</v>
      </c>
      <c r="I521" s="183" t="s">
        <v>54</v>
      </c>
      <c r="J521" s="15"/>
      <c r="K521" s="15"/>
      <c r="L521" s="15"/>
      <c r="M521" s="15"/>
    </row>
    <row r="522" spans="1:21" x14ac:dyDescent="0.4">
      <c r="A522" s="193" t="s">
        <v>665</v>
      </c>
      <c r="B522" s="194"/>
      <c r="C522" s="194"/>
      <c r="D522" s="194"/>
      <c r="E522" s="194"/>
      <c r="F522" s="194"/>
      <c r="G522" s="194"/>
      <c r="H522" s="194"/>
      <c r="I522" s="194"/>
      <c r="J522" s="194"/>
      <c r="K522" s="194"/>
      <c r="L522" s="194"/>
      <c r="M522" s="194"/>
    </row>
    <row r="523" spans="1:21" x14ac:dyDescent="0.4">
      <c r="A523" s="180">
        <f ca="1">IFERROR(INDIRECT("fixtures!" &amp; Dashboard!J1 &amp;335) - Dashboard!K1/24,"TBC")</f>
        <v>45048.916666666664</v>
      </c>
      <c r="B523" s="181" t="s">
        <v>1</v>
      </c>
      <c r="C523" s="15"/>
      <c r="D523" s="181">
        <f>IF(ISBLANK(fixtures!$K335),"",fixtures!$K335)</f>
        <v>3</v>
      </c>
      <c r="E523" s="182" t="str">
        <f>IF(ISBLANK(fixtures!$L335),"",":")</f>
        <v>:</v>
      </c>
      <c r="F523" s="183">
        <f>IF(ISBLANK(fixtures!$L335),"",fixtures!$L335)</f>
        <v>1</v>
      </c>
      <c r="G523" s="15"/>
      <c r="H523" s="183" t="s">
        <v>5</v>
      </c>
      <c r="I523" s="183" t="s">
        <v>57</v>
      </c>
      <c r="J523" s="15"/>
      <c r="K523" s="15"/>
      <c r="L523" s="15"/>
      <c r="M523" s="15"/>
      <c r="N523" s="486"/>
      <c r="O523" s="486"/>
      <c r="P523" s="486"/>
      <c r="Q523" s="486"/>
      <c r="R523" s="486"/>
      <c r="S523" s="486"/>
      <c r="T523" s="486"/>
      <c r="U523" s="486"/>
    </row>
    <row r="524" spans="1:21" x14ac:dyDescent="0.4">
      <c r="A524" s="184" t="str">
        <f>"Time Zone: " &amp; Dashboard!D1</f>
        <v>Time Zone: Europe Western</v>
      </c>
      <c r="B524" s="15"/>
      <c r="C524" s="15"/>
      <c r="D524" s="15"/>
      <c r="E524" s="15"/>
      <c r="F524" s="15"/>
      <c r="G524" s="15"/>
      <c r="H524" s="15"/>
      <c r="I524" s="450" t="s">
        <v>592</v>
      </c>
      <c r="J524" s="15"/>
      <c r="K524" s="15"/>
      <c r="L524" s="15"/>
      <c r="M524" s="15"/>
    </row>
    <row r="525" spans="1:21" ht="31.5" x14ac:dyDescent="0.5">
      <c r="A525" s="205"/>
      <c r="B525" s="205"/>
      <c r="C525" s="205"/>
      <c r="D525" s="205"/>
      <c r="E525" s="205"/>
      <c r="F525" s="205"/>
      <c r="G525" s="205"/>
      <c r="H525" s="266" t="s">
        <v>90</v>
      </c>
      <c r="I525" s="205"/>
      <c r="J525" s="205"/>
      <c r="K525" s="205"/>
      <c r="L525" s="205"/>
      <c r="M525" s="205"/>
    </row>
    <row r="526" spans="1:21" x14ac:dyDescent="0.4">
      <c r="A526" s="267" t="s">
        <v>666</v>
      </c>
      <c r="B526" s="268"/>
      <c r="C526" s="268"/>
      <c r="D526" s="268"/>
      <c r="E526" s="268"/>
      <c r="F526" s="268"/>
      <c r="G526" s="268"/>
      <c r="H526" s="268"/>
      <c r="I526" s="268"/>
      <c r="J526" s="268"/>
      <c r="K526" s="268"/>
      <c r="L526" s="268"/>
      <c r="M526" s="268"/>
    </row>
    <row r="527" spans="1:21" x14ac:dyDescent="0.4">
      <c r="A527" s="269">
        <f ca="1">IFERROR(INDIRECT("fixtures!" &amp; Dashboard!J1 &amp;336) - Dashboard!K1/24,"TBC")</f>
        <v>45049.916666666664</v>
      </c>
      <c r="B527" s="270" t="s">
        <v>9</v>
      </c>
      <c r="C527" s="23"/>
      <c r="D527" s="270">
        <f>IF(ISBLANK(fixtures!$K336),"",fixtures!$K336)</f>
        <v>1</v>
      </c>
      <c r="E527" s="271" t="str">
        <f>IF(ISBLANK(fixtures!$L336),"",":")</f>
        <v>:</v>
      </c>
      <c r="F527" s="272">
        <f>IF(ISBLANK(fixtures!$L336),"",fixtures!$L336)</f>
        <v>0</v>
      </c>
      <c r="G527" s="23"/>
      <c r="H527" s="272" t="s">
        <v>126</v>
      </c>
      <c r="I527" s="272" t="s">
        <v>48</v>
      </c>
      <c r="J527" s="23"/>
      <c r="K527" s="23"/>
      <c r="L527" s="23"/>
      <c r="M527" s="23"/>
    </row>
    <row r="528" spans="1:21" x14ac:dyDescent="0.4">
      <c r="A528" s="269">
        <f ca="1">IFERROR(INDIRECT("fixtures!" &amp; Dashboard!J1 &amp;337) - Dashboard!K1/24,"TBC")</f>
        <v>45049.916666666664</v>
      </c>
      <c r="B528" s="270" t="s">
        <v>10</v>
      </c>
      <c r="C528" s="23"/>
      <c r="D528" s="270">
        <f>IF(ISBLANK(fixtures!$K337),"",fixtures!$K337)</f>
        <v>3</v>
      </c>
      <c r="E528" s="271" t="str">
        <f>IF(ISBLANK(fixtures!$L337),"",":")</f>
        <v>:</v>
      </c>
      <c r="F528" s="272">
        <f>IF(ISBLANK(fixtures!$L337),"",fixtures!$L337)</f>
        <v>0</v>
      </c>
      <c r="G528" s="23"/>
      <c r="H528" s="272" t="s">
        <v>15</v>
      </c>
      <c r="I528" s="272" t="s">
        <v>61</v>
      </c>
      <c r="J528" s="23"/>
      <c r="K528" s="23"/>
      <c r="L528" s="23"/>
      <c r="M528" s="23"/>
    </row>
    <row r="529" spans="1:21" x14ac:dyDescent="0.4">
      <c r="A529" s="267" t="s">
        <v>667</v>
      </c>
      <c r="B529" s="268"/>
      <c r="C529" s="268"/>
      <c r="D529" s="268"/>
      <c r="E529" s="268"/>
      <c r="F529" s="268"/>
      <c r="G529" s="268"/>
      <c r="H529" s="268"/>
      <c r="I529" s="268"/>
      <c r="J529" s="268"/>
      <c r="K529" s="268"/>
      <c r="L529" s="268"/>
      <c r="M529" s="268"/>
    </row>
    <row r="530" spans="1:21" x14ac:dyDescent="0.4">
      <c r="A530" s="269">
        <f ca="1">IFERROR(INDIRECT("fixtures!" &amp; Dashboard!J1 &amp;338) - Dashboard!K1/24,"TBC")</f>
        <v>45050.916666666664</v>
      </c>
      <c r="B530" s="270" t="s">
        <v>4</v>
      </c>
      <c r="C530" s="23"/>
      <c r="D530" s="270">
        <f>IF(ISBLANK(fixtures!$K338),"",fixtures!$K338)</f>
        <v>1</v>
      </c>
      <c r="E530" s="271" t="str">
        <f>IF(ISBLANK(fixtures!$L338),"",":")</f>
        <v>:</v>
      </c>
      <c r="F530" s="272">
        <f>IF(ISBLANK(fixtures!$L338),"",fixtures!$L338)</f>
        <v>0</v>
      </c>
      <c r="G530" s="23"/>
      <c r="H530" s="272" t="s">
        <v>11</v>
      </c>
      <c r="I530" s="272" t="s">
        <v>151</v>
      </c>
      <c r="J530" s="23"/>
      <c r="K530" s="23"/>
      <c r="L530" s="23"/>
      <c r="M530" s="23"/>
    </row>
    <row r="531" spans="1:21" x14ac:dyDescent="0.4">
      <c r="A531" s="273" t="str">
        <f>"Time Zone: " &amp; Dashboard!D1</f>
        <v>Time Zone: Europe Western</v>
      </c>
      <c r="B531" s="23"/>
      <c r="C531" s="23"/>
      <c r="D531" s="23"/>
      <c r="E531" s="23"/>
      <c r="F531" s="23"/>
      <c r="G531" s="23"/>
      <c r="H531" s="23"/>
      <c r="I531" s="451" t="s">
        <v>592</v>
      </c>
      <c r="J531" s="23"/>
      <c r="K531" s="23"/>
      <c r="L531" s="23"/>
      <c r="M531" s="23"/>
    </row>
    <row r="532" spans="1:21" ht="31.5" x14ac:dyDescent="0.5">
      <c r="A532" s="28"/>
      <c r="B532" s="28"/>
      <c r="C532" s="28"/>
      <c r="D532" s="28"/>
      <c r="E532" s="28"/>
      <c r="F532" s="28"/>
      <c r="G532" s="28"/>
      <c r="H532" s="109" t="s">
        <v>97</v>
      </c>
      <c r="I532" s="28"/>
      <c r="J532" s="28"/>
      <c r="K532" s="28"/>
      <c r="L532" s="28"/>
      <c r="M532" s="28"/>
    </row>
    <row r="533" spans="1:21" x14ac:dyDescent="0.4">
      <c r="A533" s="197" t="s">
        <v>578</v>
      </c>
      <c r="B533" s="198"/>
      <c r="C533" s="198"/>
      <c r="D533" s="198"/>
      <c r="E533" s="198"/>
      <c r="F533" s="198"/>
      <c r="G533" s="198"/>
      <c r="H533" s="198"/>
      <c r="I533" s="198"/>
      <c r="J533" s="198"/>
      <c r="K533" s="198"/>
      <c r="L533" s="198"/>
      <c r="M533" s="198"/>
    </row>
    <row r="534" spans="1:21" x14ac:dyDescent="0.4">
      <c r="A534" s="171">
        <f ca="1">IFERROR(INDIRECT("fixtures!" &amp; Dashboard!J1 &amp;339) - Dashboard!K1/24,"TBC")</f>
        <v>45052.708333333336</v>
      </c>
      <c r="B534" s="110" t="s">
        <v>3</v>
      </c>
      <c r="C534" s="29"/>
      <c r="D534" s="110">
        <f>IF(ISBLANK(fixtures!$K339),"",fixtures!$K339)</f>
        <v>1</v>
      </c>
      <c r="E534" s="111" t="str">
        <f>IF(ISBLANK(fixtures!$L339),"",":")</f>
        <v>:</v>
      </c>
      <c r="F534" s="112">
        <f>IF(ISBLANK(fixtures!$L339),"",fixtures!$L339)</f>
        <v>3</v>
      </c>
      <c r="G534" s="29"/>
      <c r="H534" s="112" t="s">
        <v>5</v>
      </c>
      <c r="I534" s="112" t="s">
        <v>51</v>
      </c>
      <c r="J534" s="29"/>
      <c r="K534" s="29"/>
      <c r="L534" s="29"/>
      <c r="M534" s="29"/>
    </row>
    <row r="535" spans="1:21" x14ac:dyDescent="0.4">
      <c r="A535" s="171">
        <f ca="1">IFERROR(INDIRECT("fixtures!" &amp; Dashboard!J1 &amp;340) - Dashboard!K1/24,"TBC")</f>
        <v>45052.708333333336</v>
      </c>
      <c r="B535" s="110" t="s">
        <v>10</v>
      </c>
      <c r="C535" s="29"/>
      <c r="D535" s="110">
        <f>IF(ISBLANK(fixtures!$K340),"",fixtures!$K340)</f>
        <v>2</v>
      </c>
      <c r="E535" s="111" t="str">
        <f>IF(ISBLANK(fixtures!$L340),"",":")</f>
        <v>:</v>
      </c>
      <c r="F535" s="112">
        <f>IF(ISBLANK(fixtures!$L340),"",fixtures!$L340)</f>
        <v>1</v>
      </c>
      <c r="G535" s="29"/>
      <c r="H535" s="112" t="s">
        <v>139</v>
      </c>
      <c r="I535" s="112" t="s">
        <v>61</v>
      </c>
      <c r="J535" s="29"/>
      <c r="K535" s="29"/>
      <c r="L535" s="29"/>
      <c r="M535" s="29"/>
    </row>
    <row r="536" spans="1:21" x14ac:dyDescent="0.4">
      <c r="A536" s="171">
        <f ca="1">IFERROR(INDIRECT("fixtures!" &amp; Dashboard!J1 &amp;341) - Dashboard!K1/24,"TBC")</f>
        <v>45052.708333333336</v>
      </c>
      <c r="B536" s="110" t="s">
        <v>14</v>
      </c>
      <c r="C536" s="29"/>
      <c r="D536" s="110">
        <f>IF(ISBLANK(fixtures!$K341),"",fixtures!$K341)</f>
        <v>1</v>
      </c>
      <c r="E536" s="111" t="str">
        <f>IF(ISBLANK(fixtures!$L341),"",":")</f>
        <v>:</v>
      </c>
      <c r="F536" s="112">
        <f>IF(ISBLANK(fixtures!$L341),"",fixtures!$L341)</f>
        <v>0</v>
      </c>
      <c r="G536" s="29"/>
      <c r="H536" s="112" t="s">
        <v>6</v>
      </c>
      <c r="I536" s="112" t="s">
        <v>53</v>
      </c>
      <c r="J536" s="29"/>
      <c r="K536" s="29"/>
      <c r="L536" s="29"/>
      <c r="M536" s="29"/>
      <c r="N536" s="486"/>
      <c r="O536" s="486"/>
      <c r="P536" s="486"/>
      <c r="Q536" s="486"/>
      <c r="R536" s="486"/>
      <c r="S536" s="486"/>
      <c r="T536" s="486"/>
      <c r="U536" s="486"/>
    </row>
    <row r="537" spans="1:21" x14ac:dyDescent="0.4">
      <c r="A537" s="171">
        <f ca="1">IFERROR(INDIRECT("fixtures!" &amp; Dashboard!J1 &amp;342) - Dashboard!K1/24,"TBC")</f>
        <v>45052.708333333336</v>
      </c>
      <c r="B537" s="110" t="s">
        <v>16</v>
      </c>
      <c r="C537" s="29"/>
      <c r="D537" s="110">
        <f>IF(ISBLANK(fixtures!$K342),"",fixtures!$K342)</f>
        <v>1</v>
      </c>
      <c r="E537" s="111" t="str">
        <f>IF(ISBLANK(fixtures!$L342),"",":")</f>
        <v>:</v>
      </c>
      <c r="F537" s="112">
        <f>IF(ISBLANK(fixtures!$L342),"",fixtures!$L342)</f>
        <v>0</v>
      </c>
      <c r="G537" s="29"/>
      <c r="H537" s="112" t="s">
        <v>2</v>
      </c>
      <c r="I537" s="112" t="s">
        <v>63</v>
      </c>
      <c r="J537" s="29"/>
      <c r="K537" s="29"/>
      <c r="L537" s="29"/>
      <c r="M537" s="29"/>
    </row>
    <row r="538" spans="1:21" x14ac:dyDescent="0.4">
      <c r="A538" s="171">
        <f ca="1">IFERROR(INDIRECT("fixtures!" &amp; Dashboard!J1 &amp;343) - Dashboard!K1/24,"TBC")</f>
        <v>45052.8125</v>
      </c>
      <c r="B538" s="110" t="s">
        <v>9</v>
      </c>
      <c r="C538" s="29"/>
      <c r="D538" s="110">
        <f>IF(ISBLANK(fixtures!$K343),"",fixtures!$K343)</f>
        <v>1</v>
      </c>
      <c r="E538" s="111" t="str">
        <f>IF(ISBLANK(fixtures!$L343),"",":")</f>
        <v>:</v>
      </c>
      <c r="F538" s="112">
        <f>IF(ISBLANK(fixtures!$L343),"",fixtures!$L343)</f>
        <v>0</v>
      </c>
      <c r="G538" s="29"/>
      <c r="H538" s="112" t="s">
        <v>125</v>
      </c>
      <c r="I538" s="112" t="s">
        <v>48</v>
      </c>
      <c r="J538" s="29"/>
      <c r="K538" s="29"/>
      <c r="L538" s="29"/>
      <c r="M538" s="29"/>
    </row>
    <row r="539" spans="1:21" x14ac:dyDescent="0.4">
      <c r="A539" s="197" t="s">
        <v>668</v>
      </c>
      <c r="B539" s="198"/>
      <c r="C539" s="198"/>
      <c r="D539" s="198"/>
      <c r="E539" s="198"/>
      <c r="F539" s="198"/>
      <c r="G539" s="198"/>
      <c r="H539" s="198"/>
      <c r="I539" s="198"/>
      <c r="J539" s="198"/>
      <c r="K539" s="198"/>
      <c r="L539" s="198"/>
      <c r="M539" s="198"/>
    </row>
    <row r="540" spans="1:21" x14ac:dyDescent="0.4">
      <c r="A540" s="171">
        <f ca="1">IFERROR(INDIRECT("fixtures!" &amp; Dashboard!J1 &amp;344) - Dashboard!K1/24,"TBC")</f>
        <v>45053.770833333336</v>
      </c>
      <c r="B540" s="110" t="s">
        <v>12</v>
      </c>
      <c r="C540" s="29"/>
      <c r="D540" s="110">
        <f>IF(ISBLANK(fixtures!$K344),"",fixtures!$K344)</f>
        <v>0</v>
      </c>
      <c r="E540" s="111" t="str">
        <f>IF(ISBLANK(fixtures!$L344),"",":")</f>
        <v>:</v>
      </c>
      <c r="F540" s="112">
        <f>IF(ISBLANK(fixtures!$L344),"",fixtures!$L344)</f>
        <v>2</v>
      </c>
      <c r="G540" s="29"/>
      <c r="H540" s="112" t="s">
        <v>1</v>
      </c>
      <c r="I540" s="112" t="s">
        <v>55</v>
      </c>
      <c r="J540" s="29"/>
      <c r="K540" s="29"/>
      <c r="L540" s="29"/>
      <c r="M540" s="29"/>
    </row>
    <row r="541" spans="1:21" x14ac:dyDescent="0.4">
      <c r="A541" s="171">
        <f ca="1">IFERROR(INDIRECT("fixtures!" &amp; Dashboard!J1 &amp;345) - Dashboard!K1/24,"TBC")</f>
        <v>45053.875</v>
      </c>
      <c r="B541" s="110" t="s">
        <v>15</v>
      </c>
      <c r="C541" s="29"/>
      <c r="D541" s="110">
        <f>IF(ISBLANK(fixtures!$K345),"",fixtures!$K345)</f>
        <v>1</v>
      </c>
      <c r="E541" s="111" t="str">
        <f>IF(ISBLANK(fixtures!$L345),"",":")</f>
        <v>:</v>
      </c>
      <c r="F541" s="112">
        <f>IF(ISBLANK(fixtures!$L345),"",fixtures!$L345)</f>
        <v>0</v>
      </c>
      <c r="G541" s="29"/>
      <c r="H541" s="112" t="s">
        <v>11</v>
      </c>
      <c r="I541" s="112" t="s">
        <v>50</v>
      </c>
      <c r="J541" s="29"/>
      <c r="K541" s="29"/>
      <c r="L541" s="29"/>
      <c r="M541" s="29"/>
    </row>
    <row r="542" spans="1:21" x14ac:dyDescent="0.4">
      <c r="A542" s="197" t="s">
        <v>669</v>
      </c>
      <c r="B542" s="198"/>
      <c r="C542" s="198"/>
      <c r="D542" s="198"/>
      <c r="E542" s="198"/>
      <c r="F542" s="198"/>
      <c r="G542" s="198"/>
      <c r="H542" s="198"/>
      <c r="I542" s="198"/>
      <c r="J542" s="198"/>
      <c r="K542" s="198"/>
      <c r="L542" s="198"/>
      <c r="M542" s="198"/>
    </row>
    <row r="543" spans="1:21" x14ac:dyDescent="0.4">
      <c r="A543" s="171">
        <f ca="1">IFERROR(INDIRECT("fixtures!" &amp; Dashboard!J1 &amp;346) - Dashboard!K1/24,"TBC")</f>
        <v>45054.708333333336</v>
      </c>
      <c r="B543" s="110" t="s">
        <v>126</v>
      </c>
      <c r="C543" s="29"/>
      <c r="D543" s="110">
        <f>IF(ISBLANK(fixtures!$K346),"",fixtures!$K346)</f>
        <v>5</v>
      </c>
      <c r="E543" s="111" t="str">
        <f>IF(ISBLANK(fixtures!$L346),"",":")</f>
        <v>:</v>
      </c>
      <c r="F543" s="112">
        <f>IF(ISBLANK(fixtures!$L346),"",fixtures!$L346)</f>
        <v>3</v>
      </c>
      <c r="G543" s="29"/>
      <c r="H543" s="112" t="s">
        <v>8</v>
      </c>
      <c r="I543" s="112" t="s">
        <v>431</v>
      </c>
      <c r="J543" s="29"/>
      <c r="K543" s="29"/>
      <c r="L543" s="29"/>
      <c r="M543" s="29"/>
    </row>
    <row r="544" spans="1:21" x14ac:dyDescent="0.4">
      <c r="A544" s="171">
        <f ca="1">IFERROR(INDIRECT("fixtures!" &amp; Dashboard!J1 &amp;347) - Dashboard!K1/24,"TBC")</f>
        <v>45054.8125</v>
      </c>
      <c r="B544" s="110" t="s">
        <v>4</v>
      </c>
      <c r="C544" s="29"/>
      <c r="D544" s="110">
        <f>IF(ISBLANK(fixtures!$K347),"",fixtures!$K347)</f>
        <v>1</v>
      </c>
      <c r="E544" s="111" t="str">
        <f>IF(ISBLANK(fixtures!$L347),"",":")</f>
        <v>:</v>
      </c>
      <c r="F544" s="112">
        <f>IF(ISBLANK(fixtures!$L347),"",fixtures!$L347)</f>
        <v>5</v>
      </c>
      <c r="G544" s="29"/>
      <c r="H544" s="112" t="s">
        <v>7</v>
      </c>
      <c r="I544" s="112" t="s">
        <v>151</v>
      </c>
      <c r="J544" s="29"/>
      <c r="K544" s="29"/>
      <c r="L544" s="29"/>
      <c r="M544" s="29"/>
    </row>
    <row r="545" spans="1:13" x14ac:dyDescent="0.4">
      <c r="A545" s="171">
        <f ca="1">IFERROR(INDIRECT("fixtures!" &amp; Dashboard!J1 &amp;348) - Dashboard!K1/24,"TBC")</f>
        <v>45054.916666666664</v>
      </c>
      <c r="B545" s="110" t="s">
        <v>204</v>
      </c>
      <c r="C545" s="29"/>
      <c r="D545" s="110">
        <f>IF(ISBLANK(fixtures!$K348),"",fixtures!$K348)</f>
        <v>4</v>
      </c>
      <c r="E545" s="111" t="str">
        <f>IF(ISBLANK(fixtures!$L348),"",":")</f>
        <v>:</v>
      </c>
      <c r="F545" s="112">
        <f>IF(ISBLANK(fixtures!$L348),"",fixtures!$L348)</f>
        <v>3</v>
      </c>
      <c r="G545" s="29"/>
      <c r="H545" s="112" t="s">
        <v>13</v>
      </c>
      <c r="I545" s="112" t="s">
        <v>436</v>
      </c>
      <c r="J545" s="29"/>
      <c r="K545" s="29"/>
      <c r="L545" s="29"/>
      <c r="M545" s="29"/>
    </row>
    <row r="546" spans="1:13" x14ac:dyDescent="0.4">
      <c r="A546" s="113" t="str">
        <f>"Time Zone: " &amp; Dashboard!D1</f>
        <v>Time Zone: Europe Western</v>
      </c>
      <c r="B546" s="29"/>
      <c r="C546" s="29"/>
      <c r="D546" s="29"/>
      <c r="E546" s="29"/>
      <c r="F546" s="29"/>
      <c r="G546" s="29"/>
      <c r="H546" s="29"/>
      <c r="I546" s="452" t="s">
        <v>592</v>
      </c>
      <c r="J546" s="29"/>
      <c r="K546" s="29"/>
      <c r="L546" s="29"/>
      <c r="M546" s="29"/>
    </row>
    <row r="547" spans="1:13" ht="31.5" x14ac:dyDescent="0.5">
      <c r="A547" s="31"/>
      <c r="B547" s="31"/>
      <c r="C547" s="31"/>
      <c r="D547" s="31"/>
      <c r="E547" s="31"/>
      <c r="F547" s="31"/>
      <c r="G547" s="31"/>
      <c r="H547" s="114" t="s">
        <v>98</v>
      </c>
      <c r="I547" s="31"/>
      <c r="J547" s="31"/>
      <c r="K547" s="31"/>
      <c r="L547" s="31"/>
      <c r="M547" s="31"/>
    </row>
    <row r="548" spans="1:13" x14ac:dyDescent="0.4">
      <c r="A548" s="199" t="s">
        <v>579</v>
      </c>
      <c r="B548" s="200"/>
      <c r="C548" s="200"/>
      <c r="D548" s="200"/>
      <c r="E548" s="200"/>
      <c r="F548" s="200"/>
      <c r="G548" s="200"/>
      <c r="H548" s="200"/>
      <c r="I548" s="200"/>
      <c r="J548" s="200"/>
      <c r="K548" s="200"/>
      <c r="L548" s="200"/>
      <c r="M548" s="200"/>
    </row>
    <row r="549" spans="1:13" x14ac:dyDescent="0.4">
      <c r="A549" s="172">
        <f ca="1">IFERROR(INDIRECT("fixtures!" &amp; Dashboard!J1 &amp;349) - Dashboard!K1/24,"TBC")</f>
        <v>45059.604166666664</v>
      </c>
      <c r="B549" s="115" t="s">
        <v>139</v>
      </c>
      <c r="C549" s="32"/>
      <c r="D549" s="115">
        <f>IF(ISBLANK(fixtures!$K349),"",fixtures!$K349)</f>
        <v>2</v>
      </c>
      <c r="E549" s="116" t="str">
        <f>IF(ISBLANK(fixtures!$L349),"",":")</f>
        <v>:</v>
      </c>
      <c r="F549" s="117">
        <f>IF(ISBLANK(fixtures!$L349),"",fixtures!$L349)</f>
        <v>2</v>
      </c>
      <c r="G549" s="32"/>
      <c r="H549" s="117" t="s">
        <v>12</v>
      </c>
      <c r="I549" s="117" t="s">
        <v>140</v>
      </c>
      <c r="J549" s="32"/>
      <c r="K549" s="32"/>
      <c r="L549" s="32"/>
      <c r="M549" s="32"/>
    </row>
    <row r="550" spans="1:13" x14ac:dyDescent="0.4">
      <c r="A550" s="172">
        <f ca="1">IFERROR(INDIRECT("fixtures!" &amp; Dashboard!J1 &amp;350) - Dashboard!K1/24,"TBC")</f>
        <v>45059.708333333336</v>
      </c>
      <c r="B550" s="115" t="s">
        <v>2</v>
      </c>
      <c r="C550" s="32"/>
      <c r="D550" s="115">
        <f>IF(ISBLANK(fixtures!$K350),"",fixtures!$K350)</f>
        <v>2</v>
      </c>
      <c r="E550" s="116" t="str">
        <f>IF(ISBLANK(fixtures!$L350),"",":")</f>
        <v>:</v>
      </c>
      <c r="F550" s="117">
        <f>IF(ISBLANK(fixtures!$L350),"",fixtures!$L350)</f>
        <v>1</v>
      </c>
      <c r="G550" s="32"/>
      <c r="H550" s="117" t="s">
        <v>14</v>
      </c>
      <c r="I550" s="117" t="s">
        <v>58</v>
      </c>
      <c r="J550" s="32"/>
      <c r="K550" s="32"/>
      <c r="L550" s="32"/>
      <c r="M550" s="32"/>
    </row>
    <row r="551" spans="1:13" x14ac:dyDescent="0.4">
      <c r="A551" s="172">
        <f ca="1">IFERROR(INDIRECT("fixtures!" &amp; Dashboard!J1 &amp;351) - Dashboard!K1/24,"TBC")</f>
        <v>45059.708333333336</v>
      </c>
      <c r="B551" s="115" t="s">
        <v>5</v>
      </c>
      <c r="C551" s="32"/>
      <c r="D551" s="115">
        <f>IF(ISBLANK(fixtures!$K351),"",fixtures!$K351)</f>
        <v>2</v>
      </c>
      <c r="E551" s="116" t="str">
        <f>IF(ISBLANK(fixtures!$L351),"",":")</f>
        <v>:</v>
      </c>
      <c r="F551" s="117">
        <f>IF(ISBLANK(fixtures!$L351),"",fixtures!$L351)</f>
        <v>2</v>
      </c>
      <c r="G551" s="32"/>
      <c r="H551" s="117" t="s">
        <v>204</v>
      </c>
      <c r="I551" s="117" t="s">
        <v>62</v>
      </c>
      <c r="J551" s="32"/>
      <c r="K551" s="32"/>
      <c r="L551" s="32"/>
      <c r="M551" s="32"/>
    </row>
    <row r="552" spans="1:13" x14ac:dyDescent="0.4">
      <c r="A552" s="172">
        <f ca="1">IFERROR(INDIRECT("fixtures!" &amp; Dashboard!J1 &amp;352) - Dashboard!K1/24,"TBC")</f>
        <v>45059.708333333336</v>
      </c>
      <c r="B552" s="115" t="s">
        <v>6</v>
      </c>
      <c r="C552" s="32"/>
      <c r="D552" s="115">
        <f>IF(ISBLANK(fixtures!$K352),"",fixtures!$K352)</f>
        <v>2</v>
      </c>
      <c r="E552" s="116" t="str">
        <f>IF(ISBLANK(fixtures!$L352),"",":")</f>
        <v>:</v>
      </c>
      <c r="F552" s="117">
        <f>IF(ISBLANK(fixtures!$L352),"",fixtures!$L352)</f>
        <v>0</v>
      </c>
      <c r="G552" s="32"/>
      <c r="H552" s="117" t="s">
        <v>3</v>
      </c>
      <c r="I552" s="117" t="s">
        <v>52</v>
      </c>
      <c r="J552" s="32"/>
      <c r="K552" s="32"/>
      <c r="L552" s="32"/>
      <c r="M552" s="32"/>
    </row>
    <row r="553" spans="1:13" x14ac:dyDescent="0.4">
      <c r="A553" s="172">
        <f ca="1">IFERROR(INDIRECT("fixtures!" &amp; Dashboard!J1 &amp;353) - Dashboard!K1/24,"TBC")</f>
        <v>45059.708333333336</v>
      </c>
      <c r="B553" s="115" t="s">
        <v>11</v>
      </c>
      <c r="C553" s="32"/>
      <c r="D553" s="115">
        <f>IF(ISBLANK(fixtures!$K353),"",fixtures!$K353)</f>
        <v>2</v>
      </c>
      <c r="E553" s="116" t="str">
        <f>IF(ISBLANK(fixtures!$L353),"",":")</f>
        <v>:</v>
      </c>
      <c r="F553" s="117">
        <f>IF(ISBLANK(fixtures!$L353),"",fixtures!$L353)</f>
        <v>0</v>
      </c>
      <c r="G553" s="32"/>
      <c r="H553" s="117" t="s">
        <v>16</v>
      </c>
      <c r="I553" s="117" t="s">
        <v>56</v>
      </c>
      <c r="J553" s="32"/>
      <c r="K553" s="32"/>
      <c r="L553" s="32"/>
      <c r="M553" s="32"/>
    </row>
    <row r="554" spans="1:13" x14ac:dyDescent="0.4">
      <c r="A554" s="172">
        <f ca="1">IFERROR(INDIRECT("fixtures!" &amp; Dashboard!J1 &amp;354) - Dashboard!K1/24,"TBC")</f>
        <v>45059.708333333336</v>
      </c>
      <c r="B554" s="115" t="s">
        <v>13</v>
      </c>
      <c r="C554" s="32"/>
      <c r="D554" s="115">
        <f>IF(ISBLANK(fixtures!$K354),"",fixtures!$K354)</f>
        <v>0</v>
      </c>
      <c r="E554" s="116" t="str">
        <f>IF(ISBLANK(fixtures!$L354),"",":")</f>
        <v>:</v>
      </c>
      <c r="F554" s="117">
        <f>IF(ISBLANK(fixtures!$L354),"",fixtures!$L354)</f>
        <v>2</v>
      </c>
      <c r="G554" s="32"/>
      <c r="H554" s="117" t="s">
        <v>126</v>
      </c>
      <c r="I554" s="117" t="s">
        <v>60</v>
      </c>
      <c r="J554" s="32"/>
      <c r="K554" s="32"/>
      <c r="L554" s="32"/>
      <c r="M554" s="32"/>
    </row>
    <row r="555" spans="1:13" x14ac:dyDescent="0.4">
      <c r="A555" s="199" t="s">
        <v>670</v>
      </c>
      <c r="B555" s="200"/>
      <c r="C555" s="200"/>
      <c r="D555" s="200"/>
      <c r="E555" s="200"/>
      <c r="F555" s="200"/>
      <c r="G555" s="200"/>
      <c r="H555" s="200"/>
      <c r="I555" s="200"/>
      <c r="J555" s="200"/>
      <c r="K555" s="200"/>
      <c r="L555" s="200"/>
      <c r="M555" s="200"/>
    </row>
    <row r="556" spans="1:13" x14ac:dyDescent="0.4">
      <c r="A556" s="172">
        <f ca="1">IFERROR(INDIRECT("fixtures!" &amp; Dashboard!J1 &amp;355) - Dashboard!K1/24,"TBC")</f>
        <v>45060.666666666664</v>
      </c>
      <c r="B556" s="115" t="s">
        <v>125</v>
      </c>
      <c r="C556" s="32"/>
      <c r="D556" s="115">
        <f>IF(ISBLANK(fixtures!$K355),"",fixtures!$K355)</f>
        <v>2</v>
      </c>
      <c r="E556" s="116" t="str">
        <f>IF(ISBLANK(fixtures!$L355),"",":")</f>
        <v>:</v>
      </c>
      <c r="F556" s="117">
        <f>IF(ISBLANK(fixtures!$L355),"",fixtures!$L355)</f>
        <v>0</v>
      </c>
      <c r="G556" s="32"/>
      <c r="H556" s="117" t="s">
        <v>15</v>
      </c>
      <c r="I556" s="117" t="s">
        <v>593</v>
      </c>
      <c r="J556" s="32"/>
      <c r="K556" s="32"/>
      <c r="L556" s="32"/>
      <c r="M556" s="32"/>
    </row>
    <row r="557" spans="1:13" x14ac:dyDescent="0.4">
      <c r="A557" s="172">
        <f ca="1">IFERROR(INDIRECT("fixtures!" &amp; Dashboard!J1 &amp;356) - Dashboard!K1/24,"TBC")</f>
        <v>45060.666666666664</v>
      </c>
      <c r="B557" s="115" t="s">
        <v>7</v>
      </c>
      <c r="C557" s="32"/>
      <c r="D557" s="115">
        <f>IF(ISBLANK(fixtures!$K356),"",fixtures!$K356)</f>
        <v>0</v>
      </c>
      <c r="E557" s="116" t="str">
        <f>IF(ISBLANK(fixtures!$L356),"",":")</f>
        <v>:</v>
      </c>
      <c r="F557" s="117">
        <f>IF(ISBLANK(fixtures!$L356),"",fixtures!$L356)</f>
        <v>3</v>
      </c>
      <c r="G557" s="32"/>
      <c r="H557" s="117" t="s">
        <v>10</v>
      </c>
      <c r="I557" s="117" t="s">
        <v>59</v>
      </c>
      <c r="J557" s="32"/>
      <c r="K557" s="32"/>
      <c r="L557" s="32"/>
      <c r="M557" s="32"/>
    </row>
    <row r="558" spans="1:13" x14ac:dyDescent="0.4">
      <c r="A558" s="172">
        <f ca="1">IFERROR(INDIRECT("fixtures!" &amp; Dashboard!J1 &amp;357) - Dashboard!K1/24,"TBC")</f>
        <v>45060.770833333336</v>
      </c>
      <c r="B558" s="115" t="s">
        <v>1</v>
      </c>
      <c r="C558" s="32"/>
      <c r="D558" s="115">
        <f>IF(ISBLANK(fixtures!$K357),"",fixtures!$K357)</f>
        <v>0</v>
      </c>
      <c r="E558" s="116" t="str">
        <f>IF(ISBLANK(fixtures!$L357),"",":")</f>
        <v>:</v>
      </c>
      <c r="F558" s="117">
        <f>IF(ISBLANK(fixtures!$L357),"",fixtures!$L357)</f>
        <v>3</v>
      </c>
      <c r="G558" s="32"/>
      <c r="H558" s="117" t="s">
        <v>4</v>
      </c>
      <c r="I558" s="117" t="s">
        <v>57</v>
      </c>
      <c r="J558" s="32"/>
      <c r="K558" s="32"/>
      <c r="L558" s="32"/>
      <c r="M558" s="32"/>
    </row>
    <row r="559" spans="1:13" x14ac:dyDescent="0.4">
      <c r="A559" s="199" t="s">
        <v>671</v>
      </c>
      <c r="B559" s="200"/>
      <c r="C559" s="200"/>
      <c r="D559" s="200"/>
      <c r="E559" s="200"/>
      <c r="F559" s="200"/>
      <c r="G559" s="200"/>
      <c r="H559" s="200"/>
      <c r="I559" s="200"/>
      <c r="J559" s="200"/>
      <c r="K559" s="200"/>
      <c r="L559" s="200"/>
      <c r="M559" s="200"/>
    </row>
    <row r="560" spans="1:13" x14ac:dyDescent="0.4">
      <c r="A560" s="172">
        <f ca="1">IFERROR(INDIRECT("fixtures!" &amp; Dashboard!J1 &amp;358) - Dashboard!K1/24,"TBC")</f>
        <v>45061.916666666664</v>
      </c>
      <c r="B560" s="115" t="s">
        <v>8</v>
      </c>
      <c r="C560" s="32"/>
      <c r="D560" s="115">
        <f>IF(ISBLANK(fixtures!$K358),"",fixtures!$K358)</f>
        <v>0</v>
      </c>
      <c r="E560" s="116" t="str">
        <f>IF(ISBLANK(fixtures!$L358),"",":")</f>
        <v>:</v>
      </c>
      <c r="F560" s="117">
        <f>IF(ISBLANK(fixtures!$L358),"",fixtures!$L358)</f>
        <v>3</v>
      </c>
      <c r="G560" s="32"/>
      <c r="H560" s="117" t="s">
        <v>9</v>
      </c>
      <c r="I560" s="117" t="s">
        <v>54</v>
      </c>
      <c r="J560" s="32"/>
      <c r="K560" s="32"/>
      <c r="L560" s="32"/>
      <c r="M560" s="32"/>
    </row>
    <row r="561" spans="1:13" x14ac:dyDescent="0.4">
      <c r="A561" s="118" t="str">
        <f>"Time Zone: " &amp; Dashboard!D1</f>
        <v>Time Zone: Europe Western</v>
      </c>
      <c r="B561" s="32"/>
      <c r="C561" s="32"/>
      <c r="D561" s="32"/>
      <c r="E561" s="32"/>
      <c r="F561" s="32"/>
      <c r="G561" s="32"/>
      <c r="H561" s="32"/>
      <c r="I561" s="453" t="s">
        <v>592</v>
      </c>
      <c r="J561" s="32"/>
      <c r="K561" s="32"/>
      <c r="L561" s="32"/>
      <c r="M561" s="32"/>
    </row>
    <row r="562" spans="1:13" ht="31.5" x14ac:dyDescent="0.5">
      <c r="A562" s="24"/>
      <c r="B562" s="24"/>
      <c r="C562" s="24"/>
      <c r="D562" s="24"/>
      <c r="E562" s="24"/>
      <c r="F562" s="24"/>
      <c r="G562" s="24"/>
      <c r="H562" s="186" t="s">
        <v>87</v>
      </c>
      <c r="I562" s="24"/>
      <c r="J562" s="24"/>
      <c r="K562" s="24"/>
      <c r="L562" s="24"/>
      <c r="M562" s="24"/>
    </row>
    <row r="563" spans="1:13" x14ac:dyDescent="0.4">
      <c r="A563" s="195" t="s">
        <v>672</v>
      </c>
      <c r="B563" s="196"/>
      <c r="C563" s="196"/>
      <c r="D563" s="196"/>
      <c r="E563" s="196"/>
      <c r="F563" s="196"/>
      <c r="G563" s="196"/>
      <c r="H563" s="196"/>
      <c r="I563" s="196"/>
      <c r="J563" s="196"/>
      <c r="K563" s="196"/>
      <c r="L563" s="196"/>
      <c r="M563" s="196"/>
    </row>
    <row r="564" spans="1:13" x14ac:dyDescent="0.4">
      <c r="A564" s="170">
        <f ca="1">IFERROR(INDIRECT("fixtures!" &amp; Dashboard!J1 &amp;359) - Dashboard!K1/24,"TBC")</f>
        <v>45064.895833333336</v>
      </c>
      <c r="B564" s="105" t="s">
        <v>12</v>
      </c>
      <c r="C564" s="25"/>
      <c r="D564" s="105">
        <f>IF(ISBLANK(fixtures!$K359),"",fixtures!$K359)</f>
        <v>4</v>
      </c>
      <c r="E564" s="106" t="str">
        <f>IF(ISBLANK(fixtures!$L359),"",":")</f>
        <v>:</v>
      </c>
      <c r="F564" s="107">
        <f>IF(ISBLANK(fixtures!$L359),"",fixtures!$L359)</f>
        <v>1</v>
      </c>
      <c r="G564" s="25"/>
      <c r="H564" s="107" t="s">
        <v>4</v>
      </c>
      <c r="I564" s="107" t="s">
        <v>55</v>
      </c>
      <c r="J564" s="25"/>
      <c r="K564" s="25"/>
      <c r="L564" s="25"/>
      <c r="M564" s="25"/>
    </row>
    <row r="565" spans="1:13" x14ac:dyDescent="0.4">
      <c r="A565" s="108" t="str">
        <f>"Time Zone: " &amp; Dashboard!D1</f>
        <v>Time Zone: Europe Western</v>
      </c>
      <c r="B565" s="25"/>
      <c r="C565" s="25"/>
      <c r="D565" s="25"/>
      <c r="E565" s="25"/>
      <c r="F565" s="25"/>
      <c r="G565" s="25"/>
      <c r="H565" s="25"/>
      <c r="I565" s="454" t="s">
        <v>592</v>
      </c>
      <c r="J565" s="25"/>
      <c r="K565" s="25"/>
      <c r="L565" s="25"/>
      <c r="M565" s="25"/>
    </row>
    <row r="566" spans="1:13" ht="31.5" x14ac:dyDescent="0.5">
      <c r="A566" s="33"/>
      <c r="B566" s="33"/>
      <c r="C566" s="33"/>
      <c r="D566" s="33"/>
      <c r="E566" s="33"/>
      <c r="F566" s="33"/>
      <c r="G566" s="33"/>
      <c r="H566" s="119" t="s">
        <v>99</v>
      </c>
      <c r="I566" s="33"/>
      <c r="J566" s="33"/>
      <c r="K566" s="33"/>
      <c r="L566" s="33"/>
      <c r="M566" s="33"/>
    </row>
    <row r="567" spans="1:13" x14ac:dyDescent="0.4">
      <c r="A567" s="201" t="s">
        <v>580</v>
      </c>
      <c r="B567" s="202"/>
      <c r="C567" s="202"/>
      <c r="D567" s="202"/>
      <c r="E567" s="202"/>
      <c r="F567" s="202"/>
      <c r="G567" s="202"/>
      <c r="H567" s="202"/>
      <c r="I567" s="202"/>
      <c r="J567" s="202"/>
      <c r="K567" s="202"/>
      <c r="L567" s="202"/>
      <c r="M567" s="202"/>
    </row>
    <row r="568" spans="1:13" x14ac:dyDescent="0.4">
      <c r="A568" s="173">
        <f ca="1">IFERROR(INDIRECT("fixtures!" &amp; Dashboard!J1 &amp;360) - Dashboard!K1/24,"TBC")</f>
        <v>45066.604166666664</v>
      </c>
      <c r="B568" s="120" t="s">
        <v>14</v>
      </c>
      <c r="C568" s="34"/>
      <c r="D568" s="120">
        <f>IF(ISBLANK(fixtures!$K360),"",fixtures!$K360)</f>
        <v>1</v>
      </c>
      <c r="E568" s="121" t="str">
        <f>IF(ISBLANK(fixtures!$L360),"",":")</f>
        <v>:</v>
      </c>
      <c r="F568" s="122">
        <f>IF(ISBLANK(fixtures!$L360),"",fixtures!$L360)</f>
        <v>3</v>
      </c>
      <c r="G568" s="34"/>
      <c r="H568" s="122" t="s">
        <v>125</v>
      </c>
      <c r="I568" s="122" t="s">
        <v>53</v>
      </c>
      <c r="J568" s="34"/>
      <c r="K568" s="34"/>
      <c r="L568" s="34"/>
      <c r="M568" s="34"/>
    </row>
    <row r="569" spans="1:13" x14ac:dyDescent="0.4">
      <c r="A569" s="173">
        <f ca="1">IFERROR(INDIRECT("fixtures!" &amp; Dashboard!J1 &amp;361) - Dashboard!K1/24,"TBC")</f>
        <v>45066.708333333336</v>
      </c>
      <c r="B569" s="120" t="s">
        <v>3</v>
      </c>
      <c r="C569" s="34"/>
      <c r="D569" s="120">
        <f>IF(ISBLANK(fixtures!$K361),"",fixtures!$K361)</f>
        <v>0</v>
      </c>
      <c r="E569" s="121" t="str">
        <f>IF(ISBLANK(fixtures!$L361),"",":")</f>
        <v>:</v>
      </c>
      <c r="F569" s="122">
        <f>IF(ISBLANK(fixtures!$L361),"",fixtures!$L361)</f>
        <v>1</v>
      </c>
      <c r="G569" s="34"/>
      <c r="H569" s="122" t="s">
        <v>11</v>
      </c>
      <c r="I569" s="122" t="s">
        <v>51</v>
      </c>
      <c r="J569" s="34"/>
      <c r="K569" s="34"/>
      <c r="L569" s="34"/>
      <c r="M569" s="34"/>
    </row>
    <row r="570" spans="1:13" x14ac:dyDescent="0.4">
      <c r="A570" s="173">
        <f ca="1">IFERROR(INDIRECT("fixtures!" &amp; Dashboard!J1 &amp;362) - Dashboard!K1/24,"TBC")</f>
        <v>45066.708333333336</v>
      </c>
      <c r="B570" s="120" t="s">
        <v>126</v>
      </c>
      <c r="C570" s="34"/>
      <c r="D570" s="120">
        <f>IF(ISBLANK(fixtures!$K362),"",fixtures!$K362)</f>
        <v>2</v>
      </c>
      <c r="E570" s="121" t="str">
        <f>IF(ISBLANK(fixtures!$L362),"",":")</f>
        <v>:</v>
      </c>
      <c r="F570" s="122">
        <f>IF(ISBLANK(fixtures!$L362),"",fixtures!$L362)</f>
        <v>2</v>
      </c>
      <c r="G570" s="34"/>
      <c r="H570" s="122" t="s">
        <v>6</v>
      </c>
      <c r="I570" s="122" t="s">
        <v>431</v>
      </c>
      <c r="J570" s="34"/>
      <c r="K570" s="34"/>
      <c r="L570" s="34"/>
      <c r="M570" s="34"/>
    </row>
    <row r="571" spans="1:13" x14ac:dyDescent="0.4">
      <c r="A571" s="173">
        <f ca="1">IFERROR(INDIRECT("fixtures!" &amp; Dashboard!J1 &amp;363) - Dashboard!K1/24,"TBC")</f>
        <v>45066.708333333336</v>
      </c>
      <c r="B571" s="120" t="s">
        <v>9</v>
      </c>
      <c r="C571" s="34"/>
      <c r="D571" s="120">
        <f>IF(ISBLANK(fixtures!$K363),"",fixtures!$K363)</f>
        <v>1</v>
      </c>
      <c r="E571" s="121" t="str">
        <f>IF(ISBLANK(fixtures!$L363),"",":")</f>
        <v>:</v>
      </c>
      <c r="F571" s="122">
        <f>IF(ISBLANK(fixtures!$L363),"",fixtures!$L363)</f>
        <v>1</v>
      </c>
      <c r="G571" s="34"/>
      <c r="H571" s="122" t="s">
        <v>2</v>
      </c>
      <c r="I571" s="122" t="s">
        <v>48</v>
      </c>
      <c r="J571" s="34"/>
      <c r="K571" s="34"/>
      <c r="L571" s="34"/>
      <c r="M571" s="34"/>
    </row>
    <row r="572" spans="1:13" x14ac:dyDescent="0.4">
      <c r="A572" s="173">
        <f ca="1">IFERROR(INDIRECT("fixtures!" &amp; Dashboard!J1 &amp;364) - Dashboard!K1/24,"TBC")</f>
        <v>45066.708333333336</v>
      </c>
      <c r="B572" s="120" t="s">
        <v>16</v>
      </c>
      <c r="C572" s="34"/>
      <c r="D572" s="120">
        <f>IF(ISBLANK(fixtures!$K364),"",fixtures!$K364)</f>
        <v>1</v>
      </c>
      <c r="E572" s="121" t="str">
        <f>IF(ISBLANK(fixtures!$L364),"",":")</f>
        <v>:</v>
      </c>
      <c r="F572" s="122">
        <f>IF(ISBLANK(fixtures!$L364),"",fixtures!$L364)</f>
        <v>1</v>
      </c>
      <c r="G572" s="34"/>
      <c r="H572" s="122" t="s">
        <v>7</v>
      </c>
      <c r="I572" s="122" t="s">
        <v>63</v>
      </c>
      <c r="J572" s="34"/>
      <c r="K572" s="34"/>
      <c r="L572" s="34"/>
      <c r="M572" s="34"/>
    </row>
    <row r="573" spans="1:13" x14ac:dyDescent="0.4">
      <c r="A573" s="173">
        <f ca="1">IFERROR(INDIRECT("fixtures!" &amp; Dashboard!J1 &amp;365) - Dashboard!K1/24,"TBC")</f>
        <v>45066.8125</v>
      </c>
      <c r="B573" s="120" t="s">
        <v>204</v>
      </c>
      <c r="C573" s="34"/>
      <c r="D573" s="120">
        <f>IF(ISBLANK(fixtures!$K365),"",fixtures!$K365)</f>
        <v>1</v>
      </c>
      <c r="E573" s="121" t="str">
        <f>IF(ISBLANK(fixtures!$L365),"",":")</f>
        <v>:</v>
      </c>
      <c r="F573" s="122">
        <f>IF(ISBLANK(fixtures!$L365),"",fixtures!$L365)</f>
        <v>0</v>
      </c>
      <c r="G573" s="34"/>
      <c r="H573" s="122" t="s">
        <v>1</v>
      </c>
      <c r="I573" s="122" t="s">
        <v>436</v>
      </c>
      <c r="J573" s="34"/>
      <c r="K573" s="34"/>
      <c r="L573" s="34"/>
      <c r="M573" s="34"/>
    </row>
    <row r="574" spans="1:13" x14ac:dyDescent="0.4">
      <c r="A574" s="201" t="s">
        <v>673</v>
      </c>
      <c r="B574" s="202"/>
      <c r="C574" s="202"/>
      <c r="D574" s="202"/>
      <c r="E574" s="202"/>
      <c r="F574" s="202"/>
      <c r="G574" s="202"/>
      <c r="H574" s="202"/>
      <c r="I574" s="202"/>
      <c r="J574" s="202"/>
      <c r="K574" s="202"/>
      <c r="L574" s="202"/>
      <c r="M574" s="202"/>
    </row>
    <row r="575" spans="1:13" x14ac:dyDescent="0.4">
      <c r="A575" s="173">
        <f ca="1">IFERROR(INDIRECT("fixtures!" &amp; Dashboard!J1 &amp;366) - Dashboard!K1/24,"TBC")</f>
        <v>45067.645833333336</v>
      </c>
      <c r="B575" s="120" t="s">
        <v>15</v>
      </c>
      <c r="C575" s="34"/>
      <c r="D575" s="120">
        <f>IF(ISBLANK(fixtures!$K366),"",fixtures!$K366)</f>
        <v>3</v>
      </c>
      <c r="E575" s="121" t="str">
        <f>IF(ISBLANK(fixtures!$L366),"",":")</f>
        <v>:</v>
      </c>
      <c r="F575" s="122">
        <f>IF(ISBLANK(fixtures!$L366),"",fixtures!$L366)</f>
        <v>1</v>
      </c>
      <c r="G575" s="34"/>
      <c r="H575" s="122" t="s">
        <v>139</v>
      </c>
      <c r="I575" s="122" t="s">
        <v>50</v>
      </c>
      <c r="J575" s="34"/>
      <c r="K575" s="34"/>
      <c r="L575" s="34"/>
      <c r="M575" s="34"/>
    </row>
    <row r="576" spans="1:13" x14ac:dyDescent="0.4">
      <c r="A576" s="173">
        <f ca="1">IFERROR(INDIRECT("fixtures!" &amp; Dashboard!J1 &amp;367) - Dashboard!K1/24,"TBC")</f>
        <v>45067.666666666664</v>
      </c>
      <c r="B576" s="120" t="s">
        <v>4</v>
      </c>
      <c r="C576" s="34"/>
      <c r="D576" s="120">
        <f>IF(ISBLANK(fixtures!$K367),"",fixtures!$K367)</f>
        <v>3</v>
      </c>
      <c r="E576" s="121" t="str">
        <f>IF(ISBLANK(fixtures!$L367),"",":")</f>
        <v>:</v>
      </c>
      <c r="F576" s="122">
        <f>IF(ISBLANK(fixtures!$L367),"",fixtures!$L367)</f>
        <v>1</v>
      </c>
      <c r="G576" s="34"/>
      <c r="H576" s="122" t="s">
        <v>13</v>
      </c>
      <c r="I576" s="122" t="s">
        <v>151</v>
      </c>
      <c r="J576" s="34"/>
      <c r="K576" s="34"/>
      <c r="L576" s="34"/>
      <c r="M576" s="34"/>
    </row>
    <row r="577" spans="1:13" x14ac:dyDescent="0.4">
      <c r="A577" s="173">
        <f ca="1">IFERROR(INDIRECT("fixtures!" &amp; Dashboard!J1 &amp;368) - Dashboard!K1/24,"TBC")</f>
        <v>45067.75</v>
      </c>
      <c r="B577" s="120" t="s">
        <v>10</v>
      </c>
      <c r="C577" s="34"/>
      <c r="D577" s="120">
        <f>IF(ISBLANK(fixtures!$K368),"",fixtures!$K368)</f>
        <v>1</v>
      </c>
      <c r="E577" s="121" t="str">
        <f>IF(ISBLANK(fixtures!$L368),"",":")</f>
        <v>:</v>
      </c>
      <c r="F577" s="122">
        <f>IF(ISBLANK(fixtures!$L368),"",fixtures!$L368)</f>
        <v>0</v>
      </c>
      <c r="G577" s="34"/>
      <c r="H577" s="122" t="s">
        <v>5</v>
      </c>
      <c r="I577" s="122" t="s">
        <v>61</v>
      </c>
      <c r="J577" s="34"/>
      <c r="K577" s="34"/>
      <c r="L577" s="34"/>
      <c r="M577" s="34"/>
    </row>
    <row r="578" spans="1:13" x14ac:dyDescent="0.4">
      <c r="A578" s="201" t="s">
        <v>674</v>
      </c>
      <c r="B578" s="202"/>
      <c r="C578" s="202"/>
      <c r="D578" s="202"/>
      <c r="E578" s="202"/>
      <c r="F578" s="202"/>
      <c r="G578" s="202"/>
      <c r="H578" s="202"/>
      <c r="I578" s="202"/>
      <c r="J578" s="202"/>
      <c r="K578" s="202"/>
      <c r="L578" s="202"/>
      <c r="M578" s="202"/>
    </row>
    <row r="579" spans="1:13" x14ac:dyDescent="0.4">
      <c r="A579" s="173">
        <f ca="1">IFERROR(INDIRECT("fixtures!" &amp; Dashboard!J1 &amp;369) - Dashboard!K1/24,"TBC")</f>
        <v>45068.916666666664</v>
      </c>
      <c r="B579" s="120" t="s">
        <v>12</v>
      </c>
      <c r="C579" s="34"/>
      <c r="D579" s="120">
        <f>IF(ISBLANK(fixtures!$K369),"",fixtures!$K369)</f>
        <v>0</v>
      </c>
      <c r="E579" s="121" t="str">
        <f>IF(ISBLANK(fixtures!$L369),"",":")</f>
        <v>:</v>
      </c>
      <c r="F579" s="122">
        <f>IF(ISBLANK(fixtures!$L369),"",fixtures!$L369)</f>
        <v>0</v>
      </c>
      <c r="G579" s="34"/>
      <c r="H579" s="122" t="s">
        <v>8</v>
      </c>
      <c r="I579" s="122" t="s">
        <v>55</v>
      </c>
      <c r="J579" s="34"/>
      <c r="K579" s="34"/>
      <c r="L579" s="34"/>
      <c r="M579" s="34"/>
    </row>
    <row r="580" spans="1:13" x14ac:dyDescent="0.4">
      <c r="A580" s="123" t="str">
        <f>"Time Zone: " &amp; Dashboard!D1</f>
        <v>Time Zone: Europe Western</v>
      </c>
      <c r="B580" s="34"/>
      <c r="C580" s="34"/>
      <c r="D580" s="34"/>
      <c r="E580" s="34"/>
      <c r="F580" s="34"/>
      <c r="G580" s="34"/>
      <c r="H580" s="34"/>
      <c r="I580" s="455" t="s">
        <v>592</v>
      </c>
      <c r="J580" s="34"/>
      <c r="K580" s="34"/>
      <c r="L580" s="34"/>
      <c r="M580" s="34"/>
    </row>
    <row r="581" spans="1:13" ht="31.5" x14ac:dyDescent="0.5">
      <c r="A581" s="35"/>
      <c r="B581" s="35"/>
      <c r="C581" s="35"/>
      <c r="D581" s="35"/>
      <c r="E581" s="35"/>
      <c r="F581" s="35"/>
      <c r="G581" s="35"/>
      <c r="H581" s="124" t="s">
        <v>94</v>
      </c>
      <c r="I581" s="35"/>
      <c r="J581" s="35"/>
      <c r="K581" s="35"/>
      <c r="L581" s="35"/>
      <c r="M581" s="35"/>
    </row>
    <row r="582" spans="1:13" x14ac:dyDescent="0.4">
      <c r="A582" s="203" t="s">
        <v>675</v>
      </c>
      <c r="B582" s="204"/>
      <c r="C582" s="204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</row>
    <row r="583" spans="1:13" x14ac:dyDescent="0.4">
      <c r="A583" s="174">
        <f ca="1">IFERROR(INDIRECT("fixtures!" &amp; Dashboard!J1 &amp;370) - Dashboard!K1/24,"TBC")</f>
        <v>45070.916666666664</v>
      </c>
      <c r="B583" s="125" t="s">
        <v>4</v>
      </c>
      <c r="C583" s="36"/>
      <c r="D583" s="125">
        <f>IF(ISBLANK(fixtures!$K370),"",fixtures!$K370)</f>
        <v>1</v>
      </c>
      <c r="E583" s="126" t="str">
        <f>IF(ISBLANK(fixtures!$L370),"",":")</f>
        <v>:</v>
      </c>
      <c r="F583" s="127">
        <f>IF(ISBLANK(fixtures!$L370),"",fixtures!$L370)</f>
        <v>1</v>
      </c>
      <c r="G583" s="36"/>
      <c r="H583" s="127" t="s">
        <v>10</v>
      </c>
      <c r="I583" s="127" t="s">
        <v>151</v>
      </c>
      <c r="J583" s="36"/>
      <c r="K583" s="36"/>
      <c r="L583" s="36"/>
      <c r="M583" s="36"/>
    </row>
    <row r="584" spans="1:13" x14ac:dyDescent="0.4">
      <c r="A584" s="203" t="s">
        <v>676</v>
      </c>
      <c r="B584" s="204"/>
      <c r="C584" s="204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</row>
    <row r="585" spans="1:13" x14ac:dyDescent="0.4">
      <c r="A585" s="174">
        <f ca="1">IFERROR(INDIRECT("fixtures!" &amp; Dashboard!J1 &amp;371) - Dashboard!K1/24,"TBC")</f>
        <v>45071.916666666664</v>
      </c>
      <c r="B585" s="125" t="s">
        <v>11</v>
      </c>
      <c r="C585" s="36"/>
      <c r="D585" s="125">
        <f>IF(ISBLANK(fixtures!$K371),"",fixtures!$K371)</f>
        <v>4</v>
      </c>
      <c r="E585" s="126" t="str">
        <f>IF(ISBLANK(fixtures!$L371),"",":")</f>
        <v>:</v>
      </c>
      <c r="F585" s="127">
        <f>IF(ISBLANK(fixtures!$L371),"",fixtures!$L371)</f>
        <v>1</v>
      </c>
      <c r="G585" s="36"/>
      <c r="H585" s="127" t="s">
        <v>5</v>
      </c>
      <c r="I585" s="127" t="s">
        <v>56</v>
      </c>
      <c r="J585" s="36"/>
      <c r="K585" s="36"/>
      <c r="L585" s="36"/>
      <c r="M585" s="36"/>
    </row>
    <row r="586" spans="1:13" x14ac:dyDescent="0.4">
      <c r="A586" s="128" t="str">
        <f>"Time Zone: " &amp; Dashboard!D1</f>
        <v>Time Zone: Europe Western</v>
      </c>
      <c r="B586" s="36"/>
      <c r="C586" s="36"/>
      <c r="D586" s="36"/>
      <c r="E586" s="36"/>
      <c r="F586" s="36"/>
      <c r="G586" s="36"/>
      <c r="H586" s="36"/>
      <c r="I586" s="456" t="s">
        <v>592</v>
      </c>
      <c r="J586" s="36"/>
      <c r="K586" s="36"/>
      <c r="L586" s="36"/>
      <c r="M586" s="36"/>
    </row>
    <row r="587" spans="1:13" ht="31.5" x14ac:dyDescent="0.5">
      <c r="A587" s="5"/>
      <c r="B587" s="5"/>
      <c r="C587" s="5"/>
      <c r="D587" s="5"/>
      <c r="E587" s="5"/>
      <c r="F587" s="5"/>
      <c r="G587" s="5"/>
      <c r="H587" s="90" t="s">
        <v>100</v>
      </c>
      <c r="I587" s="5"/>
      <c r="J587" s="5"/>
      <c r="K587" s="5"/>
      <c r="L587" s="5"/>
      <c r="M587" s="5"/>
    </row>
    <row r="588" spans="1:13" x14ac:dyDescent="0.4">
      <c r="A588" s="187" t="s">
        <v>581</v>
      </c>
      <c r="B588" s="188"/>
      <c r="C588" s="188"/>
      <c r="D588" s="188"/>
      <c r="E588" s="188"/>
      <c r="F588" s="188"/>
      <c r="G588" s="188"/>
      <c r="H588" s="188"/>
      <c r="I588" s="188"/>
      <c r="J588" s="188"/>
      <c r="K588" s="188"/>
      <c r="L588" s="188"/>
      <c r="M588" s="188"/>
    </row>
    <row r="589" spans="1:13" x14ac:dyDescent="0.4">
      <c r="A589" s="167">
        <f ca="1">IFERROR(INDIRECT("fixtures!" &amp; Dashboard!J1 &amp;372) - Dashboard!K1/24,"TBC")</f>
        <v>45074.770833333336</v>
      </c>
      <c r="B589" s="91" t="s">
        <v>1</v>
      </c>
      <c r="C589" s="6"/>
      <c r="D589" s="91">
        <f>IF(ISBLANK(fixtures!$K372),"",fixtures!$K372)</f>
        <v>5</v>
      </c>
      <c r="E589" s="92" t="str">
        <f>IF(ISBLANK(fixtures!$L372),"",":")</f>
        <v>:</v>
      </c>
      <c r="F589" s="93">
        <f>IF(ISBLANK(fixtures!$L372),"",fixtures!$L372)</f>
        <v>0</v>
      </c>
      <c r="G589" s="6"/>
      <c r="H589" s="93" t="s">
        <v>16</v>
      </c>
      <c r="I589" s="93" t="s">
        <v>57</v>
      </c>
      <c r="J589" s="6"/>
      <c r="K589" s="6"/>
      <c r="L589" s="6"/>
      <c r="M589" s="6"/>
    </row>
    <row r="590" spans="1:13" x14ac:dyDescent="0.4">
      <c r="A590" s="167">
        <f ca="1">IFERROR(INDIRECT("fixtures!" &amp; Dashboard!J1 &amp;373) - Dashboard!K1/24,"TBC")</f>
        <v>45074.770833333336</v>
      </c>
      <c r="B590" s="91" t="s">
        <v>2</v>
      </c>
      <c r="C590" s="6"/>
      <c r="D590" s="91">
        <f>IF(ISBLANK(fixtures!$K373),"",fixtures!$K373)</f>
        <v>2</v>
      </c>
      <c r="E590" s="92" t="str">
        <f>IF(ISBLANK(fixtures!$L373),"",":")</f>
        <v>:</v>
      </c>
      <c r="F590" s="93">
        <f>IF(ISBLANK(fixtures!$L373),"",fixtures!$L373)</f>
        <v>1</v>
      </c>
      <c r="G590" s="6"/>
      <c r="H590" s="93" t="s">
        <v>4</v>
      </c>
      <c r="I590" s="93" t="s">
        <v>58</v>
      </c>
      <c r="J590" s="6"/>
      <c r="K590" s="6"/>
      <c r="L590" s="6"/>
      <c r="M590" s="6"/>
    </row>
    <row r="591" spans="1:13" x14ac:dyDescent="0.4">
      <c r="A591" s="167">
        <f ca="1">IFERROR(INDIRECT("fixtures!" &amp; Dashboard!J1 &amp;374) - Dashboard!K1/24,"TBC")</f>
        <v>45074.770833333336</v>
      </c>
      <c r="B591" s="91" t="s">
        <v>125</v>
      </c>
      <c r="C591" s="6"/>
      <c r="D591" s="91">
        <f>IF(ISBLANK(fixtures!$K374),"",fixtures!$K374)</f>
        <v>1</v>
      </c>
      <c r="E591" s="92" t="str">
        <f>IF(ISBLANK(fixtures!$L374),"",":")</f>
        <v>:</v>
      </c>
      <c r="F591" s="93">
        <f>IF(ISBLANK(fixtures!$L374),"",fixtures!$L374)</f>
        <v>0</v>
      </c>
      <c r="G591" s="6"/>
      <c r="H591" s="93" t="s">
        <v>10</v>
      </c>
      <c r="I591" s="93" t="s">
        <v>593</v>
      </c>
      <c r="J591" s="6"/>
      <c r="K591" s="6"/>
      <c r="L591" s="6"/>
      <c r="M591" s="6"/>
    </row>
    <row r="592" spans="1:13" x14ac:dyDescent="0.4">
      <c r="A592" s="167">
        <f ca="1">IFERROR(INDIRECT("fixtures!" &amp; Dashboard!J1 &amp;375) - Dashboard!K1/24,"TBC")</f>
        <v>45074.770833333336</v>
      </c>
      <c r="B592" s="91" t="s">
        <v>5</v>
      </c>
      <c r="C592" s="6"/>
      <c r="D592" s="91">
        <f>IF(ISBLANK(fixtures!$K375),"",fixtures!$K375)</f>
        <v>1</v>
      </c>
      <c r="E592" s="92" t="str">
        <f>IF(ISBLANK(fixtures!$L375),"",":")</f>
        <v>:</v>
      </c>
      <c r="F592" s="93">
        <f>IF(ISBLANK(fixtures!$L375),"",fixtures!$L375)</f>
        <v>1</v>
      </c>
      <c r="G592" s="6"/>
      <c r="H592" s="93" t="s">
        <v>12</v>
      </c>
      <c r="I592" s="93" t="s">
        <v>62</v>
      </c>
      <c r="J592" s="6"/>
      <c r="K592" s="6"/>
      <c r="L592" s="6"/>
      <c r="M592" s="6"/>
    </row>
    <row r="593" spans="1:13" x14ac:dyDescent="0.4">
      <c r="A593" s="167">
        <f ca="1">IFERROR(INDIRECT("fixtures!" &amp; Dashboard!J1 &amp;376) - Dashboard!K1/24,"TBC")</f>
        <v>45074.770833333336</v>
      </c>
      <c r="B593" s="91" t="s">
        <v>6</v>
      </c>
      <c r="C593" s="6"/>
      <c r="D593" s="91">
        <f>IF(ISBLANK(fixtures!$K376),"",fixtures!$K376)</f>
        <v>1</v>
      </c>
      <c r="E593" s="92" t="str">
        <f>IF(ISBLANK(fixtures!$L376),"",":")</f>
        <v>:</v>
      </c>
      <c r="F593" s="93">
        <f>IF(ISBLANK(fixtures!$L376),"",fixtures!$L376)</f>
        <v>1</v>
      </c>
      <c r="G593" s="6"/>
      <c r="H593" s="93" t="s">
        <v>204</v>
      </c>
      <c r="I593" s="93" t="s">
        <v>52</v>
      </c>
      <c r="J593" s="6"/>
      <c r="K593" s="6"/>
      <c r="L593" s="6"/>
      <c r="M593" s="6"/>
    </row>
    <row r="594" spans="1:13" x14ac:dyDescent="0.4">
      <c r="A594" s="167">
        <f ca="1">IFERROR(INDIRECT("fixtures!" &amp; Dashboard!J1 &amp;377) - Dashboard!K1/24,"TBC")</f>
        <v>45074.770833333336</v>
      </c>
      <c r="B594" s="91" t="s">
        <v>7</v>
      </c>
      <c r="C594" s="6"/>
      <c r="D594" s="91">
        <f>IF(ISBLANK(fixtures!$K377),"",fixtures!$K377)</f>
        <v>1</v>
      </c>
      <c r="E594" s="92" t="str">
        <f>IF(ISBLANK(fixtures!$L377),"",":")</f>
        <v>:</v>
      </c>
      <c r="F594" s="93">
        <f>IF(ISBLANK(fixtures!$L377),"",fixtures!$L377)</f>
        <v>0</v>
      </c>
      <c r="G594" s="6"/>
      <c r="H594" s="93" t="s">
        <v>3</v>
      </c>
      <c r="I594" s="93"/>
      <c r="J594" s="6"/>
      <c r="K594" s="6"/>
      <c r="L594" s="6"/>
      <c r="M594" s="6"/>
    </row>
    <row r="595" spans="1:13" x14ac:dyDescent="0.4">
      <c r="A595" s="167">
        <f ca="1">IFERROR(INDIRECT("fixtures!" &amp; Dashboard!J1 &amp;378) - Dashboard!K1/24,"TBC")</f>
        <v>45074.770833333336</v>
      </c>
      <c r="B595" s="91" t="s">
        <v>139</v>
      </c>
      <c r="C595" s="6"/>
      <c r="D595" s="91">
        <f>IF(ISBLANK(fixtures!$K378),"",fixtures!$K378)</f>
        <v>1</v>
      </c>
      <c r="E595" s="92" t="str">
        <f>IF(ISBLANK(fixtures!$L378),"",":")</f>
        <v>:</v>
      </c>
      <c r="F595" s="93">
        <f>IF(ISBLANK(fixtures!$L378),"",fixtures!$L378)</f>
        <v>4</v>
      </c>
      <c r="G595" s="6"/>
      <c r="H595" s="93" t="s">
        <v>14</v>
      </c>
      <c r="I595" s="93" t="s">
        <v>140</v>
      </c>
      <c r="J595" s="6"/>
      <c r="K595" s="6"/>
      <c r="L595" s="6"/>
      <c r="M595" s="6"/>
    </row>
    <row r="596" spans="1:13" x14ac:dyDescent="0.4">
      <c r="A596" s="167">
        <f ca="1">IFERROR(INDIRECT("fixtures!" &amp; Dashboard!J1 &amp;379) - Dashboard!K1/24,"TBC")</f>
        <v>45074.770833333336</v>
      </c>
      <c r="B596" s="91" t="s">
        <v>8</v>
      </c>
      <c r="C596" s="6"/>
      <c r="D596" s="91">
        <f>IF(ISBLANK(fixtures!$K379),"",fixtures!$K379)</f>
        <v>2</v>
      </c>
      <c r="E596" s="92" t="str">
        <f>IF(ISBLANK(fixtures!$L379),"",":")</f>
        <v>:</v>
      </c>
      <c r="F596" s="93">
        <f>IF(ISBLANK(fixtures!$L379),"",fixtures!$L379)</f>
        <v>1</v>
      </c>
      <c r="G596" s="6"/>
      <c r="H596" s="93" t="s">
        <v>15</v>
      </c>
      <c r="I596" s="93" t="s">
        <v>54</v>
      </c>
      <c r="J596" s="6"/>
      <c r="K596" s="6"/>
      <c r="L596" s="6"/>
      <c r="M596" s="6"/>
    </row>
    <row r="597" spans="1:13" x14ac:dyDescent="0.4">
      <c r="A597" s="167">
        <f ca="1">IFERROR(INDIRECT("fixtures!" &amp; Dashboard!J1 &amp;380) - Dashboard!K1/24,"TBC")</f>
        <v>45074.770833333336</v>
      </c>
      <c r="B597" s="91" t="s">
        <v>11</v>
      </c>
      <c r="C597" s="6"/>
      <c r="D597" s="91">
        <f>IF(ISBLANK(fixtures!$K380),"",fixtures!$K380)</f>
        <v>2</v>
      </c>
      <c r="E597" s="92" t="str">
        <f>IF(ISBLANK(fixtures!$L380),"",":")</f>
        <v>:</v>
      </c>
      <c r="F597" s="93">
        <f>IF(ISBLANK(fixtures!$L380),"",fixtures!$L380)</f>
        <v>1</v>
      </c>
      <c r="G597" s="6"/>
      <c r="H597" s="93" t="s">
        <v>126</v>
      </c>
      <c r="I597" s="93" t="s">
        <v>56</v>
      </c>
      <c r="J597" s="6"/>
      <c r="K597" s="6"/>
      <c r="L597" s="6"/>
      <c r="M597" s="6"/>
    </row>
    <row r="598" spans="1:13" x14ac:dyDescent="0.4">
      <c r="A598" s="167">
        <f ca="1">IFERROR(INDIRECT("fixtures!" &amp; Dashboard!J1 &amp;381) - Dashboard!K1/24,"TBC")</f>
        <v>45074.770833333336</v>
      </c>
      <c r="B598" s="91" t="s">
        <v>13</v>
      </c>
      <c r="C598" s="6"/>
      <c r="D598" s="91">
        <f>IF(ISBLANK(fixtures!$K381),"",fixtures!$K381)</f>
        <v>4</v>
      </c>
      <c r="E598" s="92" t="str">
        <f>IF(ISBLANK(fixtures!$L381),"",":")</f>
        <v>:</v>
      </c>
      <c r="F598" s="93">
        <f>IF(ISBLANK(fixtures!$L381),"",fixtures!$L381)</f>
        <v>4</v>
      </c>
      <c r="G598" s="6"/>
      <c r="H598" s="93" t="s">
        <v>9</v>
      </c>
      <c r="I598" s="93" t="s">
        <v>60</v>
      </c>
      <c r="J598" s="6"/>
      <c r="K598" s="6"/>
      <c r="L598" s="6"/>
      <c r="M598" s="6"/>
    </row>
    <row r="599" spans="1:13" x14ac:dyDescent="0.4">
      <c r="A599" s="94" t="str">
        <f>"Time Zone: " &amp;Dashboard!D1</f>
        <v>Time Zone: Europe Western</v>
      </c>
      <c r="B599" s="6"/>
      <c r="C599" s="6"/>
      <c r="D599" s="6"/>
      <c r="E599" s="6"/>
      <c r="F599" s="6"/>
      <c r="G599" s="6"/>
      <c r="H599" s="6"/>
      <c r="I599" s="447" t="s">
        <v>592</v>
      </c>
      <c r="J599" s="6"/>
      <c r="K599" s="6"/>
      <c r="L599" s="6"/>
      <c r="M599" s="6"/>
    </row>
  </sheetData>
  <sheetProtection algorithmName="SHA-512" hashValue="UT0xZFAqqrifbbKpLl2RZeOy+SO/fCY8FNgpWtgZ8DJNogzp9ypIeCuKMjWcy8AIUCcmdvluQBsjKg2H1DQfBQ==" saltValue="ovYVY175bbWIRQQ+6lAdmg==" spinCount="100000" sheet="1" objects="1" scenarios="1"/>
  <printOptions horizontalCentered="1"/>
  <pageMargins left="0.7" right="0.7" top="0.75" bottom="0.75" header="0.3" footer="0.3"/>
  <pageSetup scale="48" orientation="portrait" r:id="rId1"/>
  <colBreaks count="1" manualBreakCount="1">
    <brk id="13" max="508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3 c 9 d 9 3 - 4 2 e 2 - 4 2 4 9 - a 8 4 b - 5 0 c d 8 4 8 0 b 1 0 c "   x m l n s = " h t t p : / / s c h e m a s . m i c r o s o f t . c o m / D a t a M a s h u p " > A A A A A A k D A A B Q S w M E F A A C A A g A p 1 D v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K d Q 7 1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n U O 9 W K I p H u A 4 A A A A R A A A A E w A c A E Z v c m 1 1 b G F z L 1 N l Y 3 R p b 2 4 x L m 0 g o h g A K K A U A A A A A A A A A A A A A A A A A A A A A A A A A A A A K 0 5 N L s n M z 1 M I h t C G 1 g B Q S w E C L Q A U A A I A C A C n U O 9 W Q 2 f p 9 a I A A A D 2 A A A A E g A A A A A A A A A A A A A A A A A A A A A A Q 2 9 u Z m l n L 1 B h Y 2 t h Z 2 U u e G 1 s U E s B A i 0 A F A A C A A g A p 1 D v V l N y O C y b A A A A 4 Q A A A B M A A A A A A A A A A A A A A A A A 7 g A A A F t D b 2 5 0 Z W 5 0 X 1 R 5 c G V z X S 5 4 b W x Q S w E C L Q A U A A I A C A C n U O 9 W K I p H u A 4 A A A A R A A A A E w A A A A A A A A A A A A A A A A D W A Q A A R m 9 y b X V s Y X M v U 2 V j d G l v b j E u b V B L B Q Y A A A A A A w A D A M I A A A A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S n D v 7 B v c k O T 9 q C 1 j D t n b Q A A A A A C A A A A A A A Q Z g A A A A E A A C A A A A C z 6 c K 1 h r 8 / c n M 8 L l A 4 K + 0 7 8 / Y v p F 3 D q Y B 4 M a k z O o 7 O n Q A A A A A O g A A A A A I A A C A A A A A 8 d 0 e j s / c J + x 3 H E F k 3 z 9 Z X I z q o y g q J h U E 6 u b U w O K d N S F A A A A B 3 t b y E + i C v x a 3 0 E r 1 X A L A E R K 3 S X 7 7 v x K 8 F t o c w E 6 U 6 G c I e T t R s c f p o T + B q x y S 6 o z h V T l E S k 1 4 U B b K D 0 l l w Q / K p W v I L E 3 M V I 5 C V Q l E 5 G p 6 w B k A A A A C Z Y e H m P f D T l E V s O 9 U L m 6 C O B / Y q 8 n 6 u + 4 X s D I D o 0 R b I a f A Y Y N K q 8 Q C O O n I Q z 6 b j x I m Z F 7 Y q v v v 9 G X U t R K 0 1 / L l h < / D a t a M a s h u p > 
</file>

<file path=customXml/itemProps1.xml><?xml version="1.0" encoding="utf-8"?>
<ds:datastoreItem xmlns:ds="http://schemas.openxmlformats.org/officeDocument/2006/customXml" ds:itemID="{2975D797-89FB-4388-BB86-CCB0A98748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Dashboard</vt:lpstr>
      <vt:lpstr>League Table</vt:lpstr>
      <vt:lpstr>Deduction</vt:lpstr>
      <vt:lpstr>fixtures</vt:lpstr>
      <vt:lpstr>Fixtures_by_Clubs</vt:lpstr>
      <vt:lpstr>Fixtures_by_Date</vt:lpstr>
      <vt:lpstr>Fixtures_by_Clubs!Print_Area</vt:lpstr>
      <vt:lpstr>Fixtures_by_Date!Print_Area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</dc:creator>
  <cp:lastModifiedBy>Jie</cp:lastModifiedBy>
  <cp:lastPrinted>2020-09-15T11:52:30Z</cp:lastPrinted>
  <dcterms:created xsi:type="dcterms:W3CDTF">2020-07-16T23:35:05Z</dcterms:created>
  <dcterms:modified xsi:type="dcterms:W3CDTF">2023-07-15T14:29:41Z</dcterms:modified>
</cp:coreProperties>
</file>