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lomiasraf/Desktop/degree/MomentumProject/"/>
    </mc:Choice>
  </mc:AlternateContent>
  <xr:revisionPtr revIDLastSave="0" documentId="13_ncr:1_{C6AD7608-A346-6441-BF46-48EDEA6DC84B}" xr6:coauthVersionLast="47" xr6:coauthVersionMax="47" xr10:uidLastSave="{00000000-0000-0000-0000-000000000000}"/>
  <bookViews>
    <workbookView xWindow="0" yWindow="760" windowWidth="30240" windowHeight="17940" xr2:uid="{534A2D85-B23D-C646-B8FC-BF11594EA9A8}"/>
  </bookViews>
  <sheets>
    <sheet name="Fixtures_by_Clubs" sheetId="2" r:id="rId1"/>
  </sheets>
  <externalReferences>
    <externalReference r:id="rId2"/>
  </externalReferences>
  <definedNames>
    <definedName name="HA_01">INDEX([1]tableTmp!$C$2:$C$22,MATCH('[1]League Table'!$S$2,[1]tableTmp!$B$2:$B$22,0))</definedName>
    <definedName name="HA_02">INDEX([1]tableTmp!$C$2:$C$22,MATCH('[1]League Table'!$S$3,[1]tableTmp!$B$2:$B$22,0))</definedName>
    <definedName name="HA_03">INDEX([1]tableTmp!$C$2:$C$22,MATCH('[1]League Table'!$S$4,[1]tableTmp!$B$2:$B$22,0))</definedName>
    <definedName name="HA_04">INDEX([1]tableTmp!$C$2:$C$22,MATCH('[1]League Table'!$S$5,[1]tableTmp!$B$2:$B$22,0))</definedName>
    <definedName name="HA_05">INDEX([1]tableTmp!$C$2:$C$22,MATCH('[1]League Table'!$S$6,[1]tableTmp!$B$2:$B$22,0))</definedName>
    <definedName name="HA_06">INDEX([1]tableTmp!$C$2:$C$22,MATCH('[1]League Table'!$S$7,[1]tableTmp!$B$2:$B$22,0))</definedName>
    <definedName name="HA_07">INDEX([1]tableTmp!$C$2:$C$22,MATCH('[1]League Table'!$S$8,[1]tableTmp!$B$2:$B$22,0))</definedName>
    <definedName name="HA_08">INDEX([1]tableTmp!$C$2:$C$22,MATCH('[1]League Table'!$S$9,[1]tableTmp!$B$2:$B$22,0))</definedName>
    <definedName name="HA_09">INDEX([1]tableTmp!$C$2:$C$22,MATCH('[1]League Table'!$S$10,[1]tableTmp!$B$2:$B$22,0))</definedName>
    <definedName name="HA_10">INDEX([1]tableTmp!$C$2:$C$22,MATCH('[1]League Table'!$S$11,[1]tableTmp!$B$2:$B$22,0))</definedName>
    <definedName name="HA_11">INDEX([1]tableTmp!$C$2:$C$22,MATCH('[1]League Table'!$S$12,[1]tableTmp!$B$2:$B$22,0))</definedName>
    <definedName name="HA_12">INDEX([1]tableTmp!$C$2:$C$22,MATCH('[1]League Table'!$S$13,[1]tableTmp!$B$2:$B$22,0))</definedName>
    <definedName name="HA_13">INDEX([1]tableTmp!$C$2:$C$22,MATCH('[1]League Table'!$S$14,[1]tableTmp!$B$2:$B$22,0))</definedName>
    <definedName name="HA_14">INDEX([1]tableTmp!$C$2:$C$22,MATCH('[1]League Table'!$S$15,[1]tableTmp!$B$2:$B$22,0))</definedName>
    <definedName name="HA_15">INDEX([1]tableTmp!$C$2:$C$22,MATCH('[1]League Table'!$S$16,[1]tableTmp!$B$2:$B$22,0))</definedName>
    <definedName name="HA_16">INDEX([1]tableTmp!$C$2:$C$22,MATCH('[1]League Table'!$S$17,[1]tableTmp!$B$2:$B$22,0))</definedName>
    <definedName name="HA_17">INDEX([1]tableTmp!$C$2:$C$22,MATCH('[1]League Table'!$S$18,[1]tableTmp!$B$2:$B$22,0))</definedName>
    <definedName name="HA_18">INDEX([1]tableTmp!$C$2:$C$22,MATCH('[1]League Table'!$S$19,[1]tableTmp!$B$2:$B$22,0))</definedName>
    <definedName name="HA_19">INDEX([1]tableTmp!$C$2:$C$22,MATCH('[1]League Table'!$S$20,[1]tableTmp!$B$2:$B$22,0))</definedName>
    <definedName name="HA_20">INDEX([1]tableTmp!$C$2:$C$22,MATCH('[1]League Table'!$S$21,[1]tableTmp!$B$2:$B$22,0))</definedName>
    <definedName name="T_01">INDEX([1]tableTmp!$C$2:$C$21,MATCH('[1]League Table'!$B$2,[1]tableTmp!$B$2:$B$21,0))</definedName>
    <definedName name="T_02">INDEX([1]tableTmp!$C$2:$C$21,MATCH('[1]League Table'!$B$3,[1]tableTmp!$B$2:$B$21,0))</definedName>
    <definedName name="T_03">INDEX([1]tableTmp!$C$2:$C$21,MATCH('[1]League Table'!$B$4,[1]tableTmp!$B$2:$B$21,0))</definedName>
    <definedName name="T_04">INDEX([1]tableTmp!$C$2:$C$21,MATCH('[1]League Table'!$B$5,[1]tableTmp!$B$2:$B$21,0))</definedName>
    <definedName name="T_05">INDEX([1]tableTmp!$C$2:$C$21,MATCH('[1]League Table'!$B$6,[1]tableTmp!$B$2:$B$21,0))</definedName>
    <definedName name="T_06">INDEX([1]tableTmp!$C$2:$C$21,MATCH('[1]League Table'!$B$7,[1]tableTmp!$B$2:$B$21,0))</definedName>
    <definedName name="T_07">INDEX([1]tableTmp!$C$2:$C$21,MATCH('[1]League Table'!$B$8,[1]tableTmp!$B$2:$B$21,0))</definedName>
    <definedName name="T_08">INDEX([1]tableTmp!$C$2:$C$21,MATCH('[1]League Table'!$B$9,[1]tableTmp!$B$2:$B$21,0))</definedName>
    <definedName name="T_09">INDEX([1]tableTmp!$C$2:$C$21,MATCH('[1]League Table'!$B$10,[1]tableTmp!$B$2:$B$21,0))</definedName>
    <definedName name="T_10">INDEX([1]tableTmp!$C$2:$C$21,MATCH('[1]League Table'!$B$11,[1]tableTmp!$B$2:$B$21,0))</definedName>
    <definedName name="T_11">INDEX([1]tableTmp!$C$2:$C$21,MATCH('[1]League Table'!$B$12,[1]tableTmp!$B$2:$B$21,0))</definedName>
    <definedName name="T_12">INDEX([1]tableTmp!$C$2:$C$21,MATCH('[1]League Table'!$B$13,[1]tableTmp!$B$2:$B$21,0))</definedName>
    <definedName name="T_13">INDEX([1]tableTmp!$C$2:$C$21,MATCH('[1]League Table'!$B$14,[1]tableTmp!$B$2:$B$21,0))</definedName>
    <definedName name="T_14">INDEX([1]tableTmp!$C$2:$C$21,MATCH('[1]League Table'!$B$15,[1]tableTmp!$B$2:$B$21,0))</definedName>
    <definedName name="T_15">INDEX([1]tableTmp!$C$2:$C$21,MATCH('[1]League Table'!$B$16,[1]tableTmp!$B$2:$B$21,0))</definedName>
    <definedName name="T_16">INDEX([1]tableTmp!$C$2:$C$21,MATCH('[1]League Table'!$B$17,[1]tableTmp!$B$2:$B$21,0))</definedName>
    <definedName name="T_17">INDEX([1]tableTmp!$C$2:$C$21,MATCH('[1]League Table'!$B$18,[1]tableTmp!$B$2:$B$21,0))</definedName>
    <definedName name="T_18">INDEX([1]tableTmp!$C$2:$C$21,MATCH('[1]League Table'!$B$19,[1]tableTmp!$B$2:$B$21,0))</definedName>
    <definedName name="T_19">INDEX([1]tableTmp!$C$2:$C$21,MATCH('[1]League Table'!$B$20,[1]tableTmp!$B$2:$B$21,0))</definedName>
    <definedName name="T_20">INDEX([1]tableTmp!$C$2:$C$21,MATCH('[1]League Table'!$B$21,[1]tableTmp!$B$2:$B$21,0))</definedName>
    <definedName name="_xlnm.Print_Area" localSheetId="0">Fixtures_by_Clubs!$A$1:$IF$52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/>
  <c r="I3" i="2"/>
  <c r="J3" i="2" s="1"/>
  <c r="S3" i="2"/>
  <c r="T3" i="2"/>
  <c r="U3" i="2"/>
  <c r="V3" i="2"/>
  <c r="AE3" i="2"/>
  <c r="AF3" i="2"/>
  <c r="AG3" i="2"/>
  <c r="AH3" i="2" s="1"/>
  <c r="AQ3" i="2"/>
  <c r="AR3" i="2"/>
  <c r="AS3" i="2"/>
  <c r="AT3" i="2" s="1"/>
  <c r="BC3" i="2"/>
  <c r="BD3" i="2"/>
  <c r="BE3" i="2"/>
  <c r="BO3" i="2"/>
  <c r="BP3" i="2"/>
  <c r="BQ3" i="2"/>
  <c r="CA3" i="2"/>
  <c r="CB3" i="2"/>
  <c r="CC3" i="2"/>
  <c r="CM3" i="2"/>
  <c r="CN3" i="2"/>
  <c r="CO3" i="2"/>
  <c r="CY3" i="2"/>
  <c r="CZ3" i="2"/>
  <c r="DA3" i="2"/>
  <c r="DK3" i="2"/>
  <c r="DL3" i="2"/>
  <c r="DM3" i="2"/>
  <c r="DW3" i="2"/>
  <c r="DX3" i="2"/>
  <c r="DY3" i="2"/>
  <c r="EI3" i="2"/>
  <c r="EJ3" i="2"/>
  <c r="EK3" i="2"/>
  <c r="EU3" i="2"/>
  <c r="EV3" i="2"/>
  <c r="EW3" i="2"/>
  <c r="FG3" i="2"/>
  <c r="FH3" i="2"/>
  <c r="FI3" i="2"/>
  <c r="FS3" i="2"/>
  <c r="FT3" i="2"/>
  <c r="FU3" i="2"/>
  <c r="GE3" i="2"/>
  <c r="GF3" i="2"/>
  <c r="GG3" i="2"/>
  <c r="GQ3" i="2"/>
  <c r="GR3" i="2"/>
  <c r="GS3" i="2"/>
  <c r="HC3" i="2"/>
  <c r="HD3" i="2"/>
  <c r="HE3" i="2"/>
  <c r="HO3" i="2"/>
  <c r="HP3" i="2"/>
  <c r="HQ3" i="2"/>
  <c r="IA3" i="2"/>
  <c r="IB3" i="2"/>
  <c r="IC3" i="2"/>
  <c r="G4" i="2"/>
  <c r="H4" i="2"/>
  <c r="I4" i="2"/>
  <c r="S4" i="2"/>
  <c r="T4" i="2"/>
  <c r="U4" i="2"/>
  <c r="AE4" i="2"/>
  <c r="AF4" i="2"/>
  <c r="AG4" i="2"/>
  <c r="AQ4" i="2"/>
  <c r="AR4" i="2"/>
  <c r="AS4" i="2"/>
  <c r="BC4" i="2"/>
  <c r="BD4" i="2"/>
  <c r="BE4" i="2"/>
  <c r="BO4" i="2"/>
  <c r="BP4" i="2"/>
  <c r="BQ4" i="2"/>
  <c r="CA4" i="2"/>
  <c r="CB4" i="2"/>
  <c r="CC4" i="2"/>
  <c r="CM4" i="2"/>
  <c r="CN4" i="2"/>
  <c r="CO4" i="2"/>
  <c r="CY4" i="2"/>
  <c r="CZ4" i="2"/>
  <c r="DA4" i="2"/>
  <c r="DK4" i="2"/>
  <c r="DL4" i="2"/>
  <c r="DM4" i="2"/>
  <c r="DW4" i="2"/>
  <c r="DX4" i="2"/>
  <c r="DY4" i="2"/>
  <c r="EI4" i="2"/>
  <c r="EJ4" i="2"/>
  <c r="EK4" i="2"/>
  <c r="EU4" i="2"/>
  <c r="EV4" i="2"/>
  <c r="EW4" i="2"/>
  <c r="FG4" i="2"/>
  <c r="FH4" i="2"/>
  <c r="FI4" i="2"/>
  <c r="FS4" i="2"/>
  <c r="FT4" i="2"/>
  <c r="FU4" i="2"/>
  <c r="GE4" i="2"/>
  <c r="GF4" i="2"/>
  <c r="GG4" i="2"/>
  <c r="GQ4" i="2"/>
  <c r="GR4" i="2"/>
  <c r="GS4" i="2"/>
  <c r="HC4" i="2"/>
  <c r="HD4" i="2"/>
  <c r="HE4" i="2"/>
  <c r="HO4" i="2"/>
  <c r="HP4" i="2"/>
  <c r="HQ4" i="2"/>
  <c r="IA4" i="2"/>
  <c r="IB4" i="2"/>
  <c r="IC4" i="2"/>
  <c r="G5" i="2"/>
  <c r="H5" i="2"/>
  <c r="I5" i="2"/>
  <c r="S5" i="2"/>
  <c r="T5" i="2"/>
  <c r="U5" i="2"/>
  <c r="AE5" i="2"/>
  <c r="AF5" i="2"/>
  <c r="AG5" i="2"/>
  <c r="AQ5" i="2"/>
  <c r="AR5" i="2"/>
  <c r="AS5" i="2"/>
  <c r="BC5" i="2"/>
  <c r="BD5" i="2"/>
  <c r="BE5" i="2"/>
  <c r="CA5" i="2"/>
  <c r="CB5" i="2"/>
  <c r="CC5" i="2"/>
  <c r="CM5" i="2"/>
  <c r="CN5" i="2"/>
  <c r="CO5" i="2"/>
  <c r="CY5" i="2"/>
  <c r="CZ5" i="2"/>
  <c r="DA5" i="2"/>
  <c r="DK5" i="2"/>
  <c r="DL5" i="2"/>
  <c r="DM5" i="2"/>
  <c r="DW5" i="2"/>
  <c r="DX5" i="2"/>
  <c r="DY5" i="2"/>
  <c r="EU5" i="2"/>
  <c r="EV5" i="2"/>
  <c r="EW5" i="2"/>
  <c r="FG5" i="2"/>
  <c r="FH5" i="2"/>
  <c r="FI5" i="2"/>
  <c r="FS5" i="2"/>
  <c r="FT5" i="2"/>
  <c r="FU5" i="2"/>
  <c r="GE5" i="2"/>
  <c r="GF5" i="2"/>
  <c r="GG5" i="2"/>
  <c r="GQ5" i="2"/>
  <c r="GR5" i="2"/>
  <c r="GS5" i="2"/>
  <c r="HC5" i="2"/>
  <c r="HD5" i="2"/>
  <c r="HE5" i="2"/>
  <c r="HO5" i="2"/>
  <c r="HP5" i="2"/>
  <c r="HQ5" i="2"/>
  <c r="IA5" i="2"/>
  <c r="IB5" i="2"/>
  <c r="IC5" i="2"/>
  <c r="ID5" i="2" s="1"/>
  <c r="BO6" i="2"/>
  <c r="BP6" i="2"/>
  <c r="BQ6" i="2"/>
  <c r="EI6" i="2"/>
  <c r="EJ6" i="2"/>
  <c r="EK6" i="2"/>
  <c r="G7" i="2"/>
  <c r="H7" i="2"/>
  <c r="I7" i="2"/>
  <c r="S7" i="2"/>
  <c r="T7" i="2"/>
  <c r="U7" i="2"/>
  <c r="AE7" i="2"/>
  <c r="AF7" i="2"/>
  <c r="AG7" i="2"/>
  <c r="AQ7" i="2"/>
  <c r="AR7" i="2"/>
  <c r="AS7" i="2"/>
  <c r="BC7" i="2"/>
  <c r="BD7" i="2"/>
  <c r="BE7" i="2"/>
  <c r="BO7" i="2"/>
  <c r="BP7" i="2"/>
  <c r="BQ7" i="2"/>
  <c r="CA7" i="2"/>
  <c r="CB7" i="2"/>
  <c r="CC7" i="2"/>
  <c r="CM7" i="2"/>
  <c r="CN7" i="2"/>
  <c r="CO7" i="2"/>
  <c r="CP7" i="2" s="1"/>
  <c r="CY7" i="2"/>
  <c r="CZ7" i="2"/>
  <c r="DA7" i="2"/>
  <c r="DK7" i="2"/>
  <c r="DL7" i="2"/>
  <c r="DM7" i="2"/>
  <c r="DW7" i="2"/>
  <c r="DX7" i="2"/>
  <c r="DY7" i="2"/>
  <c r="EI7" i="2"/>
  <c r="EJ7" i="2"/>
  <c r="EK7" i="2"/>
  <c r="EU7" i="2"/>
  <c r="EV7" i="2"/>
  <c r="EW7" i="2"/>
  <c r="FG7" i="2"/>
  <c r="FH7" i="2"/>
  <c r="FI7" i="2"/>
  <c r="FS7" i="2"/>
  <c r="FT7" i="2"/>
  <c r="FU7" i="2"/>
  <c r="GE7" i="2"/>
  <c r="GF7" i="2"/>
  <c r="GG7" i="2"/>
  <c r="GQ7" i="2"/>
  <c r="GR7" i="2"/>
  <c r="GS7" i="2"/>
  <c r="HC7" i="2"/>
  <c r="HD7" i="2"/>
  <c r="HE7" i="2"/>
  <c r="HF7" i="2" s="1"/>
  <c r="HO7" i="2"/>
  <c r="HP7" i="2"/>
  <c r="HQ7" i="2"/>
  <c r="IA7" i="2"/>
  <c r="IB7" i="2"/>
  <c r="IC7" i="2"/>
  <c r="G8" i="2"/>
  <c r="H8" i="2"/>
  <c r="I8" i="2"/>
  <c r="S8" i="2"/>
  <c r="T8" i="2"/>
  <c r="U8" i="2"/>
  <c r="AE8" i="2"/>
  <c r="AF8" i="2"/>
  <c r="AG8" i="2"/>
  <c r="AQ8" i="2"/>
  <c r="AR8" i="2"/>
  <c r="AS8" i="2"/>
  <c r="BC8" i="2"/>
  <c r="BD8" i="2"/>
  <c r="BE8" i="2"/>
  <c r="BO8" i="2"/>
  <c r="BP8" i="2"/>
  <c r="BQ8" i="2"/>
  <c r="CA8" i="2"/>
  <c r="CB8" i="2"/>
  <c r="CC8" i="2"/>
  <c r="CM8" i="2"/>
  <c r="CN8" i="2"/>
  <c r="CO8" i="2"/>
  <c r="CY8" i="2"/>
  <c r="CZ8" i="2"/>
  <c r="DA8" i="2"/>
  <c r="DK8" i="2"/>
  <c r="DN8" i="2" s="1"/>
  <c r="DL8" i="2"/>
  <c r="DM8" i="2"/>
  <c r="DW8" i="2"/>
  <c r="DX8" i="2"/>
  <c r="DY8" i="2"/>
  <c r="DZ8" i="2"/>
  <c r="EI8" i="2"/>
  <c r="EJ8" i="2"/>
  <c r="EK8" i="2"/>
  <c r="EU8" i="2"/>
  <c r="EX8" i="2" s="1"/>
  <c r="EV8" i="2"/>
  <c r="EW8" i="2"/>
  <c r="FG8" i="2"/>
  <c r="FH8" i="2"/>
  <c r="FI8" i="2"/>
  <c r="FS8" i="2"/>
  <c r="FT8" i="2"/>
  <c r="FU8" i="2"/>
  <c r="GE8" i="2"/>
  <c r="GF8" i="2"/>
  <c r="GG8" i="2"/>
  <c r="GQ8" i="2"/>
  <c r="GR8" i="2"/>
  <c r="GS8" i="2"/>
  <c r="HC8" i="2"/>
  <c r="HD8" i="2"/>
  <c r="HE8" i="2"/>
  <c r="HO8" i="2"/>
  <c r="HR8" i="2" s="1"/>
  <c r="HP8" i="2"/>
  <c r="HQ8" i="2"/>
  <c r="IA8" i="2"/>
  <c r="IB8" i="2"/>
  <c r="IC8" i="2"/>
  <c r="G9" i="2"/>
  <c r="H9" i="2"/>
  <c r="I9" i="2"/>
  <c r="J9" i="2" s="1"/>
  <c r="S9" i="2"/>
  <c r="T9" i="2"/>
  <c r="U9" i="2"/>
  <c r="AE9" i="2"/>
  <c r="AF9" i="2"/>
  <c r="AG9" i="2"/>
  <c r="AQ9" i="2"/>
  <c r="AR9" i="2"/>
  <c r="AS9" i="2"/>
  <c r="BC9" i="2"/>
  <c r="BD9" i="2"/>
  <c r="BE9" i="2"/>
  <c r="BF9" i="2" s="1"/>
  <c r="BO9" i="2"/>
  <c r="BP9" i="2"/>
  <c r="BQ9" i="2"/>
  <c r="CA9" i="2"/>
  <c r="CB9" i="2"/>
  <c r="CC9" i="2"/>
  <c r="CD9" i="2" s="1"/>
  <c r="CM9" i="2"/>
  <c r="CN9" i="2"/>
  <c r="CO9" i="2"/>
  <c r="CY9" i="2"/>
  <c r="CZ9" i="2"/>
  <c r="DA9" i="2"/>
  <c r="DK9" i="2"/>
  <c r="DL9" i="2"/>
  <c r="DM9" i="2"/>
  <c r="DW9" i="2"/>
  <c r="DX9" i="2"/>
  <c r="DY9" i="2"/>
  <c r="EI9" i="2"/>
  <c r="EJ9" i="2"/>
  <c r="EK9" i="2"/>
  <c r="EU9" i="2"/>
  <c r="EX9" i="2" s="1"/>
  <c r="EV9" i="2"/>
  <c r="EW9" i="2"/>
  <c r="FG9" i="2"/>
  <c r="FH9" i="2"/>
  <c r="FI9" i="2"/>
  <c r="FS9" i="2"/>
  <c r="FT9" i="2"/>
  <c r="FU9" i="2"/>
  <c r="FV9" i="2" s="1"/>
  <c r="GE9" i="2"/>
  <c r="GF9" i="2"/>
  <c r="GG9" i="2"/>
  <c r="GQ9" i="2"/>
  <c r="GR9" i="2"/>
  <c r="GS9" i="2"/>
  <c r="HC9" i="2"/>
  <c r="HD9" i="2"/>
  <c r="HE9" i="2"/>
  <c r="HO9" i="2"/>
  <c r="HP9" i="2"/>
  <c r="HQ9" i="2"/>
  <c r="IA9" i="2"/>
  <c r="IB9" i="2"/>
  <c r="IC9" i="2"/>
  <c r="G10" i="2"/>
  <c r="H10" i="2"/>
  <c r="I10" i="2"/>
  <c r="S10" i="2"/>
  <c r="T10" i="2"/>
  <c r="U10" i="2"/>
  <c r="AE10" i="2"/>
  <c r="AH10" i="2" s="1"/>
  <c r="AF10" i="2"/>
  <c r="AG10" i="2"/>
  <c r="BC10" i="2"/>
  <c r="BD10" i="2"/>
  <c r="BE10" i="2"/>
  <c r="CM10" i="2"/>
  <c r="CN10" i="2"/>
  <c r="CO10" i="2"/>
  <c r="CY10" i="2"/>
  <c r="CZ10" i="2"/>
  <c r="DA10" i="2"/>
  <c r="DW10" i="2"/>
  <c r="DX10" i="2"/>
  <c r="DY10" i="2"/>
  <c r="EU10" i="2"/>
  <c r="EV10" i="2"/>
  <c r="EW10" i="2"/>
  <c r="FG10" i="2"/>
  <c r="FH10" i="2"/>
  <c r="FI10" i="2"/>
  <c r="FS10" i="2"/>
  <c r="FT10" i="2"/>
  <c r="FU10" i="2"/>
  <c r="GQ10" i="2"/>
  <c r="GR10" i="2"/>
  <c r="GS10" i="2"/>
  <c r="GT10" i="2" s="1"/>
  <c r="HC10" i="2"/>
  <c r="HD10" i="2"/>
  <c r="HE10" i="2"/>
  <c r="HO10" i="2"/>
  <c r="HR10" i="2" s="1"/>
  <c r="HP10" i="2"/>
  <c r="HQ10" i="2"/>
  <c r="IA10" i="2"/>
  <c r="IB10" i="2"/>
  <c r="IC10" i="2"/>
  <c r="ID10" i="2" s="1"/>
  <c r="AQ11" i="2"/>
  <c r="AT11" i="2" s="1"/>
  <c r="AR11" i="2"/>
  <c r="AS11" i="2"/>
  <c r="BO11" i="2"/>
  <c r="BP11" i="2"/>
  <c r="BQ11" i="2"/>
  <c r="CA11" i="2"/>
  <c r="CB11" i="2"/>
  <c r="CC11" i="2"/>
  <c r="DK11" i="2"/>
  <c r="DL11" i="2"/>
  <c r="DM11" i="2"/>
  <c r="EI11" i="2"/>
  <c r="EL11" i="2" s="1"/>
  <c r="EJ11" i="2"/>
  <c r="EK11" i="2"/>
  <c r="GE11" i="2"/>
  <c r="GF11" i="2"/>
  <c r="GG11" i="2"/>
  <c r="G12" i="2"/>
  <c r="H12" i="2"/>
  <c r="I12" i="2"/>
  <c r="S12" i="2"/>
  <c r="V12" i="2" s="1"/>
  <c r="T12" i="2"/>
  <c r="U12" i="2"/>
  <c r="AE12" i="2"/>
  <c r="AF12" i="2"/>
  <c r="AG12" i="2"/>
  <c r="AH12" i="2" s="1"/>
  <c r="AQ12" i="2"/>
  <c r="AR12" i="2"/>
  <c r="AS12" i="2"/>
  <c r="BC12" i="2"/>
  <c r="BD12" i="2"/>
  <c r="BE12" i="2"/>
  <c r="BO12" i="2"/>
  <c r="BP12" i="2"/>
  <c r="BQ12" i="2"/>
  <c r="CA12" i="2"/>
  <c r="CB12" i="2"/>
  <c r="CC12" i="2"/>
  <c r="CM12" i="2"/>
  <c r="CN12" i="2"/>
  <c r="CO12" i="2"/>
  <c r="CY12" i="2"/>
  <c r="CZ12" i="2"/>
  <c r="DA12" i="2"/>
  <c r="DK12" i="2"/>
  <c r="DL12" i="2"/>
  <c r="DM12" i="2"/>
  <c r="DW12" i="2"/>
  <c r="DX12" i="2"/>
  <c r="DY12" i="2"/>
  <c r="EI12" i="2"/>
  <c r="EJ12" i="2"/>
  <c r="EK12" i="2"/>
  <c r="EU12" i="2"/>
  <c r="EV12" i="2"/>
  <c r="EW12" i="2"/>
  <c r="FG12" i="2"/>
  <c r="FH12" i="2"/>
  <c r="FI12" i="2"/>
  <c r="FS12" i="2"/>
  <c r="FT12" i="2"/>
  <c r="FU12" i="2"/>
  <c r="GE12" i="2"/>
  <c r="GF12" i="2"/>
  <c r="GG12" i="2"/>
  <c r="GQ12" i="2"/>
  <c r="GR12" i="2"/>
  <c r="GS12" i="2"/>
  <c r="HC12" i="2"/>
  <c r="HD12" i="2"/>
  <c r="HE12" i="2"/>
  <c r="HF12" i="2" s="1"/>
  <c r="HO12" i="2"/>
  <c r="HP12" i="2"/>
  <c r="HQ12" i="2"/>
  <c r="IA12" i="2"/>
  <c r="IB12" i="2"/>
  <c r="IC12" i="2"/>
  <c r="G13" i="2"/>
  <c r="H13" i="2"/>
  <c r="I13" i="2"/>
  <c r="S13" i="2"/>
  <c r="T13" i="2"/>
  <c r="U13" i="2"/>
  <c r="AE13" i="2"/>
  <c r="AF13" i="2"/>
  <c r="AG13" i="2"/>
  <c r="AH13" i="2" s="1"/>
  <c r="AQ13" i="2"/>
  <c r="AR13" i="2"/>
  <c r="AS13" i="2"/>
  <c r="BC13" i="2"/>
  <c r="BD13" i="2"/>
  <c r="BE13" i="2"/>
  <c r="BO13" i="2"/>
  <c r="BP13" i="2"/>
  <c r="BQ13" i="2"/>
  <c r="CA13" i="2"/>
  <c r="CB13" i="2"/>
  <c r="CC13" i="2"/>
  <c r="CM13" i="2"/>
  <c r="CN13" i="2"/>
  <c r="CO13" i="2"/>
  <c r="CP13" i="2" s="1"/>
  <c r="CY13" i="2"/>
  <c r="CZ13" i="2"/>
  <c r="DA13" i="2"/>
  <c r="DK13" i="2"/>
  <c r="DL13" i="2"/>
  <c r="DM13" i="2"/>
  <c r="DW13" i="2"/>
  <c r="DX13" i="2"/>
  <c r="DY13" i="2"/>
  <c r="EI13" i="2"/>
  <c r="EL13" i="2" s="1"/>
  <c r="EJ13" i="2"/>
  <c r="EK13" i="2"/>
  <c r="EU13" i="2"/>
  <c r="EV13" i="2"/>
  <c r="EW13" i="2"/>
  <c r="FG13" i="2"/>
  <c r="FH13" i="2"/>
  <c r="FI13" i="2"/>
  <c r="FS13" i="2"/>
  <c r="FT13" i="2"/>
  <c r="FU13" i="2"/>
  <c r="GE13" i="2"/>
  <c r="GF13" i="2"/>
  <c r="GG13" i="2"/>
  <c r="GQ13" i="2"/>
  <c r="GR13" i="2"/>
  <c r="GS13" i="2"/>
  <c r="HC13" i="2"/>
  <c r="HD13" i="2"/>
  <c r="HE13" i="2"/>
  <c r="HO13" i="2"/>
  <c r="HP13" i="2"/>
  <c r="HQ13" i="2"/>
  <c r="IA13" i="2"/>
  <c r="IB13" i="2"/>
  <c r="IC13" i="2"/>
  <c r="G14" i="2"/>
  <c r="H14" i="2"/>
  <c r="I14" i="2"/>
  <c r="S14" i="2"/>
  <c r="T14" i="2"/>
  <c r="U14" i="2"/>
  <c r="AE14" i="2"/>
  <c r="AF14" i="2"/>
  <c r="AG14" i="2"/>
  <c r="AQ14" i="2"/>
  <c r="AR14" i="2"/>
  <c r="AS14" i="2"/>
  <c r="BC14" i="2"/>
  <c r="BD14" i="2"/>
  <c r="BE14" i="2"/>
  <c r="BO14" i="2"/>
  <c r="BP14" i="2"/>
  <c r="BQ14" i="2"/>
  <c r="CA14" i="2"/>
  <c r="CB14" i="2"/>
  <c r="CC14" i="2"/>
  <c r="CM14" i="2"/>
  <c r="CN14" i="2"/>
  <c r="CO14" i="2"/>
  <c r="CY14" i="2"/>
  <c r="CZ14" i="2"/>
  <c r="DA14" i="2"/>
  <c r="DK14" i="2"/>
  <c r="DL14" i="2"/>
  <c r="DM14" i="2"/>
  <c r="DW14" i="2"/>
  <c r="DZ14" i="2" s="1"/>
  <c r="DX14" i="2"/>
  <c r="DY14" i="2"/>
  <c r="EI14" i="2"/>
  <c r="EJ14" i="2"/>
  <c r="EK14" i="2"/>
  <c r="EU14" i="2"/>
  <c r="EV14" i="2"/>
  <c r="EW14" i="2"/>
  <c r="FG14" i="2"/>
  <c r="FH14" i="2"/>
  <c r="FI14" i="2"/>
  <c r="FS14" i="2"/>
  <c r="FT14" i="2"/>
  <c r="FU14" i="2"/>
  <c r="GE14" i="2"/>
  <c r="GF14" i="2"/>
  <c r="GG14" i="2"/>
  <c r="GQ14" i="2"/>
  <c r="GR14" i="2"/>
  <c r="GS14" i="2"/>
  <c r="HC14" i="2"/>
  <c r="HD14" i="2"/>
  <c r="HE14" i="2"/>
  <c r="HF14" i="2" s="1"/>
  <c r="HO14" i="2"/>
  <c r="HP14" i="2"/>
  <c r="HQ14" i="2"/>
  <c r="IA14" i="2"/>
  <c r="IB14" i="2"/>
  <c r="IC14" i="2"/>
  <c r="ID14" i="2" s="1"/>
  <c r="G16" i="2"/>
  <c r="H16" i="2"/>
  <c r="I16" i="2"/>
  <c r="S16" i="2"/>
  <c r="T16" i="2"/>
  <c r="U16" i="2"/>
  <c r="AE16" i="2"/>
  <c r="AF16" i="2"/>
  <c r="AG16" i="2"/>
  <c r="AH16" i="2" s="1"/>
  <c r="AQ16" i="2"/>
  <c r="AR16" i="2"/>
  <c r="AS16" i="2"/>
  <c r="BC16" i="2"/>
  <c r="BD16" i="2"/>
  <c r="BE16" i="2"/>
  <c r="BO16" i="2"/>
  <c r="BP16" i="2"/>
  <c r="BQ16" i="2"/>
  <c r="CA16" i="2"/>
  <c r="CB16" i="2"/>
  <c r="CC16" i="2"/>
  <c r="CM16" i="2"/>
  <c r="CN16" i="2"/>
  <c r="CO16" i="2"/>
  <c r="CY16" i="2"/>
  <c r="CZ16" i="2"/>
  <c r="DA16" i="2"/>
  <c r="DK16" i="2"/>
  <c r="DL16" i="2"/>
  <c r="DM16" i="2"/>
  <c r="DW16" i="2"/>
  <c r="DX16" i="2"/>
  <c r="DY16" i="2"/>
  <c r="EI16" i="2"/>
  <c r="EL16" i="2" s="1"/>
  <c r="EJ16" i="2"/>
  <c r="EK16" i="2"/>
  <c r="EU16" i="2"/>
  <c r="EV16" i="2"/>
  <c r="EW16" i="2"/>
  <c r="FG16" i="2"/>
  <c r="FH16" i="2"/>
  <c r="FI16" i="2"/>
  <c r="FS16" i="2"/>
  <c r="FT16" i="2"/>
  <c r="FU16" i="2"/>
  <c r="GE16" i="2"/>
  <c r="GF16" i="2"/>
  <c r="GG16" i="2"/>
  <c r="GQ16" i="2"/>
  <c r="GR16" i="2"/>
  <c r="GS16" i="2"/>
  <c r="HC16" i="2"/>
  <c r="HD16" i="2"/>
  <c r="HE16" i="2"/>
  <c r="HO16" i="2"/>
  <c r="HP16" i="2"/>
  <c r="HQ16" i="2"/>
  <c r="IA16" i="2"/>
  <c r="IB16" i="2"/>
  <c r="IC16" i="2"/>
  <c r="G17" i="2"/>
  <c r="H17" i="2"/>
  <c r="I17" i="2"/>
  <c r="S17" i="2"/>
  <c r="T17" i="2"/>
  <c r="U17" i="2"/>
  <c r="AE17" i="2"/>
  <c r="AF17" i="2"/>
  <c r="AG17" i="2"/>
  <c r="AQ17" i="2"/>
  <c r="AR17" i="2"/>
  <c r="AS17" i="2"/>
  <c r="BC17" i="2"/>
  <c r="BD17" i="2"/>
  <c r="BE17" i="2"/>
  <c r="BO17" i="2"/>
  <c r="BP17" i="2"/>
  <c r="BQ17" i="2"/>
  <c r="CA17" i="2"/>
  <c r="CB17" i="2"/>
  <c r="CC17" i="2"/>
  <c r="CM17" i="2"/>
  <c r="CN17" i="2"/>
  <c r="CO17" i="2"/>
  <c r="CY17" i="2"/>
  <c r="CZ17" i="2"/>
  <c r="DA17" i="2"/>
  <c r="DB17" i="2" s="1"/>
  <c r="DK17" i="2"/>
  <c r="DL17" i="2"/>
  <c r="DM17" i="2"/>
  <c r="DW17" i="2"/>
  <c r="DX17" i="2"/>
  <c r="DY17" i="2"/>
  <c r="EI17" i="2"/>
  <c r="EJ17" i="2"/>
  <c r="EK17" i="2"/>
  <c r="EU17" i="2"/>
  <c r="EV17" i="2"/>
  <c r="EW17" i="2"/>
  <c r="EX17" i="2" s="1"/>
  <c r="FG17" i="2"/>
  <c r="FH17" i="2"/>
  <c r="FI17" i="2"/>
  <c r="FS17" i="2"/>
  <c r="FT17" i="2"/>
  <c r="FU17" i="2"/>
  <c r="GE17" i="2"/>
  <c r="GF17" i="2"/>
  <c r="GG17" i="2"/>
  <c r="GQ17" i="2"/>
  <c r="GR17" i="2"/>
  <c r="GS17" i="2"/>
  <c r="HC17" i="2"/>
  <c r="HD17" i="2"/>
  <c r="HE17" i="2"/>
  <c r="HO17" i="2"/>
  <c r="HP17" i="2"/>
  <c r="HQ17" i="2"/>
  <c r="HR17" i="2" s="1"/>
  <c r="IA17" i="2"/>
  <c r="IB17" i="2"/>
  <c r="IC17" i="2"/>
  <c r="G18" i="2"/>
  <c r="H18" i="2"/>
  <c r="I18" i="2"/>
  <c r="S18" i="2"/>
  <c r="T18" i="2"/>
  <c r="U18" i="2"/>
  <c r="AE18" i="2"/>
  <c r="AF18" i="2"/>
  <c r="AG18" i="2"/>
  <c r="AQ18" i="2"/>
  <c r="AR18" i="2"/>
  <c r="AS18" i="2"/>
  <c r="BC18" i="2"/>
  <c r="BD18" i="2"/>
  <c r="BE18" i="2"/>
  <c r="BO18" i="2"/>
  <c r="BP18" i="2"/>
  <c r="BQ18" i="2"/>
  <c r="CA18" i="2"/>
  <c r="CB18" i="2"/>
  <c r="CC18" i="2"/>
  <c r="CM18" i="2"/>
  <c r="CN18" i="2"/>
  <c r="CO18" i="2"/>
  <c r="CY18" i="2"/>
  <c r="CZ18" i="2"/>
  <c r="DA18" i="2"/>
  <c r="DK18" i="2"/>
  <c r="DL18" i="2"/>
  <c r="DM18" i="2"/>
  <c r="DW18" i="2"/>
  <c r="DZ18" i="2" s="1"/>
  <c r="DX18" i="2"/>
  <c r="DY18" i="2"/>
  <c r="EI18" i="2"/>
  <c r="EJ18" i="2"/>
  <c r="EK18" i="2"/>
  <c r="EU18" i="2"/>
  <c r="EV18" i="2"/>
  <c r="EW18" i="2"/>
  <c r="FG18" i="2"/>
  <c r="FH18" i="2"/>
  <c r="FI18" i="2"/>
  <c r="FS18" i="2"/>
  <c r="FT18" i="2"/>
  <c r="FU18" i="2"/>
  <c r="GE18" i="2"/>
  <c r="GF18" i="2"/>
  <c r="GG18" i="2"/>
  <c r="GQ18" i="2"/>
  <c r="GR18" i="2"/>
  <c r="GS18" i="2"/>
  <c r="HC18" i="2"/>
  <c r="HD18" i="2"/>
  <c r="HE18" i="2"/>
  <c r="HO18" i="2"/>
  <c r="HP18" i="2"/>
  <c r="HQ18" i="2"/>
  <c r="HR18" i="2" s="1"/>
  <c r="IA18" i="2"/>
  <c r="IB18" i="2"/>
  <c r="IC18" i="2"/>
  <c r="G20" i="2"/>
  <c r="H20" i="2"/>
  <c r="I20" i="2"/>
  <c r="S20" i="2"/>
  <c r="T20" i="2"/>
  <c r="U20" i="2"/>
  <c r="V20" i="2" s="1"/>
  <c r="AE20" i="2"/>
  <c r="AF20" i="2"/>
  <c r="AG20" i="2"/>
  <c r="AQ20" i="2"/>
  <c r="AR20" i="2"/>
  <c r="AS20" i="2"/>
  <c r="BC20" i="2"/>
  <c r="BD20" i="2"/>
  <c r="BE20" i="2"/>
  <c r="BO20" i="2"/>
  <c r="BP20" i="2"/>
  <c r="BQ20" i="2"/>
  <c r="CA20" i="2"/>
  <c r="CB20" i="2"/>
  <c r="CC20" i="2"/>
  <c r="CM20" i="2"/>
  <c r="CN20" i="2"/>
  <c r="CO20" i="2"/>
  <c r="CY20" i="2"/>
  <c r="CZ20" i="2"/>
  <c r="DA20" i="2"/>
  <c r="DK20" i="2"/>
  <c r="DL20" i="2"/>
  <c r="DM20" i="2"/>
  <c r="DW20" i="2"/>
  <c r="DX20" i="2"/>
  <c r="DY20" i="2"/>
  <c r="EI20" i="2"/>
  <c r="EJ20" i="2"/>
  <c r="EK20" i="2"/>
  <c r="EL20" i="2" s="1"/>
  <c r="EU20" i="2"/>
  <c r="EV20" i="2"/>
  <c r="EW20" i="2"/>
  <c r="FG20" i="2"/>
  <c r="FJ20" i="2" s="1"/>
  <c r="FH20" i="2"/>
  <c r="FI20" i="2"/>
  <c r="FS20" i="2"/>
  <c r="FT20" i="2"/>
  <c r="FU20" i="2"/>
  <c r="GE20" i="2"/>
  <c r="GF20" i="2"/>
  <c r="GG20" i="2"/>
  <c r="GQ20" i="2"/>
  <c r="GR20" i="2"/>
  <c r="GS20" i="2"/>
  <c r="HC20" i="2"/>
  <c r="HD20" i="2"/>
  <c r="HE20" i="2"/>
  <c r="HO20" i="2"/>
  <c r="HP20" i="2"/>
  <c r="HQ20" i="2"/>
  <c r="IA20" i="2"/>
  <c r="IB20" i="2"/>
  <c r="IC20" i="2"/>
  <c r="G21" i="2"/>
  <c r="H21" i="2"/>
  <c r="I21" i="2"/>
  <c r="S21" i="2"/>
  <c r="T21" i="2"/>
  <c r="U21" i="2"/>
  <c r="AE21" i="2"/>
  <c r="AF21" i="2"/>
  <c r="AG21" i="2"/>
  <c r="AQ21" i="2"/>
  <c r="AR21" i="2"/>
  <c r="AS21" i="2"/>
  <c r="BC21" i="2"/>
  <c r="BD21" i="2"/>
  <c r="BE21" i="2"/>
  <c r="BO21" i="2"/>
  <c r="BP21" i="2"/>
  <c r="BQ21" i="2"/>
  <c r="BR21" i="2" s="1"/>
  <c r="CA21" i="2"/>
  <c r="CB21" i="2"/>
  <c r="CC21" i="2"/>
  <c r="CM21" i="2"/>
  <c r="CN21" i="2"/>
  <c r="CO21" i="2"/>
  <c r="CY21" i="2"/>
  <c r="CZ21" i="2"/>
  <c r="DA21" i="2"/>
  <c r="DK21" i="2"/>
  <c r="DL21" i="2"/>
  <c r="DM21" i="2"/>
  <c r="DW21" i="2"/>
  <c r="DX21" i="2"/>
  <c r="DY21" i="2"/>
  <c r="EI21" i="2"/>
  <c r="EJ21" i="2"/>
  <c r="EK21" i="2"/>
  <c r="EU21" i="2"/>
  <c r="EV21" i="2"/>
  <c r="EW21" i="2"/>
  <c r="FG21" i="2"/>
  <c r="FH21" i="2"/>
  <c r="FI21" i="2"/>
  <c r="FS21" i="2"/>
  <c r="FT21" i="2"/>
  <c r="FU21" i="2"/>
  <c r="GE21" i="2"/>
  <c r="GF21" i="2"/>
  <c r="GG21" i="2"/>
  <c r="GH21" i="2" s="1"/>
  <c r="GQ21" i="2"/>
  <c r="GR21" i="2"/>
  <c r="GS21" i="2"/>
  <c r="HC21" i="2"/>
  <c r="HD21" i="2"/>
  <c r="HE21" i="2"/>
  <c r="HO21" i="2"/>
  <c r="HP21" i="2"/>
  <c r="HQ21" i="2"/>
  <c r="IA21" i="2"/>
  <c r="IB21" i="2"/>
  <c r="IC21" i="2"/>
  <c r="G22" i="2"/>
  <c r="H22" i="2"/>
  <c r="I22" i="2"/>
  <c r="S22" i="2"/>
  <c r="T22" i="2"/>
  <c r="U22" i="2"/>
  <c r="AE22" i="2"/>
  <c r="AF22" i="2"/>
  <c r="AG22" i="2"/>
  <c r="AQ22" i="2"/>
  <c r="AR22" i="2"/>
  <c r="AS22" i="2"/>
  <c r="BC22" i="2"/>
  <c r="BD22" i="2"/>
  <c r="BE22" i="2"/>
  <c r="BO22" i="2"/>
  <c r="BP22" i="2"/>
  <c r="BQ22" i="2"/>
  <c r="CA22" i="2"/>
  <c r="CB22" i="2"/>
  <c r="CC22" i="2"/>
  <c r="CM22" i="2"/>
  <c r="CN22" i="2"/>
  <c r="CO22" i="2"/>
  <c r="CY22" i="2"/>
  <c r="CZ22" i="2"/>
  <c r="DA22" i="2"/>
  <c r="DK22" i="2"/>
  <c r="DL22" i="2"/>
  <c r="DM22" i="2"/>
  <c r="DN22" i="2" s="1"/>
  <c r="DW22" i="2"/>
  <c r="DX22" i="2"/>
  <c r="DY22" i="2"/>
  <c r="EI22" i="2"/>
  <c r="EJ22" i="2"/>
  <c r="EK22" i="2"/>
  <c r="EU22" i="2"/>
  <c r="EV22" i="2"/>
  <c r="EW22" i="2"/>
  <c r="FG22" i="2"/>
  <c r="FH22" i="2"/>
  <c r="FI22" i="2"/>
  <c r="FS22" i="2"/>
  <c r="FT22" i="2"/>
  <c r="FU22" i="2"/>
  <c r="GE22" i="2"/>
  <c r="GF22" i="2"/>
  <c r="GG22" i="2"/>
  <c r="GH22" i="2" s="1"/>
  <c r="GQ22" i="2"/>
  <c r="GR22" i="2"/>
  <c r="GS22" i="2"/>
  <c r="HC22" i="2"/>
  <c r="HF22" i="2" s="1"/>
  <c r="HD22" i="2"/>
  <c r="HE22" i="2"/>
  <c r="HO22" i="2"/>
  <c r="HP22" i="2"/>
  <c r="HQ22" i="2"/>
  <c r="IA22" i="2"/>
  <c r="IB22" i="2"/>
  <c r="IC22" i="2"/>
  <c r="ID22" i="2" s="1"/>
  <c r="G23" i="2"/>
  <c r="H23" i="2"/>
  <c r="I23" i="2"/>
  <c r="S23" i="2"/>
  <c r="T23" i="2"/>
  <c r="U23" i="2"/>
  <c r="AE23" i="2"/>
  <c r="AF23" i="2"/>
  <c r="AG23" i="2"/>
  <c r="AQ23" i="2"/>
  <c r="AR23" i="2"/>
  <c r="AS23" i="2"/>
  <c r="BC23" i="2"/>
  <c r="BD23" i="2"/>
  <c r="BE23" i="2"/>
  <c r="BO23" i="2"/>
  <c r="BP23" i="2"/>
  <c r="BQ23" i="2"/>
  <c r="CA23" i="2"/>
  <c r="CB23" i="2"/>
  <c r="CC23" i="2"/>
  <c r="CM23" i="2"/>
  <c r="CN23" i="2"/>
  <c r="CO23" i="2"/>
  <c r="CY23" i="2"/>
  <c r="CZ23" i="2"/>
  <c r="DA23" i="2"/>
  <c r="DK23" i="2"/>
  <c r="DL23" i="2"/>
  <c r="DM23" i="2"/>
  <c r="DW23" i="2"/>
  <c r="DX23" i="2"/>
  <c r="DY23" i="2"/>
  <c r="EI23" i="2"/>
  <c r="EJ23" i="2"/>
  <c r="EK23" i="2"/>
  <c r="EU23" i="2"/>
  <c r="EV23" i="2"/>
  <c r="EW23" i="2"/>
  <c r="FG23" i="2"/>
  <c r="FH23" i="2"/>
  <c r="FI23" i="2"/>
  <c r="FS23" i="2"/>
  <c r="FT23" i="2"/>
  <c r="FU23" i="2"/>
  <c r="GE23" i="2"/>
  <c r="GF23" i="2"/>
  <c r="GG23" i="2"/>
  <c r="GH23" i="2" s="1"/>
  <c r="GQ23" i="2"/>
  <c r="GT23" i="2" s="1"/>
  <c r="GR23" i="2"/>
  <c r="GS23" i="2"/>
  <c r="HC23" i="2"/>
  <c r="HD23" i="2"/>
  <c r="HE23" i="2"/>
  <c r="HO23" i="2"/>
  <c r="HP23" i="2"/>
  <c r="HQ23" i="2"/>
  <c r="IA23" i="2"/>
  <c r="IB23" i="2"/>
  <c r="IC23" i="2"/>
  <c r="G24" i="2"/>
  <c r="H24" i="2"/>
  <c r="I24" i="2"/>
  <c r="S24" i="2"/>
  <c r="T24" i="2"/>
  <c r="U24" i="2"/>
  <c r="AE24" i="2"/>
  <c r="AF24" i="2"/>
  <c r="AG24" i="2"/>
  <c r="AQ24" i="2"/>
  <c r="AR24" i="2"/>
  <c r="AS24" i="2"/>
  <c r="BC24" i="2"/>
  <c r="BD24" i="2"/>
  <c r="BE24" i="2"/>
  <c r="BO24" i="2"/>
  <c r="BP24" i="2"/>
  <c r="BQ24" i="2"/>
  <c r="CA24" i="2"/>
  <c r="CB24" i="2"/>
  <c r="CC24" i="2"/>
  <c r="CM24" i="2"/>
  <c r="CN24" i="2"/>
  <c r="CO24" i="2"/>
  <c r="CY24" i="2"/>
  <c r="CZ24" i="2"/>
  <c r="DA24" i="2"/>
  <c r="DK24" i="2"/>
  <c r="DL24" i="2"/>
  <c r="DM24" i="2"/>
  <c r="DW24" i="2"/>
  <c r="DX24" i="2"/>
  <c r="DY24" i="2"/>
  <c r="EI24" i="2"/>
  <c r="EJ24" i="2"/>
  <c r="EK24" i="2"/>
  <c r="EU24" i="2"/>
  <c r="EV24" i="2"/>
  <c r="EW24" i="2"/>
  <c r="FG24" i="2"/>
  <c r="FH24" i="2"/>
  <c r="FI24" i="2"/>
  <c r="FS24" i="2"/>
  <c r="FT24" i="2"/>
  <c r="FU24" i="2"/>
  <c r="GE24" i="2"/>
  <c r="GF24" i="2"/>
  <c r="GG24" i="2"/>
  <c r="GQ24" i="2"/>
  <c r="GR24" i="2"/>
  <c r="GS24" i="2"/>
  <c r="HC24" i="2"/>
  <c r="HD24" i="2"/>
  <c r="HE24" i="2"/>
  <c r="HO24" i="2"/>
  <c r="HP24" i="2"/>
  <c r="HQ24" i="2"/>
  <c r="IA24" i="2"/>
  <c r="IB24" i="2"/>
  <c r="IC24" i="2"/>
  <c r="ID24" i="2" s="1"/>
  <c r="G25" i="2"/>
  <c r="H25" i="2"/>
  <c r="I25" i="2"/>
  <c r="S25" i="2"/>
  <c r="T25" i="2"/>
  <c r="U25" i="2"/>
  <c r="AE25" i="2"/>
  <c r="AF25" i="2"/>
  <c r="AG25" i="2"/>
  <c r="AH25" i="2" s="1"/>
  <c r="AQ25" i="2"/>
  <c r="AR25" i="2"/>
  <c r="AS25" i="2"/>
  <c r="BC25" i="2"/>
  <c r="BD25" i="2"/>
  <c r="BE25" i="2"/>
  <c r="BO25" i="2"/>
  <c r="BP25" i="2"/>
  <c r="BQ25" i="2"/>
  <c r="CA25" i="2"/>
  <c r="CB25" i="2"/>
  <c r="CC25" i="2"/>
  <c r="CM25" i="2"/>
  <c r="CN25" i="2"/>
  <c r="CO25" i="2"/>
  <c r="CY25" i="2"/>
  <c r="CZ25" i="2"/>
  <c r="DA25" i="2"/>
  <c r="DB25" i="2" s="1"/>
  <c r="DK25" i="2"/>
  <c r="DL25" i="2"/>
  <c r="DM25" i="2"/>
  <c r="DN25" i="2" s="1"/>
  <c r="DW25" i="2"/>
  <c r="DX25" i="2"/>
  <c r="DY25" i="2"/>
  <c r="EI25" i="2"/>
  <c r="EJ25" i="2"/>
  <c r="EK25" i="2"/>
  <c r="EU25" i="2"/>
  <c r="EV25" i="2"/>
  <c r="EW25" i="2"/>
  <c r="EX25" i="2" s="1"/>
  <c r="FG25" i="2"/>
  <c r="FH25" i="2"/>
  <c r="FI25" i="2"/>
  <c r="FS25" i="2"/>
  <c r="FT25" i="2"/>
  <c r="FU25" i="2"/>
  <c r="GE25" i="2"/>
  <c r="GF25" i="2"/>
  <c r="GG25" i="2"/>
  <c r="GH25" i="2" s="1"/>
  <c r="GQ25" i="2"/>
  <c r="GR25" i="2"/>
  <c r="GS25" i="2"/>
  <c r="HC25" i="2"/>
  <c r="HD25" i="2"/>
  <c r="HE25" i="2"/>
  <c r="HO25" i="2"/>
  <c r="HP25" i="2"/>
  <c r="HQ25" i="2"/>
  <c r="HR25" i="2" s="1"/>
  <c r="IA25" i="2"/>
  <c r="IB25" i="2"/>
  <c r="IC25" i="2"/>
  <c r="G26" i="2"/>
  <c r="H26" i="2"/>
  <c r="I26" i="2"/>
  <c r="S26" i="2"/>
  <c r="T26" i="2"/>
  <c r="U26" i="2"/>
  <c r="V26" i="2" s="1"/>
  <c r="BO26" i="2"/>
  <c r="BP26" i="2"/>
  <c r="BQ26" i="2"/>
  <c r="CA26" i="2"/>
  <c r="CB26" i="2"/>
  <c r="CC26" i="2"/>
  <c r="CM26" i="2"/>
  <c r="CN26" i="2"/>
  <c r="CO26" i="2"/>
  <c r="CY26" i="2"/>
  <c r="CZ26" i="2"/>
  <c r="DA26" i="2"/>
  <c r="DK26" i="2"/>
  <c r="DL26" i="2"/>
  <c r="DM26" i="2"/>
  <c r="FG26" i="2"/>
  <c r="FH26" i="2"/>
  <c r="FI26" i="2"/>
  <c r="GE26" i="2"/>
  <c r="GF26" i="2"/>
  <c r="GG26" i="2"/>
  <c r="GH26" i="2" s="1"/>
  <c r="GQ26" i="2"/>
  <c r="GR26" i="2"/>
  <c r="GS26" i="2"/>
  <c r="HC26" i="2"/>
  <c r="HD26" i="2"/>
  <c r="HE26" i="2"/>
  <c r="IA26" i="2"/>
  <c r="IB26" i="2"/>
  <c r="IC26" i="2"/>
  <c r="AE27" i="2"/>
  <c r="AF27" i="2"/>
  <c r="AG27" i="2"/>
  <c r="AQ27" i="2"/>
  <c r="AR27" i="2"/>
  <c r="AS27" i="2"/>
  <c r="BC27" i="2"/>
  <c r="BD27" i="2"/>
  <c r="BE27" i="2"/>
  <c r="DW27" i="2"/>
  <c r="DX27" i="2"/>
  <c r="DY27" i="2"/>
  <c r="DZ27" i="2" s="1"/>
  <c r="EI27" i="2"/>
  <c r="EJ27" i="2"/>
  <c r="EK27" i="2"/>
  <c r="EU27" i="2"/>
  <c r="EV27" i="2"/>
  <c r="EW27" i="2"/>
  <c r="FS27" i="2"/>
  <c r="FT27" i="2"/>
  <c r="FU27" i="2"/>
  <c r="HO27" i="2"/>
  <c r="HR27" i="2" s="1"/>
  <c r="HP27" i="2"/>
  <c r="HQ27" i="2"/>
  <c r="G28" i="2"/>
  <c r="H28" i="2"/>
  <c r="I28" i="2"/>
  <c r="S28" i="2"/>
  <c r="T28" i="2"/>
  <c r="U28" i="2"/>
  <c r="AQ28" i="2"/>
  <c r="AR28" i="2"/>
  <c r="AS28" i="2"/>
  <c r="AT28" i="2" s="1"/>
  <c r="BC28" i="2"/>
  <c r="BD28" i="2"/>
  <c r="BE28" i="2"/>
  <c r="BO28" i="2"/>
  <c r="BP28" i="2"/>
  <c r="BQ28" i="2"/>
  <c r="CA28" i="2"/>
  <c r="CB28" i="2"/>
  <c r="CC28" i="2"/>
  <c r="CM28" i="2"/>
  <c r="CN28" i="2"/>
  <c r="CO28" i="2"/>
  <c r="CY28" i="2"/>
  <c r="CZ28" i="2"/>
  <c r="DA28" i="2"/>
  <c r="DK28" i="2"/>
  <c r="DL28" i="2"/>
  <c r="DM28" i="2"/>
  <c r="DN28" i="2" s="1"/>
  <c r="DW28" i="2"/>
  <c r="DX28" i="2"/>
  <c r="DY28" i="2"/>
  <c r="EI28" i="2"/>
  <c r="EJ28" i="2"/>
  <c r="EK28" i="2"/>
  <c r="EU28" i="2"/>
  <c r="EV28" i="2"/>
  <c r="EW28" i="2"/>
  <c r="FG28" i="2"/>
  <c r="FH28" i="2"/>
  <c r="FI28" i="2"/>
  <c r="FS28" i="2"/>
  <c r="FT28" i="2"/>
  <c r="FU28" i="2"/>
  <c r="GE28" i="2"/>
  <c r="GF28" i="2"/>
  <c r="GG28" i="2"/>
  <c r="GH28" i="2" s="1"/>
  <c r="GQ28" i="2"/>
  <c r="GR28" i="2"/>
  <c r="GS28" i="2"/>
  <c r="HC28" i="2"/>
  <c r="HD28" i="2"/>
  <c r="HE28" i="2"/>
  <c r="HF28" i="2" s="1"/>
  <c r="HO28" i="2"/>
  <c r="HP28" i="2"/>
  <c r="HQ28" i="2"/>
  <c r="IA28" i="2"/>
  <c r="IB28" i="2"/>
  <c r="IC28" i="2"/>
  <c r="G29" i="2"/>
  <c r="H29" i="2"/>
  <c r="I29" i="2"/>
  <c r="S29" i="2"/>
  <c r="V29" i="2" s="1"/>
  <c r="T29" i="2"/>
  <c r="U29" i="2"/>
  <c r="AE29" i="2"/>
  <c r="AF29" i="2"/>
  <c r="AG29" i="2"/>
  <c r="BC29" i="2"/>
  <c r="BD29" i="2"/>
  <c r="BE29" i="2"/>
  <c r="BO29" i="2"/>
  <c r="BP29" i="2"/>
  <c r="BQ29" i="2"/>
  <c r="CA29" i="2"/>
  <c r="CB29" i="2"/>
  <c r="CC29" i="2"/>
  <c r="CM29" i="2"/>
  <c r="CN29" i="2"/>
  <c r="CO29" i="2"/>
  <c r="CY29" i="2"/>
  <c r="CZ29" i="2"/>
  <c r="DA29" i="2"/>
  <c r="DK29" i="2"/>
  <c r="DL29" i="2"/>
  <c r="DM29" i="2"/>
  <c r="DW29" i="2"/>
  <c r="DX29" i="2"/>
  <c r="DY29" i="2"/>
  <c r="FS29" i="2"/>
  <c r="FT29" i="2"/>
  <c r="FU29" i="2"/>
  <c r="GE29" i="2"/>
  <c r="GF29" i="2"/>
  <c r="GG29" i="2"/>
  <c r="GQ29" i="2"/>
  <c r="GR29" i="2"/>
  <c r="GS29" i="2"/>
  <c r="GT29" i="2" s="1"/>
  <c r="HC29" i="2"/>
  <c r="HD29" i="2"/>
  <c r="HE29" i="2"/>
  <c r="AE30" i="2"/>
  <c r="AH30" i="2" s="1"/>
  <c r="AF30" i="2"/>
  <c r="AG30" i="2"/>
  <c r="AQ30" i="2"/>
  <c r="AR30" i="2"/>
  <c r="AS30" i="2"/>
  <c r="EI30" i="2"/>
  <c r="EJ30" i="2"/>
  <c r="EK30" i="2"/>
  <c r="EU30" i="2"/>
  <c r="EX30" i="2" s="1"/>
  <c r="EV30" i="2"/>
  <c r="EW30" i="2"/>
  <c r="FG30" i="2"/>
  <c r="FH30" i="2"/>
  <c r="FI30" i="2"/>
  <c r="FJ30" i="2" s="1"/>
  <c r="HO30" i="2"/>
  <c r="HP30" i="2"/>
  <c r="HQ30" i="2"/>
  <c r="IA30" i="2"/>
  <c r="IB30" i="2"/>
  <c r="IC30" i="2"/>
  <c r="G31" i="2"/>
  <c r="H31" i="2"/>
  <c r="I31" i="2"/>
  <c r="S31" i="2"/>
  <c r="T31" i="2"/>
  <c r="U31" i="2"/>
  <c r="AE31" i="2"/>
  <c r="AF31" i="2"/>
  <c r="AG31" i="2"/>
  <c r="AQ31" i="2"/>
  <c r="AT31" i="2" s="1"/>
  <c r="AR31" i="2"/>
  <c r="AS31" i="2"/>
  <c r="BC31" i="2"/>
  <c r="BD31" i="2"/>
  <c r="BE31" i="2"/>
  <c r="BO31" i="2"/>
  <c r="BP31" i="2"/>
  <c r="BQ31" i="2"/>
  <c r="CA31" i="2"/>
  <c r="CB31" i="2"/>
  <c r="CC31" i="2"/>
  <c r="CM31" i="2"/>
  <c r="CN31" i="2"/>
  <c r="CO31" i="2"/>
  <c r="CP31" i="2" s="1"/>
  <c r="CY31" i="2"/>
  <c r="CZ31" i="2"/>
  <c r="DA31" i="2"/>
  <c r="DK31" i="2"/>
  <c r="DL31" i="2"/>
  <c r="DM31" i="2"/>
  <c r="DW31" i="2"/>
  <c r="DX31" i="2"/>
  <c r="DY31" i="2"/>
  <c r="EI31" i="2"/>
  <c r="EJ31" i="2"/>
  <c r="EK31" i="2"/>
  <c r="EU31" i="2"/>
  <c r="EV31" i="2"/>
  <c r="EW31" i="2"/>
  <c r="FG31" i="2"/>
  <c r="FH31" i="2"/>
  <c r="FI31" i="2"/>
  <c r="FS31" i="2"/>
  <c r="FT31" i="2"/>
  <c r="FU31" i="2"/>
  <c r="GE31" i="2"/>
  <c r="GF31" i="2"/>
  <c r="GG31" i="2"/>
  <c r="GQ31" i="2"/>
  <c r="GR31" i="2"/>
  <c r="GS31" i="2"/>
  <c r="HC31" i="2"/>
  <c r="HD31" i="2"/>
  <c r="HE31" i="2"/>
  <c r="HF31" i="2" s="1"/>
  <c r="HO31" i="2"/>
  <c r="HP31" i="2"/>
  <c r="HQ31" i="2"/>
  <c r="IA31" i="2"/>
  <c r="IB31" i="2"/>
  <c r="IC31" i="2"/>
  <c r="G32" i="2"/>
  <c r="H32" i="2"/>
  <c r="I32" i="2"/>
  <c r="S32" i="2"/>
  <c r="T32" i="2"/>
  <c r="U32" i="2"/>
  <c r="AE32" i="2"/>
  <c r="AF32" i="2"/>
  <c r="AG32" i="2"/>
  <c r="AQ32" i="2"/>
  <c r="AR32" i="2"/>
  <c r="AS32" i="2"/>
  <c r="BC32" i="2"/>
  <c r="BD32" i="2"/>
  <c r="BE32" i="2"/>
  <c r="BO32" i="2"/>
  <c r="BP32" i="2"/>
  <c r="BQ32" i="2"/>
  <c r="CA32" i="2"/>
  <c r="CB32" i="2"/>
  <c r="CC32" i="2"/>
  <c r="CM32" i="2"/>
  <c r="CN32" i="2"/>
  <c r="CO32" i="2"/>
  <c r="CP32" i="2" s="1"/>
  <c r="CY32" i="2"/>
  <c r="CZ32" i="2"/>
  <c r="DA32" i="2"/>
  <c r="DK32" i="2"/>
  <c r="DL32" i="2"/>
  <c r="DM32" i="2"/>
  <c r="DW32" i="2"/>
  <c r="DX32" i="2"/>
  <c r="DY32" i="2"/>
  <c r="EI32" i="2"/>
  <c r="EJ32" i="2"/>
  <c r="EK32" i="2"/>
  <c r="EL32" i="2"/>
  <c r="EU32" i="2"/>
  <c r="EV32" i="2"/>
  <c r="EW32" i="2"/>
  <c r="FG32" i="2"/>
  <c r="FH32" i="2"/>
  <c r="FI32" i="2"/>
  <c r="FS32" i="2"/>
  <c r="FT32" i="2"/>
  <c r="FU32" i="2"/>
  <c r="GE32" i="2"/>
  <c r="GF32" i="2"/>
  <c r="GG32" i="2"/>
  <c r="GQ32" i="2"/>
  <c r="GR32" i="2"/>
  <c r="GS32" i="2"/>
  <c r="HC32" i="2"/>
  <c r="HD32" i="2"/>
  <c r="HE32" i="2"/>
  <c r="HO32" i="2"/>
  <c r="HP32" i="2"/>
  <c r="HQ32" i="2"/>
  <c r="IA32" i="2"/>
  <c r="IB32" i="2"/>
  <c r="IC32" i="2"/>
  <c r="G33" i="2"/>
  <c r="H33" i="2"/>
  <c r="I33" i="2"/>
  <c r="S33" i="2"/>
  <c r="T33" i="2"/>
  <c r="U33" i="2"/>
  <c r="V33" i="2" s="1"/>
  <c r="AE33" i="2"/>
  <c r="AF33" i="2"/>
  <c r="AG33" i="2"/>
  <c r="AH33" i="2" s="1"/>
  <c r="AQ33" i="2"/>
  <c r="AR33" i="2"/>
  <c r="AS33" i="2"/>
  <c r="BC33" i="2"/>
  <c r="BD33" i="2"/>
  <c r="BE33" i="2"/>
  <c r="BO33" i="2"/>
  <c r="BP33" i="2"/>
  <c r="BQ33" i="2"/>
  <c r="CA33" i="2"/>
  <c r="CB33" i="2"/>
  <c r="CC33" i="2"/>
  <c r="CM33" i="2"/>
  <c r="CN33" i="2"/>
  <c r="CO33" i="2"/>
  <c r="CY33" i="2"/>
  <c r="CZ33" i="2"/>
  <c r="DA33" i="2"/>
  <c r="DK33" i="2"/>
  <c r="DL33" i="2"/>
  <c r="DM33" i="2"/>
  <c r="DW33" i="2"/>
  <c r="DX33" i="2"/>
  <c r="DY33" i="2"/>
  <c r="EI33" i="2"/>
  <c r="EJ33" i="2"/>
  <c r="EK33" i="2"/>
  <c r="EU33" i="2"/>
  <c r="EV33" i="2"/>
  <c r="EW33" i="2"/>
  <c r="FG33" i="2"/>
  <c r="FH33" i="2"/>
  <c r="FI33" i="2"/>
  <c r="FS33" i="2"/>
  <c r="FT33" i="2"/>
  <c r="FU33" i="2"/>
  <c r="GE33" i="2"/>
  <c r="GF33" i="2"/>
  <c r="GG33" i="2"/>
  <c r="GQ33" i="2"/>
  <c r="GR33" i="2"/>
  <c r="GS33" i="2"/>
  <c r="HC33" i="2"/>
  <c r="HD33" i="2"/>
  <c r="HE33" i="2"/>
  <c r="HO33" i="2"/>
  <c r="HP33" i="2"/>
  <c r="HQ33" i="2"/>
  <c r="IA33" i="2"/>
  <c r="IB33" i="2"/>
  <c r="IC33" i="2"/>
  <c r="G34" i="2"/>
  <c r="H34" i="2"/>
  <c r="I34" i="2"/>
  <c r="S34" i="2"/>
  <c r="T34" i="2"/>
  <c r="U34" i="2"/>
  <c r="AQ34" i="2"/>
  <c r="AR34" i="2"/>
  <c r="AS34" i="2"/>
  <c r="BC34" i="2"/>
  <c r="BD34" i="2"/>
  <c r="BE34" i="2"/>
  <c r="BF34" i="2"/>
  <c r="BO34" i="2"/>
  <c r="BP34" i="2"/>
  <c r="BQ34" i="2"/>
  <c r="CM34" i="2"/>
  <c r="CN34" i="2"/>
  <c r="CO34" i="2"/>
  <c r="CY34" i="2"/>
  <c r="CZ34" i="2"/>
  <c r="DA34" i="2"/>
  <c r="DK34" i="2"/>
  <c r="DL34" i="2"/>
  <c r="DM34" i="2"/>
  <c r="DW34" i="2"/>
  <c r="DX34" i="2"/>
  <c r="DY34" i="2"/>
  <c r="EU34" i="2"/>
  <c r="EV34" i="2"/>
  <c r="EW34" i="2"/>
  <c r="FG34" i="2"/>
  <c r="FH34" i="2"/>
  <c r="FI34" i="2"/>
  <c r="FS34" i="2"/>
  <c r="FT34" i="2"/>
  <c r="FU34" i="2"/>
  <c r="GE34" i="2"/>
  <c r="GF34" i="2"/>
  <c r="GG34" i="2"/>
  <c r="GQ34" i="2"/>
  <c r="GR34" i="2"/>
  <c r="GS34" i="2"/>
  <c r="HO34" i="2"/>
  <c r="HP34" i="2"/>
  <c r="HQ34" i="2"/>
  <c r="IA34" i="2"/>
  <c r="IB34" i="2"/>
  <c r="IC34" i="2"/>
  <c r="AE35" i="2"/>
  <c r="AF35" i="2"/>
  <c r="AG35" i="2"/>
  <c r="AH35" i="2" s="1"/>
  <c r="CA35" i="2"/>
  <c r="CB35" i="2"/>
  <c r="CC35" i="2"/>
  <c r="EI35" i="2"/>
  <c r="EJ35" i="2"/>
  <c r="EK35" i="2"/>
  <c r="HC35" i="2"/>
  <c r="HD35" i="2"/>
  <c r="HE35" i="2"/>
  <c r="G36" i="2"/>
  <c r="H36" i="2"/>
  <c r="I36" i="2"/>
  <c r="S36" i="2"/>
  <c r="T36" i="2"/>
  <c r="U36" i="2"/>
  <c r="AE36" i="2"/>
  <c r="AH36" i="2" s="1"/>
  <c r="AF36" i="2"/>
  <c r="AG36" i="2"/>
  <c r="AQ36" i="2"/>
  <c r="AR36" i="2"/>
  <c r="AS36" i="2"/>
  <c r="BC36" i="2"/>
  <c r="BD36" i="2"/>
  <c r="BE36" i="2"/>
  <c r="BO36" i="2"/>
  <c r="BP36" i="2"/>
  <c r="BQ36" i="2"/>
  <c r="CA36" i="2"/>
  <c r="CB36" i="2"/>
  <c r="CC36" i="2"/>
  <c r="CM36" i="2"/>
  <c r="CN36" i="2"/>
  <c r="CO36" i="2"/>
  <c r="CY36" i="2"/>
  <c r="CZ36" i="2"/>
  <c r="DA36" i="2"/>
  <c r="DK36" i="2"/>
  <c r="DL36" i="2"/>
  <c r="DM36" i="2"/>
  <c r="DW36" i="2"/>
  <c r="DX36" i="2"/>
  <c r="DY36" i="2"/>
  <c r="EI36" i="2"/>
  <c r="EJ36" i="2"/>
  <c r="EK36" i="2"/>
  <c r="EU36" i="2"/>
  <c r="EX36" i="2" s="1"/>
  <c r="EV36" i="2"/>
  <c r="EW36" i="2"/>
  <c r="FG36" i="2"/>
  <c r="FH36" i="2"/>
  <c r="FI36" i="2"/>
  <c r="FS36" i="2"/>
  <c r="FT36" i="2"/>
  <c r="FU36" i="2"/>
  <c r="GE36" i="2"/>
  <c r="GF36" i="2"/>
  <c r="GG36" i="2"/>
  <c r="GQ36" i="2"/>
  <c r="GR36" i="2"/>
  <c r="GS36" i="2"/>
  <c r="HC36" i="2"/>
  <c r="HD36" i="2"/>
  <c r="HE36" i="2"/>
  <c r="HO36" i="2"/>
  <c r="HP36" i="2"/>
  <c r="HQ36" i="2"/>
  <c r="IA36" i="2"/>
  <c r="IB36" i="2"/>
  <c r="IC36" i="2"/>
  <c r="G37" i="2"/>
  <c r="H37" i="2"/>
  <c r="I37" i="2"/>
  <c r="J37" i="2" s="1"/>
  <c r="S37" i="2"/>
  <c r="T37" i="2"/>
  <c r="U37" i="2"/>
  <c r="AE37" i="2"/>
  <c r="AH37" i="2" s="1"/>
  <c r="AF37" i="2"/>
  <c r="AG37" i="2"/>
  <c r="AQ37" i="2"/>
  <c r="AR37" i="2"/>
  <c r="AS37" i="2"/>
  <c r="BC37" i="2"/>
  <c r="BD37" i="2"/>
  <c r="BE37" i="2"/>
  <c r="BO37" i="2"/>
  <c r="BP37" i="2"/>
  <c r="BQ37" i="2"/>
  <c r="CA37" i="2"/>
  <c r="CB37" i="2"/>
  <c r="CC37" i="2"/>
  <c r="CM37" i="2"/>
  <c r="CN37" i="2"/>
  <c r="CO37" i="2"/>
  <c r="CY37" i="2"/>
  <c r="DB37" i="2" s="1"/>
  <c r="CZ37" i="2"/>
  <c r="DA37" i="2"/>
  <c r="DK37" i="2"/>
  <c r="DL37" i="2"/>
  <c r="DM37" i="2"/>
  <c r="DW37" i="2"/>
  <c r="DX37" i="2"/>
  <c r="DY37" i="2"/>
  <c r="EI37" i="2"/>
  <c r="EJ37" i="2"/>
  <c r="EK37" i="2"/>
  <c r="EU37" i="2"/>
  <c r="EV37" i="2"/>
  <c r="EW37" i="2"/>
  <c r="FG37" i="2"/>
  <c r="FH37" i="2"/>
  <c r="FI37" i="2"/>
  <c r="FS37" i="2"/>
  <c r="FV37" i="2" s="1"/>
  <c r="FT37" i="2"/>
  <c r="FU37" i="2"/>
  <c r="GE37" i="2"/>
  <c r="GF37" i="2"/>
  <c r="GG37" i="2"/>
  <c r="GQ37" i="2"/>
  <c r="GR37" i="2"/>
  <c r="GS37" i="2"/>
  <c r="GT37" i="2" s="1"/>
  <c r="HC37" i="2"/>
  <c r="HF37" i="2" s="1"/>
  <c r="HD37" i="2"/>
  <c r="HE37" i="2"/>
  <c r="HO37" i="2"/>
  <c r="HP37" i="2"/>
  <c r="HQ37" i="2"/>
  <c r="IA37" i="2"/>
  <c r="IB37" i="2"/>
  <c r="IC37" i="2"/>
  <c r="G38" i="2"/>
  <c r="H38" i="2"/>
  <c r="I38" i="2"/>
  <c r="S38" i="2"/>
  <c r="T38" i="2"/>
  <c r="U38" i="2"/>
  <c r="AE38" i="2"/>
  <c r="AF38" i="2"/>
  <c r="AG38" i="2"/>
  <c r="AQ38" i="2"/>
  <c r="AR38" i="2"/>
  <c r="AS38" i="2"/>
  <c r="BC38" i="2"/>
  <c r="BD38" i="2"/>
  <c r="BE38" i="2"/>
  <c r="BO38" i="2"/>
  <c r="BP38" i="2"/>
  <c r="BQ38" i="2"/>
  <c r="CM38" i="2"/>
  <c r="CN38" i="2"/>
  <c r="CO38" i="2"/>
  <c r="CP38" i="2" s="1"/>
  <c r="CY38" i="2"/>
  <c r="CZ38" i="2"/>
  <c r="DA38" i="2"/>
  <c r="DK38" i="2"/>
  <c r="DN38" i="2" s="1"/>
  <c r="DL38" i="2"/>
  <c r="DM38" i="2"/>
  <c r="DW38" i="2"/>
  <c r="DX38" i="2"/>
  <c r="DY38" i="2"/>
  <c r="EI38" i="2"/>
  <c r="EJ38" i="2"/>
  <c r="EK38" i="2"/>
  <c r="EU38" i="2"/>
  <c r="EV38" i="2"/>
  <c r="EW38" i="2"/>
  <c r="FG38" i="2"/>
  <c r="FH38" i="2"/>
  <c r="FI38" i="2"/>
  <c r="FS38" i="2"/>
  <c r="FT38" i="2"/>
  <c r="FU38" i="2"/>
  <c r="GE38" i="2"/>
  <c r="GF38" i="2"/>
  <c r="GG38" i="2"/>
  <c r="GQ38" i="2"/>
  <c r="GR38" i="2"/>
  <c r="GS38" i="2"/>
  <c r="HC38" i="2"/>
  <c r="HD38" i="2"/>
  <c r="HE38" i="2"/>
  <c r="HF38" i="2" s="1"/>
  <c r="HO38" i="2"/>
  <c r="HP38" i="2"/>
  <c r="HQ38" i="2"/>
  <c r="IA38" i="2"/>
  <c r="ID38" i="2" s="1"/>
  <c r="IB38" i="2"/>
  <c r="IC38" i="2"/>
  <c r="S39" i="2"/>
  <c r="T39" i="2"/>
  <c r="U39" i="2"/>
  <c r="AQ39" i="2"/>
  <c r="AR39" i="2"/>
  <c r="AS39" i="2"/>
  <c r="BO39" i="2"/>
  <c r="BP39" i="2"/>
  <c r="BQ39" i="2"/>
  <c r="CA39" i="2"/>
  <c r="CB39" i="2"/>
  <c r="CC39" i="2"/>
  <c r="DK39" i="2"/>
  <c r="DL39" i="2"/>
  <c r="DM39" i="2"/>
  <c r="EI39" i="2"/>
  <c r="EL39" i="2" s="1"/>
  <c r="EJ39" i="2"/>
  <c r="EK39" i="2"/>
  <c r="GE39" i="2"/>
  <c r="GF39" i="2"/>
  <c r="GG39" i="2"/>
  <c r="GH39" i="2" s="1"/>
  <c r="HO39" i="2"/>
  <c r="HP39" i="2"/>
  <c r="HQ39" i="2"/>
  <c r="G40" i="2"/>
  <c r="H40" i="2"/>
  <c r="I40" i="2"/>
  <c r="AE40" i="2"/>
  <c r="AF40" i="2"/>
  <c r="AG40" i="2"/>
  <c r="BC40" i="2"/>
  <c r="BD40" i="2"/>
  <c r="BE40" i="2"/>
  <c r="CA40" i="2"/>
  <c r="CB40" i="2"/>
  <c r="CC40" i="2"/>
  <c r="CM40" i="2"/>
  <c r="CN40" i="2"/>
  <c r="CO40" i="2"/>
  <c r="CY40" i="2"/>
  <c r="CZ40" i="2"/>
  <c r="DA40" i="2"/>
  <c r="DW40" i="2"/>
  <c r="DX40" i="2"/>
  <c r="DY40" i="2"/>
  <c r="EU40" i="2"/>
  <c r="EV40" i="2"/>
  <c r="EW40" i="2"/>
  <c r="FG40" i="2"/>
  <c r="FH40" i="2"/>
  <c r="FI40" i="2"/>
  <c r="FS40" i="2"/>
  <c r="FT40" i="2"/>
  <c r="FU40" i="2"/>
  <c r="GQ40" i="2"/>
  <c r="GR40" i="2"/>
  <c r="GS40" i="2"/>
  <c r="HC40" i="2"/>
  <c r="HF40" i="2" s="1"/>
  <c r="HD40" i="2"/>
  <c r="HE40" i="2"/>
  <c r="IA40" i="2"/>
  <c r="IB40" i="2"/>
  <c r="IC40" i="2"/>
  <c r="G41" i="2"/>
  <c r="H41" i="2"/>
  <c r="I41" i="2"/>
  <c r="J41" i="2" s="1"/>
  <c r="S41" i="2"/>
  <c r="T41" i="2"/>
  <c r="U41" i="2"/>
  <c r="AE41" i="2"/>
  <c r="AF41" i="2"/>
  <c r="AG41" i="2"/>
  <c r="AQ41" i="2"/>
  <c r="AR41" i="2"/>
  <c r="AS41" i="2"/>
  <c r="BC41" i="2"/>
  <c r="BF41" i="2" s="1"/>
  <c r="BD41" i="2"/>
  <c r="BE41" i="2"/>
  <c r="BO41" i="2"/>
  <c r="BP41" i="2"/>
  <c r="BQ41" i="2"/>
  <c r="BR41" i="2" s="1"/>
  <c r="CA41" i="2"/>
  <c r="CB41" i="2"/>
  <c r="CC41" i="2"/>
  <c r="CD41" i="2"/>
  <c r="CM41" i="2"/>
  <c r="CP41" i="2" s="1"/>
  <c r="CN41" i="2"/>
  <c r="CO41" i="2"/>
  <c r="CY41" i="2"/>
  <c r="CZ41" i="2"/>
  <c r="DA41" i="2"/>
  <c r="DK41" i="2"/>
  <c r="DL41" i="2"/>
  <c r="DM41" i="2"/>
  <c r="DN41" i="2"/>
  <c r="DW41" i="2"/>
  <c r="DZ41" i="2" s="1"/>
  <c r="DX41" i="2"/>
  <c r="DY41" i="2"/>
  <c r="EI41" i="2"/>
  <c r="EJ41" i="2"/>
  <c r="EK41" i="2"/>
  <c r="EU41" i="2"/>
  <c r="EV41" i="2"/>
  <c r="EW41" i="2"/>
  <c r="FG41" i="2"/>
  <c r="FJ41" i="2" s="1"/>
  <c r="FH41" i="2"/>
  <c r="FI41" i="2"/>
  <c r="FS41" i="2"/>
  <c r="FV41" i="2" s="1"/>
  <c r="FT41" i="2"/>
  <c r="FU41" i="2"/>
  <c r="GE41" i="2"/>
  <c r="GF41" i="2"/>
  <c r="GG41" i="2"/>
  <c r="GQ41" i="2"/>
  <c r="GR41" i="2"/>
  <c r="GS41" i="2"/>
  <c r="HC41" i="2"/>
  <c r="HD41" i="2"/>
  <c r="HE41" i="2"/>
  <c r="HO41" i="2"/>
  <c r="HP41" i="2"/>
  <c r="HQ41" i="2"/>
  <c r="IA41" i="2"/>
  <c r="IB41" i="2"/>
  <c r="IC41" i="2"/>
  <c r="G42" i="2"/>
  <c r="H42" i="2"/>
  <c r="I42" i="2"/>
  <c r="S42" i="2"/>
  <c r="T42" i="2"/>
  <c r="U42" i="2"/>
  <c r="V42" i="2" s="1"/>
  <c r="AE42" i="2"/>
  <c r="AF42" i="2"/>
  <c r="AG42" i="2"/>
  <c r="AQ42" i="2"/>
  <c r="AT42" i="2" s="1"/>
  <c r="AR42" i="2"/>
  <c r="AS42" i="2"/>
  <c r="BC42" i="2"/>
  <c r="BD42" i="2"/>
  <c r="BE42" i="2"/>
  <c r="BO42" i="2"/>
  <c r="BP42" i="2"/>
  <c r="BQ42" i="2"/>
  <c r="CA42" i="2"/>
  <c r="CB42" i="2"/>
  <c r="CC42" i="2"/>
  <c r="CM42" i="2"/>
  <c r="CN42" i="2"/>
  <c r="CO42" i="2"/>
  <c r="CY42" i="2"/>
  <c r="CZ42" i="2"/>
  <c r="DA42" i="2"/>
  <c r="DK42" i="2"/>
  <c r="DL42" i="2"/>
  <c r="DM42" i="2"/>
  <c r="DW42" i="2"/>
  <c r="DX42" i="2"/>
  <c r="DY42" i="2"/>
  <c r="EI42" i="2"/>
  <c r="EJ42" i="2"/>
  <c r="EK42" i="2"/>
  <c r="EU42" i="2"/>
  <c r="EV42" i="2"/>
  <c r="EW42" i="2"/>
  <c r="FG42" i="2"/>
  <c r="FH42" i="2"/>
  <c r="FI42" i="2"/>
  <c r="FS42" i="2"/>
  <c r="FV42" i="2" s="1"/>
  <c r="FT42" i="2"/>
  <c r="FU42" i="2"/>
  <c r="GE42" i="2"/>
  <c r="GF42" i="2"/>
  <c r="GG42" i="2"/>
  <c r="GQ42" i="2"/>
  <c r="GR42" i="2"/>
  <c r="GS42" i="2"/>
  <c r="HC42" i="2"/>
  <c r="HD42" i="2"/>
  <c r="HE42" i="2"/>
  <c r="HO42" i="2"/>
  <c r="HP42" i="2"/>
  <c r="HQ42" i="2"/>
  <c r="IA42" i="2"/>
  <c r="IB42" i="2"/>
  <c r="IC42" i="2"/>
  <c r="G43" i="2"/>
  <c r="J43" i="2" s="1"/>
  <c r="H43" i="2"/>
  <c r="I43" i="2"/>
  <c r="S43" i="2"/>
  <c r="T43" i="2"/>
  <c r="U43" i="2"/>
  <c r="V43" i="2" s="1"/>
  <c r="AE43" i="2"/>
  <c r="AF43" i="2"/>
  <c r="AG43" i="2"/>
  <c r="AQ43" i="2"/>
  <c r="AT43" i="2" s="1"/>
  <c r="AR43" i="2"/>
  <c r="AS43" i="2"/>
  <c r="BC43" i="2"/>
  <c r="BD43" i="2"/>
  <c r="BE43" i="2"/>
  <c r="BF43" i="2"/>
  <c r="BO43" i="2"/>
  <c r="BP43" i="2"/>
  <c r="BQ43" i="2"/>
  <c r="CA43" i="2"/>
  <c r="CD43" i="2" s="1"/>
  <c r="CB43" i="2"/>
  <c r="CC43" i="2"/>
  <c r="CM43" i="2"/>
  <c r="CN43" i="2"/>
  <c r="CO43" i="2"/>
  <c r="CY43" i="2"/>
  <c r="CZ43" i="2"/>
  <c r="DA43" i="2"/>
  <c r="DK43" i="2"/>
  <c r="DN43" i="2" s="1"/>
  <c r="DL43" i="2"/>
  <c r="DM43" i="2"/>
  <c r="DW43" i="2"/>
  <c r="DX43" i="2"/>
  <c r="DY43" i="2"/>
  <c r="EI43" i="2"/>
  <c r="EJ43" i="2"/>
  <c r="EK43" i="2"/>
  <c r="EL43" i="2" s="1"/>
  <c r="EU43" i="2"/>
  <c r="EV43" i="2"/>
  <c r="EW43" i="2"/>
  <c r="FG43" i="2"/>
  <c r="FH43" i="2"/>
  <c r="FI43" i="2"/>
  <c r="FS43" i="2"/>
  <c r="FT43" i="2"/>
  <c r="FU43" i="2"/>
  <c r="GE43" i="2"/>
  <c r="GF43" i="2"/>
  <c r="GG43" i="2"/>
  <c r="GQ43" i="2"/>
  <c r="GT43" i="2" s="1"/>
  <c r="GR43" i="2"/>
  <c r="GS43" i="2"/>
  <c r="HC43" i="2"/>
  <c r="HD43" i="2"/>
  <c r="HE43" i="2"/>
  <c r="HO43" i="2"/>
  <c r="HP43" i="2"/>
  <c r="HQ43" i="2"/>
  <c r="IA43" i="2"/>
  <c r="ID43" i="2" s="1"/>
  <c r="IB43" i="2"/>
  <c r="IC43" i="2"/>
  <c r="G44" i="2"/>
  <c r="H44" i="2"/>
  <c r="I44" i="2"/>
  <c r="S44" i="2"/>
  <c r="T44" i="2"/>
  <c r="U44" i="2"/>
  <c r="AE44" i="2"/>
  <c r="AF44" i="2"/>
  <c r="AG44" i="2"/>
  <c r="AQ44" i="2"/>
  <c r="AR44" i="2"/>
  <c r="AS44" i="2"/>
  <c r="BC44" i="2"/>
  <c r="BD44" i="2"/>
  <c r="BE44" i="2"/>
  <c r="BO44" i="2"/>
  <c r="BP44" i="2"/>
  <c r="BQ44" i="2"/>
  <c r="CM44" i="2"/>
  <c r="CN44" i="2"/>
  <c r="CO44" i="2"/>
  <c r="CP44" i="2" s="1"/>
  <c r="CY44" i="2"/>
  <c r="CZ44" i="2"/>
  <c r="DA44" i="2"/>
  <c r="DK44" i="2"/>
  <c r="DL44" i="2"/>
  <c r="DM44" i="2"/>
  <c r="DW44" i="2"/>
  <c r="DX44" i="2"/>
  <c r="DY44" i="2"/>
  <c r="EI44" i="2"/>
  <c r="EJ44" i="2"/>
  <c r="EK44" i="2"/>
  <c r="EL44" i="2"/>
  <c r="EU44" i="2"/>
  <c r="EV44" i="2"/>
  <c r="EW44" i="2"/>
  <c r="FG44" i="2"/>
  <c r="FH44" i="2"/>
  <c r="FI44" i="2"/>
  <c r="FS44" i="2"/>
  <c r="FT44" i="2"/>
  <c r="FU44" i="2"/>
  <c r="GE44" i="2"/>
  <c r="GF44" i="2"/>
  <c r="GG44" i="2"/>
  <c r="GH44" i="2" s="1"/>
  <c r="GQ44" i="2"/>
  <c r="GR44" i="2"/>
  <c r="GS44" i="2"/>
  <c r="HO44" i="2"/>
  <c r="HP44" i="2"/>
  <c r="HQ44" i="2"/>
  <c r="IA44" i="2"/>
  <c r="IB44" i="2"/>
  <c r="IC44" i="2"/>
  <c r="G45" i="2"/>
  <c r="H45" i="2"/>
  <c r="I45" i="2"/>
  <c r="S45" i="2"/>
  <c r="T45" i="2"/>
  <c r="U45" i="2"/>
  <c r="AE45" i="2"/>
  <c r="AF45" i="2"/>
  <c r="AG45" i="2"/>
  <c r="AQ45" i="2"/>
  <c r="AR45" i="2"/>
  <c r="AS45" i="2"/>
  <c r="BO45" i="2"/>
  <c r="BP45" i="2"/>
  <c r="BQ45" i="2"/>
  <c r="BR45" i="2" s="1"/>
  <c r="CA45" i="2"/>
  <c r="CB45" i="2"/>
  <c r="CC45" i="2"/>
  <c r="CM45" i="2"/>
  <c r="CN45" i="2"/>
  <c r="CO45" i="2"/>
  <c r="CP45" i="2" s="1"/>
  <c r="CY45" i="2"/>
  <c r="CZ45" i="2"/>
  <c r="DA45" i="2"/>
  <c r="DK45" i="2"/>
  <c r="DL45" i="2"/>
  <c r="DM45" i="2"/>
  <c r="DW45" i="2"/>
  <c r="DX45" i="2"/>
  <c r="DY45" i="2"/>
  <c r="EI45" i="2"/>
  <c r="EJ45" i="2"/>
  <c r="EK45" i="2"/>
  <c r="GE45" i="2"/>
  <c r="GF45" i="2"/>
  <c r="GG45" i="2"/>
  <c r="GQ45" i="2"/>
  <c r="GR45" i="2"/>
  <c r="GS45" i="2"/>
  <c r="HC45" i="2"/>
  <c r="HD45" i="2"/>
  <c r="HE45" i="2"/>
  <c r="HO45" i="2"/>
  <c r="HP45" i="2"/>
  <c r="HQ45" i="2"/>
  <c r="HR45" i="2" s="1"/>
  <c r="IA45" i="2"/>
  <c r="IB45" i="2"/>
  <c r="IC45" i="2"/>
  <c r="BC46" i="2"/>
  <c r="BD46" i="2"/>
  <c r="BE46" i="2"/>
  <c r="BF46" i="2" s="1"/>
  <c r="CA46" i="2"/>
  <c r="CB46" i="2"/>
  <c r="CC46" i="2"/>
  <c r="EU46" i="2"/>
  <c r="EV46" i="2"/>
  <c r="EW46" i="2"/>
  <c r="EX46" i="2"/>
  <c r="FG46" i="2"/>
  <c r="FH46" i="2"/>
  <c r="FI46" i="2"/>
  <c r="FS46" i="2"/>
  <c r="FT46" i="2"/>
  <c r="FU46" i="2"/>
  <c r="HC46" i="2"/>
  <c r="HD46" i="2"/>
  <c r="HE46" i="2"/>
  <c r="G47" i="2"/>
  <c r="J47" i="2" s="1"/>
  <c r="H47" i="2"/>
  <c r="I47" i="2"/>
  <c r="S47" i="2"/>
  <c r="T47" i="2"/>
  <c r="U47" i="2"/>
  <c r="AE47" i="2"/>
  <c r="AH47" i="2" s="1"/>
  <c r="AF47" i="2"/>
  <c r="AG47" i="2"/>
  <c r="AQ47" i="2"/>
  <c r="AR47" i="2"/>
  <c r="AS47" i="2"/>
  <c r="BC47" i="2"/>
  <c r="BD47" i="2"/>
  <c r="BE47" i="2"/>
  <c r="BO47" i="2"/>
  <c r="BP47" i="2"/>
  <c r="BQ47" i="2"/>
  <c r="CA47" i="2"/>
  <c r="CD47" i="2" s="1"/>
  <c r="CB47" i="2"/>
  <c r="CC47" i="2"/>
  <c r="CM47" i="2"/>
  <c r="CP47" i="2" s="1"/>
  <c r="CN47" i="2"/>
  <c r="CO47" i="2"/>
  <c r="CY47" i="2"/>
  <c r="CZ47" i="2"/>
  <c r="DA47" i="2"/>
  <c r="DK47" i="2"/>
  <c r="DL47" i="2"/>
  <c r="DM47" i="2"/>
  <c r="DW47" i="2"/>
  <c r="DZ47" i="2" s="1"/>
  <c r="DX47" i="2"/>
  <c r="DY47" i="2"/>
  <c r="EI47" i="2"/>
  <c r="EJ47" i="2"/>
  <c r="EK47" i="2"/>
  <c r="EU47" i="2"/>
  <c r="EX47" i="2" s="1"/>
  <c r="EV47" i="2"/>
  <c r="EW47" i="2"/>
  <c r="FG47" i="2"/>
  <c r="FH47" i="2"/>
  <c r="FI47" i="2"/>
  <c r="FS47" i="2"/>
  <c r="FT47" i="2"/>
  <c r="FU47" i="2"/>
  <c r="GE47" i="2"/>
  <c r="GF47" i="2"/>
  <c r="GG47" i="2"/>
  <c r="GQ47" i="2"/>
  <c r="GR47" i="2"/>
  <c r="GS47" i="2"/>
  <c r="HC47" i="2"/>
  <c r="HD47" i="2"/>
  <c r="HE47" i="2"/>
  <c r="HO47" i="2"/>
  <c r="HP47" i="2"/>
  <c r="HQ47" i="2"/>
  <c r="IA47" i="2"/>
  <c r="IB47" i="2"/>
  <c r="IC47" i="2"/>
  <c r="G48" i="2"/>
  <c r="J48" i="2" s="1"/>
  <c r="H48" i="2"/>
  <c r="I48" i="2"/>
  <c r="S48" i="2"/>
  <c r="T48" i="2"/>
  <c r="U48" i="2"/>
  <c r="AE48" i="2"/>
  <c r="AF48" i="2"/>
  <c r="AG48" i="2"/>
  <c r="AQ48" i="2"/>
  <c r="AR48" i="2"/>
  <c r="AS48" i="2"/>
  <c r="BC48" i="2"/>
  <c r="BD48" i="2"/>
  <c r="BE48" i="2"/>
  <c r="BO48" i="2"/>
  <c r="BP48" i="2"/>
  <c r="BQ48" i="2"/>
  <c r="BR48" i="2" s="1"/>
  <c r="CA48" i="2"/>
  <c r="CB48" i="2"/>
  <c r="CC48" i="2"/>
  <c r="CM48" i="2"/>
  <c r="CN48" i="2"/>
  <c r="CO48" i="2"/>
  <c r="CY48" i="2"/>
  <c r="CZ48" i="2"/>
  <c r="DA48" i="2"/>
  <c r="DB48" i="2" s="1"/>
  <c r="DK48" i="2"/>
  <c r="DL48" i="2"/>
  <c r="DM48" i="2"/>
  <c r="DW48" i="2"/>
  <c r="DX48" i="2"/>
  <c r="DY48" i="2"/>
  <c r="EI48" i="2"/>
  <c r="EJ48" i="2"/>
  <c r="EK48" i="2"/>
  <c r="EU48" i="2"/>
  <c r="EV48" i="2"/>
  <c r="EW48" i="2"/>
  <c r="FG48" i="2"/>
  <c r="FH48" i="2"/>
  <c r="FI48" i="2"/>
  <c r="FS48" i="2"/>
  <c r="FT48" i="2"/>
  <c r="FU48" i="2"/>
  <c r="GE48" i="2"/>
  <c r="GF48" i="2"/>
  <c r="GG48" i="2"/>
  <c r="GQ48" i="2"/>
  <c r="GR48" i="2"/>
  <c r="GS48" i="2"/>
  <c r="HC48" i="2"/>
  <c r="HD48" i="2"/>
  <c r="HE48" i="2"/>
  <c r="HO48" i="2"/>
  <c r="HP48" i="2"/>
  <c r="HQ48" i="2"/>
  <c r="IA48" i="2"/>
  <c r="IB48" i="2"/>
  <c r="IC48" i="2"/>
  <c r="G49" i="2"/>
  <c r="H49" i="2"/>
  <c r="I49" i="2"/>
  <c r="J49" i="2"/>
  <c r="S49" i="2"/>
  <c r="T49" i="2"/>
  <c r="U49" i="2"/>
  <c r="AE49" i="2"/>
  <c r="AF49" i="2"/>
  <c r="AG49" i="2"/>
  <c r="AQ49" i="2"/>
  <c r="AR49" i="2"/>
  <c r="AS49" i="2"/>
  <c r="BC49" i="2"/>
  <c r="BD49" i="2"/>
  <c r="BE49" i="2"/>
  <c r="BO49" i="2"/>
  <c r="BP49" i="2"/>
  <c r="BQ49" i="2"/>
  <c r="BR49" i="2" s="1"/>
  <c r="CA49" i="2"/>
  <c r="CB49" i="2"/>
  <c r="CC49" i="2"/>
  <c r="CM49" i="2"/>
  <c r="CN49" i="2"/>
  <c r="CO49" i="2"/>
  <c r="CY49" i="2"/>
  <c r="CZ49" i="2"/>
  <c r="DA49" i="2"/>
  <c r="DK49" i="2"/>
  <c r="DL49" i="2"/>
  <c r="DM49" i="2"/>
  <c r="DW49" i="2"/>
  <c r="DX49" i="2"/>
  <c r="DY49" i="2"/>
  <c r="EI49" i="2"/>
  <c r="EJ49" i="2"/>
  <c r="EK49" i="2"/>
  <c r="EU49" i="2"/>
  <c r="EX49" i="2" s="1"/>
  <c r="EV49" i="2"/>
  <c r="EW49" i="2"/>
  <c r="FG49" i="2"/>
  <c r="FH49" i="2"/>
  <c r="FI49" i="2"/>
  <c r="FS49" i="2"/>
  <c r="FT49" i="2"/>
  <c r="FU49" i="2"/>
  <c r="GE49" i="2"/>
  <c r="GC53" i="2" s="1"/>
  <c r="GF49" i="2"/>
  <c r="GG49" i="2"/>
  <c r="GQ49" i="2"/>
  <c r="GR49" i="2"/>
  <c r="GS49" i="2"/>
  <c r="HC49" i="2"/>
  <c r="HD49" i="2"/>
  <c r="HE49" i="2"/>
  <c r="HO49" i="2"/>
  <c r="HR49" i="2" s="1"/>
  <c r="HP49" i="2"/>
  <c r="HQ49" i="2"/>
  <c r="IA49" i="2"/>
  <c r="IB49" i="2"/>
  <c r="IC49" i="2"/>
  <c r="B52" i="2"/>
  <c r="N52" i="2"/>
  <c r="Z52" i="2"/>
  <c r="AL52" i="2"/>
  <c r="AX52" i="2"/>
  <c r="BJ52" i="2"/>
  <c r="BV52" i="2"/>
  <c r="CH52" i="2"/>
  <c r="CT52" i="2"/>
  <c r="DF52" i="2"/>
  <c r="DR52" i="2"/>
  <c r="ED52" i="2"/>
  <c r="EP52" i="2"/>
  <c r="FB52" i="2"/>
  <c r="FN52" i="2"/>
  <c r="FZ52" i="2"/>
  <c r="GL52" i="2"/>
  <c r="GX52" i="2"/>
  <c r="HJ52" i="2"/>
  <c r="HV52" i="2"/>
  <c r="FO34" i="2"/>
  <c r="FO5" i="2"/>
  <c r="EE11" i="2"/>
  <c r="AY43" i="2"/>
  <c r="O18" i="2"/>
  <c r="DS5" i="2"/>
  <c r="GY9" i="2"/>
  <c r="EE8" i="2"/>
  <c r="DG11" i="2"/>
  <c r="FC5" i="2"/>
  <c r="HW24" i="2"/>
  <c r="BW49" i="2"/>
  <c r="O31" i="2"/>
  <c r="O33" i="2"/>
  <c r="AM33" i="2"/>
  <c r="AY25" i="2"/>
  <c r="CI43" i="2"/>
  <c r="O21" i="2"/>
  <c r="AA12" i="2"/>
  <c r="HK34" i="2"/>
  <c r="DG47" i="2"/>
  <c r="HK47" i="2"/>
  <c r="CI13" i="2"/>
  <c r="HW43" i="2"/>
  <c r="GM34" i="2"/>
  <c r="EE33" i="2"/>
  <c r="CU4" i="2"/>
  <c r="CU48" i="2"/>
  <c r="GY26" i="2"/>
  <c r="DG29" i="2"/>
  <c r="AA9" i="2"/>
  <c r="DG39" i="2"/>
  <c r="O25" i="2"/>
  <c r="AY28" i="2"/>
  <c r="O5" i="2"/>
  <c r="EE42" i="2"/>
  <c r="DS25" i="2"/>
  <c r="FO31" i="2"/>
  <c r="BK20" i="2"/>
  <c r="DS13" i="2"/>
  <c r="HK41" i="2"/>
  <c r="AM17" i="2"/>
  <c r="HW17" i="2"/>
  <c r="C22" i="2"/>
  <c r="AY37" i="2"/>
  <c r="AM27" i="2"/>
  <c r="GA20" i="2"/>
  <c r="CU16" i="2"/>
  <c r="AM31" i="2"/>
  <c r="BW11" i="2"/>
  <c r="GM18" i="2"/>
  <c r="HK5" i="2"/>
  <c r="EE6" i="2"/>
  <c r="CI49" i="2"/>
  <c r="DS17" i="2"/>
  <c r="FO32" i="2"/>
  <c r="DG33" i="2"/>
  <c r="FO24" i="2"/>
  <c r="EQ24" i="2"/>
  <c r="AA29" i="2"/>
  <c r="FC43" i="2"/>
  <c r="C7" i="2"/>
  <c r="AY24" i="2"/>
  <c r="HK21" i="2"/>
  <c r="GA29" i="2"/>
  <c r="FC20" i="2"/>
  <c r="O17" i="2"/>
  <c r="BW8" i="2"/>
  <c r="DS4" i="2"/>
  <c r="AY18" i="2"/>
  <c r="AY44" i="2"/>
  <c r="AM49" i="2"/>
  <c r="O42" i="2"/>
  <c r="GM8" i="2"/>
  <c r="CI5" i="2"/>
  <c r="CU22" i="2"/>
  <c r="FC34" i="2"/>
  <c r="DS16" i="2"/>
  <c r="BW32" i="2"/>
  <c r="BK23" i="2"/>
  <c r="GY21" i="2"/>
  <c r="EQ22" i="2"/>
  <c r="AA16" i="2"/>
  <c r="AY38" i="2"/>
  <c r="HK4" i="2"/>
  <c r="GY4" i="2"/>
  <c r="GA4" i="2"/>
  <c r="CI3" i="2"/>
  <c r="AM8" i="2"/>
  <c r="GM21" i="2"/>
  <c r="GY24" i="2"/>
  <c r="HK43" i="2"/>
  <c r="AA13" i="2"/>
  <c r="DS44" i="2"/>
  <c r="HK32" i="2"/>
  <c r="GA33" i="2"/>
  <c r="DS14" i="2"/>
  <c r="DG9" i="2"/>
  <c r="AY10" i="2"/>
  <c r="CU3" i="2"/>
  <c r="O47" i="2"/>
  <c r="GA48" i="2"/>
  <c r="HK22" i="2"/>
  <c r="HK25" i="2"/>
  <c r="C26" i="2"/>
  <c r="BW26" i="2"/>
  <c r="HK31" i="2"/>
  <c r="FC36" i="2"/>
  <c r="GY12" i="2"/>
  <c r="BK39" i="2"/>
  <c r="CU38" i="2"/>
  <c r="AM13" i="2"/>
  <c r="C20" i="2"/>
  <c r="O24" i="2"/>
  <c r="DG34" i="2"/>
  <c r="FC16" i="2"/>
  <c r="BK3" i="2"/>
  <c r="FC23" i="2"/>
  <c r="HW40" i="2"/>
  <c r="GM38" i="2"/>
  <c r="CU17" i="2"/>
  <c r="FC3" i="2"/>
  <c r="GA43" i="2"/>
  <c r="EE45" i="2"/>
  <c r="C45" i="2"/>
  <c r="EE23" i="2"/>
  <c r="BK29" i="2"/>
  <c r="EE18" i="2"/>
  <c r="FO48" i="2"/>
  <c r="AM12" i="2"/>
  <c r="BK48" i="2"/>
  <c r="EE37" i="2"/>
  <c r="CU36" i="2"/>
  <c r="CI36" i="2"/>
  <c r="GY35" i="2"/>
  <c r="O29" i="2"/>
  <c r="FO25" i="2"/>
  <c r="AM4" i="2"/>
  <c r="AA43" i="2"/>
  <c r="GY49" i="2"/>
  <c r="BW18" i="2"/>
  <c r="C25" i="2"/>
  <c r="DS42" i="2"/>
  <c r="HK27" i="2"/>
  <c r="GM13" i="2"/>
  <c r="HW48" i="2"/>
  <c r="DS33" i="2"/>
  <c r="CI10" i="2"/>
  <c r="AA21" i="2"/>
  <c r="CU9" i="2"/>
  <c r="BW16" i="2"/>
  <c r="GY45" i="2"/>
  <c r="HW26" i="2"/>
  <c r="GA38" i="2"/>
  <c r="GY5" i="2"/>
  <c r="BK49" i="2"/>
  <c r="HW21" i="2"/>
  <c r="BK28" i="2"/>
  <c r="AA5" i="2"/>
  <c r="CI34" i="2"/>
  <c r="BK42" i="2"/>
  <c r="CI41" i="2"/>
  <c r="O16" i="2"/>
  <c r="CU34" i="2"/>
  <c r="FO46" i="2"/>
  <c r="EQ41" i="2"/>
  <c r="HK9" i="2"/>
  <c r="DS32" i="2"/>
  <c r="BK22" i="2"/>
  <c r="HW23" i="2"/>
  <c r="HW25" i="2"/>
  <c r="HK28" i="2"/>
  <c r="GY22" i="2"/>
  <c r="DG43" i="2"/>
  <c r="FC32" i="2"/>
  <c r="GM5" i="2"/>
  <c r="CI33" i="2"/>
  <c r="GM16" i="2"/>
  <c r="BK8" i="2"/>
  <c r="CI44" i="2"/>
  <c r="DS40" i="2"/>
  <c r="FO12" i="2"/>
  <c r="DS12" i="2"/>
  <c r="HK12" i="2"/>
  <c r="GY41" i="2"/>
  <c r="BK24" i="2"/>
  <c r="EE17" i="2"/>
  <c r="BW29" i="2"/>
  <c r="FO10" i="2"/>
  <c r="GY29" i="2"/>
  <c r="EQ9" i="2"/>
  <c r="AM28" i="2"/>
  <c r="AM32" i="2"/>
  <c r="BK32" i="2"/>
  <c r="HK24" i="2"/>
  <c r="FO28" i="2"/>
  <c r="EQ36" i="2"/>
  <c r="GY13" i="2"/>
  <c r="AA44" i="2"/>
  <c r="GY42" i="2"/>
  <c r="C3" i="2"/>
  <c r="HK14" i="2"/>
  <c r="FC49" i="2"/>
  <c r="EQ7" i="2"/>
  <c r="GM45" i="2"/>
  <c r="CI40" i="2"/>
  <c r="FO8" i="2"/>
  <c r="CU24" i="2"/>
  <c r="HW20" i="2"/>
  <c r="FC4" i="2"/>
  <c r="GM40" i="2"/>
  <c r="DS37" i="2"/>
  <c r="EQ17" i="2"/>
  <c r="DS18" i="2"/>
  <c r="HW14" i="2"/>
  <c r="BW20" i="2"/>
  <c r="CU25" i="2"/>
  <c r="BK47" i="2"/>
  <c r="HW3" i="2"/>
  <c r="EE7" i="2"/>
  <c r="GA12" i="2"/>
  <c r="EQ34" i="2"/>
  <c r="GM41" i="2"/>
  <c r="C32" i="2"/>
  <c r="DS22" i="2"/>
  <c r="FO4" i="2"/>
  <c r="GM17" i="2"/>
  <c r="FC22" i="2"/>
  <c r="EQ10" i="2"/>
  <c r="CU20" i="2"/>
  <c r="AA14" i="2"/>
  <c r="AY8" i="2"/>
  <c r="C12" i="2"/>
  <c r="AY3" i="2"/>
  <c r="AA40" i="2"/>
  <c r="C23" i="2"/>
  <c r="O49" i="2"/>
  <c r="BW35" i="2"/>
  <c r="AY47" i="2"/>
  <c r="GA9" i="2"/>
  <c r="HK45" i="2"/>
  <c r="GM10" i="2"/>
  <c r="AY49" i="2"/>
  <c r="C40" i="2"/>
  <c r="AM7" i="2"/>
  <c r="AA35" i="2"/>
  <c r="HK10" i="2"/>
  <c r="DS28" i="2"/>
  <c r="HW37" i="2"/>
  <c r="AM37" i="2"/>
  <c r="EQ8" i="2"/>
  <c r="O36" i="2"/>
  <c r="CU31" i="2"/>
  <c r="C42" i="2"/>
  <c r="GA14" i="2"/>
  <c r="EE16" i="2"/>
  <c r="GM23" i="2"/>
  <c r="HK33" i="2"/>
  <c r="BW12" i="2"/>
  <c r="O39" i="2"/>
  <c r="GY25" i="2"/>
  <c r="C14" i="2"/>
  <c r="BW33" i="2"/>
  <c r="BW13" i="2"/>
  <c r="DG23" i="2"/>
  <c r="GM31" i="2"/>
  <c r="EQ40" i="2"/>
  <c r="EE13" i="2"/>
  <c r="CU29" i="2"/>
  <c r="DG12" i="2"/>
  <c r="AM11" i="2"/>
  <c r="GY8" i="2"/>
  <c r="HK18" i="2"/>
  <c r="HW10" i="2"/>
  <c r="AA18" i="2"/>
  <c r="GA3" i="2"/>
  <c r="AM36" i="2"/>
  <c r="GA37" i="2"/>
  <c r="HK17" i="2"/>
  <c r="CI14" i="2"/>
  <c r="BW22" i="2"/>
  <c r="GA7" i="2"/>
  <c r="GY31" i="2"/>
  <c r="C17" i="2"/>
  <c r="FO37" i="2"/>
  <c r="EQ38" i="2"/>
  <c r="BW40" i="2"/>
  <c r="GY17" i="2"/>
  <c r="DG14" i="2"/>
  <c r="O41" i="2"/>
  <c r="AM43" i="2"/>
  <c r="GM44" i="2"/>
  <c r="GM26" i="2"/>
  <c r="CU32" i="2"/>
  <c r="AY17" i="2"/>
  <c r="BK34" i="2"/>
  <c r="FC8" i="2"/>
  <c r="GA21" i="2"/>
  <c r="EE49" i="2"/>
  <c r="CI21" i="2"/>
  <c r="GA8" i="2"/>
  <c r="AA49" i="2"/>
  <c r="AY4" i="2"/>
  <c r="FO20" i="2"/>
  <c r="EQ5" i="2"/>
  <c r="HW31" i="2"/>
  <c r="GM49" i="2"/>
  <c r="AY29" i="2"/>
  <c r="DS24" i="2"/>
  <c r="FO21" i="2"/>
  <c r="AM20" i="2"/>
  <c r="AY46" i="2"/>
  <c r="O7" i="2"/>
  <c r="HW34" i="2"/>
  <c r="FO43" i="2"/>
  <c r="BW21" i="2"/>
  <c r="O34" i="2"/>
  <c r="HW9" i="2"/>
  <c r="HK13" i="2"/>
  <c r="GA28" i="2"/>
  <c r="BK41" i="2"/>
  <c r="HW47" i="2"/>
  <c r="CI7" i="2"/>
  <c r="C36" i="2"/>
  <c r="EQ32" i="2"/>
  <c r="DG4" i="2"/>
  <c r="EQ20" i="2"/>
  <c r="HW45" i="2"/>
  <c r="GY18" i="2"/>
  <c r="AY36" i="2"/>
  <c r="GA34" i="2"/>
  <c r="CI45" i="2"/>
  <c r="FO16" i="2"/>
  <c r="FC28" i="2"/>
  <c r="FO23" i="2"/>
  <c r="O28" i="2"/>
  <c r="EQ13" i="2"/>
  <c r="BK36" i="2"/>
  <c r="AY42" i="2"/>
  <c r="CI31" i="2"/>
  <c r="HK48" i="2"/>
  <c r="HW42" i="2"/>
  <c r="CU45" i="2"/>
  <c r="FO33" i="2"/>
  <c r="GM37" i="2"/>
  <c r="DG7" i="2"/>
  <c r="C24" i="2"/>
  <c r="DG38" i="2"/>
  <c r="AY14" i="2"/>
  <c r="EE4" i="2"/>
  <c r="O26" i="2"/>
  <c r="CI38" i="2"/>
  <c r="DG42" i="2"/>
  <c r="C49" i="2"/>
  <c r="DG49" i="2"/>
  <c r="AM42" i="2"/>
  <c r="CU12" i="2"/>
  <c r="EE25" i="2"/>
  <c r="AA48" i="2"/>
  <c r="O14" i="2"/>
  <c r="O8" i="2"/>
  <c r="AA36" i="2"/>
  <c r="AM48" i="2"/>
  <c r="GM48" i="2"/>
  <c r="HW38" i="2"/>
  <c r="AA31" i="2"/>
  <c r="EE41" i="2"/>
  <c r="FC7" i="2"/>
  <c r="CI22" i="2"/>
  <c r="EQ27" i="2"/>
  <c r="DS34" i="2"/>
  <c r="BK45" i="2"/>
  <c r="AA47" i="2"/>
  <c r="GM47" i="2"/>
  <c r="DG26" i="2"/>
  <c r="CI8" i="2"/>
  <c r="FO9" i="2"/>
  <c r="CU10" i="2"/>
  <c r="EQ31" i="2"/>
  <c r="AM39" i="2"/>
  <c r="DG22" i="2"/>
  <c r="HW22" i="2"/>
  <c r="AY32" i="2"/>
  <c r="AA32" i="2"/>
  <c r="BK21" i="2"/>
  <c r="GM42" i="2"/>
  <c r="O37" i="2"/>
  <c r="AM5" i="2"/>
  <c r="DG36" i="2"/>
  <c r="GM43" i="2"/>
  <c r="BW4" i="2"/>
  <c r="CI17" i="2"/>
  <c r="FC18" i="2"/>
  <c r="AM3" i="2"/>
  <c r="FC25" i="2"/>
  <c r="C44" i="2"/>
  <c r="EE43" i="2"/>
  <c r="AY9" i="2"/>
  <c r="GY14" i="2"/>
  <c r="GY10" i="2"/>
  <c r="AM22" i="2"/>
  <c r="AM47" i="2"/>
  <c r="GM25" i="2"/>
  <c r="DS8" i="2"/>
  <c r="DS41" i="2"/>
  <c r="CU13" i="2"/>
  <c r="BW31" i="2"/>
  <c r="BW41" i="2"/>
  <c r="GY36" i="2"/>
  <c r="HK3" i="2"/>
  <c r="FO47" i="2"/>
  <c r="GM24" i="2"/>
  <c r="DS43" i="2"/>
  <c r="BK13" i="2"/>
  <c r="DS9" i="2"/>
  <c r="C10" i="2"/>
  <c r="BK17" i="2"/>
  <c r="AY21" i="2"/>
  <c r="C8" i="2"/>
  <c r="DS49" i="2"/>
  <c r="GA23" i="2"/>
  <c r="DG21" i="2"/>
  <c r="AY31" i="2"/>
  <c r="EE28" i="2"/>
  <c r="CI28" i="2"/>
  <c r="AM24" i="2"/>
  <c r="HK49" i="2"/>
  <c r="C37" i="2"/>
  <c r="HW16" i="2"/>
  <c r="C9" i="2"/>
  <c r="FO49" i="2"/>
  <c r="HK23" i="2"/>
  <c r="C28" i="2"/>
  <c r="FO14" i="2"/>
  <c r="EE35" i="2"/>
  <c r="CU37" i="2"/>
  <c r="GY38" i="2"/>
  <c r="O22" i="2"/>
  <c r="AY48" i="2"/>
  <c r="O23" i="2"/>
  <c r="CU21" i="2"/>
  <c r="AM21" i="2"/>
  <c r="CI23" i="2"/>
  <c r="BK38" i="2"/>
  <c r="FO13" i="2"/>
  <c r="HW44" i="2"/>
  <c r="C43" i="2"/>
  <c r="AM18" i="2"/>
  <c r="GM29" i="2"/>
  <c r="O3" i="2"/>
  <c r="BW37" i="2"/>
  <c r="AM9" i="2"/>
  <c r="FO36" i="2"/>
  <c r="GA25" i="2"/>
  <c r="GM33" i="2"/>
  <c r="CI26" i="2"/>
  <c r="DG41" i="2"/>
  <c r="CU42" i="2"/>
  <c r="EQ47" i="2"/>
  <c r="FO42" i="2"/>
  <c r="O13" i="2"/>
  <c r="BK25" i="2"/>
  <c r="GA24" i="2"/>
  <c r="FC9" i="2"/>
  <c r="EQ44" i="2"/>
  <c r="GY33" i="2"/>
  <c r="O48" i="2"/>
  <c r="HW13" i="2"/>
  <c r="FC41" i="2"/>
  <c r="BW36" i="2"/>
  <c r="BW5" i="2"/>
  <c r="EQ16" i="2"/>
  <c r="EE20" i="2"/>
  <c r="GA31" i="2"/>
  <c r="EE24" i="2"/>
  <c r="C4" i="2"/>
  <c r="CU28" i="2"/>
  <c r="GY23" i="2"/>
  <c r="C5" i="2"/>
  <c r="EQ48" i="2"/>
  <c r="DG25" i="2"/>
  <c r="AM14" i="2"/>
  <c r="FC48" i="2"/>
  <c r="BK4" i="2"/>
  <c r="O4" i="2"/>
  <c r="AY40" i="2"/>
  <c r="GA13" i="2"/>
  <c r="GA32" i="2"/>
  <c r="DG48" i="2"/>
  <c r="CI16" i="2"/>
  <c r="EQ49" i="2"/>
  <c r="EE27" i="2"/>
  <c r="AM41" i="2"/>
  <c r="GA47" i="2"/>
  <c r="AA27" i="2"/>
  <c r="BK6" i="2"/>
  <c r="CI42" i="2"/>
  <c r="DS23" i="2"/>
  <c r="FC21" i="2"/>
  <c r="EE21" i="2"/>
  <c r="FO17" i="2"/>
  <c r="EQ30" i="2"/>
  <c r="BW3" i="2"/>
  <c r="EE47" i="2"/>
  <c r="DG28" i="2"/>
  <c r="FC14" i="2"/>
  <c r="AA23" i="2"/>
  <c r="EE3" i="2"/>
  <c r="FC12" i="2"/>
  <c r="FC17" i="2"/>
  <c r="DS21" i="2"/>
  <c r="BK33" i="2"/>
  <c r="GM12" i="2"/>
  <c r="AA22" i="2"/>
  <c r="BK16" i="2"/>
  <c r="FO3" i="2"/>
  <c r="GM9" i="2"/>
  <c r="BK11" i="2"/>
  <c r="AA3" i="2"/>
  <c r="FO29" i="2"/>
  <c r="GY48" i="2"/>
  <c r="FC33" i="2"/>
  <c r="CI25" i="2"/>
  <c r="HK36" i="2"/>
  <c r="EQ4" i="2"/>
  <c r="BK9" i="2"/>
  <c r="DG32" i="2"/>
  <c r="FO18" i="2"/>
  <c r="GY16" i="2"/>
  <c r="BK7" i="2"/>
  <c r="GA39" i="2"/>
  <c r="FC13" i="2"/>
  <c r="GY20" i="2"/>
  <c r="BW23" i="2"/>
  <c r="AA10" i="2"/>
  <c r="C33" i="2"/>
  <c r="GA11" i="2"/>
  <c r="CU33" i="2"/>
  <c r="FC42" i="2"/>
  <c r="C34" i="2"/>
  <c r="AM23" i="2"/>
  <c r="EE48" i="2"/>
  <c r="DG5" i="2"/>
  <c r="AY13" i="2"/>
  <c r="C29" i="2"/>
  <c r="AA30" i="2"/>
  <c r="HW5" i="2"/>
  <c r="DG13" i="2"/>
  <c r="HW12" i="2"/>
  <c r="FO38" i="2"/>
  <c r="DG18" i="2"/>
  <c r="FC44" i="2"/>
  <c r="BK26" i="2"/>
  <c r="AA38" i="2"/>
  <c r="EE22" i="2"/>
  <c r="FO22" i="2"/>
  <c r="AM25" i="2"/>
  <c r="HW4" i="2"/>
  <c r="GY43" i="2"/>
  <c r="AA17" i="2"/>
  <c r="HW8" i="2"/>
  <c r="BW46" i="2"/>
  <c r="AA7" i="2"/>
  <c r="HW18" i="2"/>
  <c r="CU49" i="2"/>
  <c r="C41" i="2"/>
  <c r="FO40" i="2"/>
  <c r="O9" i="2"/>
  <c r="O10" i="2"/>
  <c r="C21" i="2"/>
  <c r="GA44" i="2"/>
  <c r="BK18" i="2"/>
  <c r="BW9" i="2"/>
  <c r="FC26" i="2"/>
  <c r="BW24" i="2"/>
  <c r="CU5" i="2"/>
  <c r="HW32" i="2"/>
  <c r="FC37" i="2"/>
  <c r="EQ42" i="2"/>
  <c r="CU40" i="2"/>
  <c r="GY32" i="2"/>
  <c r="FC31" i="2"/>
  <c r="GY3" i="2"/>
  <c r="CI24" i="2"/>
  <c r="CI4" i="2"/>
  <c r="CI47" i="2"/>
  <c r="HW7" i="2"/>
  <c r="EQ14" i="2"/>
  <c r="DS20" i="2"/>
  <c r="BW43" i="2"/>
  <c r="AM44" i="2"/>
  <c r="EQ43" i="2"/>
  <c r="GM20" i="2"/>
  <c r="HW33" i="2"/>
  <c r="EQ33" i="2"/>
  <c r="C48" i="2"/>
  <c r="GM14" i="2"/>
  <c r="CU47" i="2"/>
  <c r="GA17" i="2"/>
  <c r="FC24" i="2"/>
  <c r="AA41" i="2"/>
  <c r="EE9" i="2"/>
  <c r="EE31" i="2"/>
  <c r="HW30" i="2"/>
  <c r="DS48" i="2"/>
  <c r="AY23" i="2"/>
  <c r="C13" i="2"/>
  <c r="GY46" i="2"/>
  <c r="DG31" i="2"/>
  <c r="DG3" i="2"/>
  <c r="CI9" i="2"/>
  <c r="AM16" i="2"/>
  <c r="GM28" i="2"/>
  <c r="DS29" i="2"/>
  <c r="AA42" i="2"/>
  <c r="EE36" i="2"/>
  <c r="HK20" i="2"/>
  <c r="EE12" i="2"/>
  <c r="GM36" i="2"/>
  <c r="BK12" i="2"/>
  <c r="GA41" i="2"/>
  <c r="DG20" i="2"/>
  <c r="AA45" i="2"/>
  <c r="C38" i="2"/>
  <c r="CI20" i="2"/>
  <c r="EE44" i="2"/>
  <c r="C47" i="2"/>
  <c r="DG17" i="2"/>
  <c r="HW28" i="2"/>
  <c r="HW36" i="2"/>
  <c r="EE30" i="2"/>
  <c r="GY47" i="2"/>
  <c r="CU14" i="2"/>
  <c r="EQ18" i="2"/>
  <c r="AA8" i="2"/>
  <c r="AY27" i="2"/>
  <c r="DG8" i="2"/>
  <c r="EQ46" i="2"/>
  <c r="HK30" i="2"/>
  <c r="DS27" i="2"/>
  <c r="FC30" i="2"/>
  <c r="HK8" i="2"/>
  <c r="O38" i="2"/>
  <c r="GY37" i="2"/>
  <c r="DS3" i="2"/>
  <c r="GM4" i="2"/>
  <c r="AY12" i="2"/>
  <c r="FO41" i="2"/>
  <c r="BK14" i="2"/>
  <c r="CI12" i="2"/>
  <c r="AY34" i="2"/>
  <c r="CU8" i="2"/>
  <c r="EE38" i="2"/>
  <c r="FC38" i="2"/>
  <c r="BW42" i="2"/>
  <c r="FC47" i="2"/>
  <c r="C16" i="2"/>
  <c r="AA25" i="2"/>
  <c r="DG37" i="2"/>
  <c r="GY40" i="2"/>
  <c r="DG24" i="2"/>
  <c r="FC40" i="2"/>
  <c r="BW45" i="2"/>
  <c r="FO7" i="2"/>
  <c r="GM32" i="2"/>
  <c r="O20" i="2"/>
  <c r="EQ12" i="2"/>
  <c r="EQ23" i="2"/>
  <c r="CU41" i="2"/>
  <c r="CU43" i="2"/>
  <c r="BK31" i="2"/>
  <c r="DS10" i="2"/>
  <c r="CI29" i="2"/>
  <c r="AY16" i="2"/>
  <c r="GM22" i="2"/>
  <c r="HK42" i="2"/>
  <c r="AY41" i="2"/>
  <c r="CU7" i="2"/>
  <c r="GA5" i="2"/>
  <c r="FC10" i="2"/>
  <c r="AM34" i="2"/>
  <c r="HK44" i="2"/>
  <c r="GA18" i="2"/>
  <c r="BW47" i="2"/>
  <c r="DG44" i="2"/>
  <c r="HK7" i="2"/>
  <c r="CU23" i="2"/>
  <c r="HW49" i="2"/>
  <c r="O44" i="2"/>
  <c r="CU18" i="2"/>
  <c r="HK38" i="2"/>
  <c r="BW7" i="2"/>
  <c r="GA16" i="2"/>
  <c r="BW28" i="2"/>
  <c r="AA24" i="2"/>
  <c r="BW39" i="2"/>
  <c r="O43" i="2"/>
  <c r="GY28" i="2"/>
  <c r="O45" i="2"/>
  <c r="HK16" i="2"/>
  <c r="AM45" i="2"/>
  <c r="AA33" i="2"/>
  <c r="FO44" i="2"/>
  <c r="O12" i="2"/>
  <c r="AM30" i="2"/>
  <c r="BW14" i="2"/>
  <c r="AY20" i="2"/>
  <c r="DS36" i="2"/>
  <c r="AY5" i="2"/>
  <c r="EQ37" i="2"/>
  <c r="GA22" i="2"/>
  <c r="CI18" i="2"/>
  <c r="O32" i="2"/>
  <c r="DS31" i="2"/>
  <c r="EE39" i="2"/>
  <c r="EQ21" i="2"/>
  <c r="BK37" i="2"/>
  <c r="AY33" i="2"/>
  <c r="DS38" i="2"/>
  <c r="BW48" i="2"/>
  <c r="HK37" i="2"/>
  <c r="GM3" i="2"/>
  <c r="CI37" i="2"/>
  <c r="EE32" i="2"/>
  <c r="CU26" i="2"/>
  <c r="HK39" i="2"/>
  <c r="GA42" i="2"/>
  <c r="DS7" i="2"/>
  <c r="CI48" i="2"/>
  <c r="FO27" i="2"/>
  <c r="BW17" i="2"/>
  <c r="EQ25" i="2"/>
  <c r="DS45" i="2"/>
  <c r="AY22" i="2"/>
  <c r="CI32" i="2"/>
  <c r="C31" i="2"/>
  <c r="GY7" i="2"/>
  <c r="HW41" i="2"/>
  <c r="EE14" i="2"/>
  <c r="AA20" i="2"/>
  <c r="GM7" i="2"/>
  <c r="AA37" i="2"/>
  <c r="GA45" i="2"/>
  <c r="DS47" i="2"/>
  <c r="BW25" i="2"/>
  <c r="C18" i="2"/>
  <c r="DG45" i="2"/>
  <c r="AY7" i="2"/>
  <c r="CU44" i="2"/>
  <c r="EQ3" i="2"/>
  <c r="GA49" i="2"/>
  <c r="FC46" i="2"/>
  <c r="AA4" i="2"/>
  <c r="EQ28" i="2"/>
  <c r="AM38" i="2"/>
  <c r="DG16" i="2"/>
  <c r="GA26" i="2"/>
  <c r="BK43" i="2"/>
  <c r="BK44" i="2"/>
  <c r="GA36" i="2"/>
  <c r="DZ42" i="2" l="1"/>
  <c r="EX48" i="2"/>
  <c r="BF49" i="2"/>
  <c r="GT42" i="2"/>
  <c r="ID42" i="2"/>
  <c r="BR43" i="2"/>
  <c r="EX44" i="2"/>
  <c r="FJ46" i="2"/>
  <c r="DB49" i="2"/>
  <c r="GH43" i="2"/>
  <c r="AT21" i="2"/>
  <c r="GH7" i="2"/>
  <c r="BR7" i="2"/>
  <c r="HF5" i="2"/>
  <c r="DN32" i="2"/>
  <c r="DN31" i="2"/>
  <c r="EG54" i="2"/>
  <c r="FE54" i="2"/>
  <c r="CP14" i="2"/>
  <c r="HF13" i="2"/>
  <c r="EX7" i="2"/>
  <c r="HR48" i="2"/>
  <c r="CD40" i="2"/>
  <c r="AT39" i="2"/>
  <c r="EL38" i="2"/>
  <c r="DB33" i="2"/>
  <c r="BR31" i="2"/>
  <c r="EL30" i="2"/>
  <c r="BF29" i="2"/>
  <c r="GT20" i="2"/>
  <c r="FJ18" i="2"/>
  <c r="AT16" i="2"/>
  <c r="FJ12" i="2"/>
  <c r="AT12" i="2"/>
  <c r="J12" i="2"/>
  <c r="DN11" i="2"/>
  <c r="HR4" i="2"/>
  <c r="DB44" i="2"/>
  <c r="ID41" i="2"/>
  <c r="DZ40" i="2"/>
  <c r="DN39" i="2"/>
  <c r="FV38" i="2"/>
  <c r="AT38" i="2"/>
  <c r="V34" i="2"/>
  <c r="EL33" i="2"/>
  <c r="DB31" i="2"/>
  <c r="HR30" i="2"/>
  <c r="ID21" i="2"/>
  <c r="DN20" i="2"/>
  <c r="ID18" i="2"/>
  <c r="GT18" i="2"/>
  <c r="CD18" i="2"/>
  <c r="GT17" i="2"/>
  <c r="CD13" i="2"/>
  <c r="CD12" i="2"/>
  <c r="CP10" i="2"/>
  <c r="FJ5" i="2"/>
  <c r="EL3" i="2"/>
  <c r="CP3" i="2"/>
  <c r="CP49" i="2"/>
  <c r="FV40" i="2"/>
  <c r="HR39" i="2"/>
  <c r="DZ36" i="2"/>
  <c r="FV33" i="2"/>
  <c r="EL31" i="2"/>
  <c r="AH22" i="2"/>
  <c r="EX20" i="2"/>
  <c r="ID40" i="2"/>
  <c r="BF40" i="2"/>
  <c r="BR22" i="2"/>
  <c r="EX13" i="2"/>
  <c r="DZ49" i="2"/>
  <c r="HR47" i="2"/>
  <c r="BR42" i="2"/>
  <c r="AT49" i="2"/>
  <c r="DB42" i="2"/>
  <c r="FJ31" i="2"/>
  <c r="EL28" i="2"/>
  <c r="BR28" i="2"/>
  <c r="BF27" i="2"/>
  <c r="J26" i="2"/>
  <c r="CP24" i="2"/>
  <c r="EL23" i="2"/>
  <c r="HR20" i="2"/>
  <c r="EL18" i="2"/>
  <c r="BR12" i="2"/>
  <c r="CD8" i="2"/>
  <c r="FJ40" i="2"/>
  <c r="CP40" i="2"/>
  <c r="GT38" i="2"/>
  <c r="EX38" i="2"/>
  <c r="BR38" i="2"/>
  <c r="V38" i="2"/>
  <c r="GH37" i="2"/>
  <c r="FJ33" i="2"/>
  <c r="DB28" i="2"/>
  <c r="CD26" i="2"/>
  <c r="FJ25" i="2"/>
  <c r="DZ25" i="2"/>
  <c r="BF25" i="2"/>
  <c r="HF21" i="2"/>
  <c r="CP21" i="2"/>
  <c r="HR16" i="2"/>
  <c r="FV16" i="2"/>
  <c r="DB16" i="2"/>
  <c r="DB13" i="2"/>
  <c r="HR12" i="2"/>
  <c r="FV12" i="2"/>
  <c r="DB12" i="2"/>
  <c r="EL35" i="2"/>
  <c r="GT47" i="2"/>
  <c r="HY55" i="2"/>
  <c r="V44" i="2"/>
  <c r="HR43" i="2"/>
  <c r="DB38" i="2"/>
  <c r="CW53" i="2"/>
  <c r="BF37" i="2"/>
  <c r="V37" i="2"/>
  <c r="J18" i="2"/>
  <c r="E53" i="2"/>
  <c r="ID34" i="2"/>
  <c r="BF44" i="2"/>
  <c r="ES55" i="2"/>
  <c r="J38" i="2"/>
  <c r="DZ37" i="2"/>
  <c r="FJ28" i="2"/>
  <c r="AH27" i="2"/>
  <c r="BR26" i="2"/>
  <c r="DN24" i="2"/>
  <c r="AT17" i="2"/>
  <c r="FJ16" i="2"/>
  <c r="FE53" i="2"/>
  <c r="AC54" i="2"/>
  <c r="J20" i="2"/>
  <c r="V31" i="2"/>
  <c r="DZ29" i="2"/>
  <c r="J42" i="2"/>
  <c r="HR36" i="2"/>
  <c r="DB36" i="2"/>
  <c r="GT49" i="2"/>
  <c r="BR20" i="2"/>
  <c r="GT48" i="2"/>
  <c r="DZ48" i="2"/>
  <c r="DZ43" i="2"/>
  <c r="CD33" i="2"/>
  <c r="FJ48" i="2"/>
  <c r="GO54" i="2"/>
  <c r="EL42" i="2"/>
  <c r="EL41" i="2"/>
  <c r="ID33" i="2"/>
  <c r="AT33" i="2"/>
  <c r="EL22" i="2"/>
  <c r="HY53" i="2"/>
  <c r="FV48" i="2"/>
  <c r="BR44" i="2"/>
  <c r="FJ43" i="2"/>
  <c r="HR42" i="2"/>
  <c r="GH42" i="2"/>
  <c r="EX42" i="2"/>
  <c r="DN42" i="2"/>
  <c r="HF41" i="2"/>
  <c r="DB41" i="2"/>
  <c r="V41" i="2"/>
  <c r="HR37" i="2"/>
  <c r="CD36" i="2"/>
  <c r="HF33" i="2"/>
  <c r="BF33" i="2"/>
  <c r="GH31" i="2"/>
  <c r="ID30" i="2"/>
  <c r="DB29" i="2"/>
  <c r="DN26" i="2"/>
  <c r="HF24" i="2"/>
  <c r="FJ24" i="2"/>
  <c r="HF23" i="2"/>
  <c r="CP22" i="2"/>
  <c r="V22" i="2"/>
  <c r="HR21" i="2"/>
  <c r="HF18" i="2"/>
  <c r="DZ17" i="2"/>
  <c r="Q55" i="2"/>
  <c r="Q56" i="2" s="1"/>
  <c r="DN44" i="2"/>
  <c r="GT41" i="2"/>
  <c r="GH38" i="2"/>
  <c r="BF38" i="2"/>
  <c r="DN36" i="2"/>
  <c r="AH31" i="2"/>
  <c r="HF29" i="2"/>
  <c r="FV29" i="2"/>
  <c r="BF28" i="2"/>
  <c r="GT26" i="2"/>
  <c r="ID25" i="2"/>
  <c r="DZ23" i="2"/>
  <c r="FJ22" i="2"/>
  <c r="CD20" i="2"/>
  <c r="HF17" i="2"/>
  <c r="J17" i="2"/>
  <c r="FV8" i="2"/>
  <c r="DB8" i="2"/>
  <c r="AO55" i="2"/>
  <c r="FV13" i="2"/>
  <c r="GH11" i="2"/>
  <c r="CD11" i="2"/>
  <c r="DB3" i="2"/>
  <c r="AH49" i="2"/>
  <c r="EL47" i="2"/>
  <c r="DB47" i="2"/>
  <c r="BR47" i="2"/>
  <c r="AH40" i="2"/>
  <c r="V39" i="2"/>
  <c r="V36" i="2"/>
  <c r="GT32" i="2"/>
  <c r="CD28" i="2"/>
  <c r="EX24" i="2"/>
  <c r="EX23" i="2"/>
  <c r="FV20" i="2"/>
  <c r="DB20" i="2"/>
  <c r="EX18" i="2"/>
  <c r="DN18" i="2"/>
  <c r="BF13" i="2"/>
  <c r="V13" i="2"/>
  <c r="J10" i="2"/>
  <c r="FV7" i="2"/>
  <c r="GT5" i="2"/>
  <c r="BF4" i="2"/>
  <c r="HF49" i="2"/>
  <c r="FV49" i="2"/>
  <c r="FV47" i="2"/>
  <c r="CD46" i="2"/>
  <c r="GH45" i="2"/>
  <c r="V45" i="2"/>
  <c r="DZ44" i="2"/>
  <c r="DB43" i="2"/>
  <c r="BF42" i="2"/>
  <c r="AT41" i="2"/>
  <c r="EX40" i="2"/>
  <c r="BR39" i="2"/>
  <c r="DZ38" i="2"/>
  <c r="BF36" i="2"/>
  <c r="DN34" i="2"/>
  <c r="GH33" i="2"/>
  <c r="EX33" i="2"/>
  <c r="ID32" i="2"/>
  <c r="AT32" i="2"/>
  <c r="ID31" i="2"/>
  <c r="CD29" i="2"/>
  <c r="FV25" i="2"/>
  <c r="EL25" i="2"/>
  <c r="GH24" i="2"/>
  <c r="BR24" i="2"/>
  <c r="V24" i="2"/>
  <c r="BR23" i="2"/>
  <c r="V23" i="2"/>
  <c r="J21" i="2"/>
  <c r="CP20" i="2"/>
  <c r="GH18" i="2"/>
  <c r="AH18" i="2"/>
  <c r="ID16" i="2"/>
  <c r="DZ13" i="2"/>
  <c r="BR11" i="2"/>
  <c r="DZ10" i="2"/>
  <c r="HF4" i="2"/>
  <c r="FJ49" i="2"/>
  <c r="GH48" i="2"/>
  <c r="EL45" i="2"/>
  <c r="J45" i="2"/>
  <c r="AT44" i="2"/>
  <c r="J44" i="2"/>
  <c r="HF43" i="2"/>
  <c r="FV43" i="2"/>
  <c r="AH43" i="2"/>
  <c r="FJ42" i="2"/>
  <c r="CD42" i="2"/>
  <c r="HR41" i="2"/>
  <c r="AH38" i="2"/>
  <c r="ID37" i="2"/>
  <c r="CD35" i="2"/>
  <c r="HR33" i="2"/>
  <c r="V28" i="2"/>
  <c r="FJ26" i="2"/>
  <c r="HF25" i="2"/>
  <c r="FJ21" i="2"/>
  <c r="ID20" i="2"/>
  <c r="FV18" i="2"/>
  <c r="BR17" i="2"/>
  <c r="AH17" i="2"/>
  <c r="EX16" i="2"/>
  <c r="EX14" i="2"/>
  <c r="CD14" i="2"/>
  <c r="BF12" i="2"/>
  <c r="FV10" i="2"/>
  <c r="GT8" i="2"/>
  <c r="EX5" i="2"/>
  <c r="J5" i="2"/>
  <c r="BF18" i="2"/>
  <c r="BF17" i="2"/>
  <c r="GH16" i="2"/>
  <c r="BR16" i="2"/>
  <c r="GH14" i="2"/>
  <c r="EL14" i="2"/>
  <c r="J13" i="2"/>
  <c r="GT12" i="2"/>
  <c r="ID9" i="2"/>
  <c r="ID8" i="2"/>
  <c r="EL6" i="2"/>
  <c r="FJ4" i="2"/>
  <c r="DZ3" i="2"/>
  <c r="ID12" i="2"/>
  <c r="DB9" i="2"/>
  <c r="AH9" i="2"/>
  <c r="V17" i="2"/>
  <c r="Q54" i="2"/>
  <c r="HF10" i="2"/>
  <c r="HA54" i="2"/>
  <c r="EL49" i="2"/>
  <c r="GH41" i="2"/>
  <c r="CP36" i="2"/>
  <c r="CK53" i="2"/>
  <c r="E54" i="2"/>
  <c r="Q53" i="2"/>
  <c r="V49" i="2"/>
  <c r="GO55" i="2"/>
  <c r="EX3" i="2"/>
  <c r="ES54" i="2"/>
  <c r="DI53" i="2"/>
  <c r="CD49" i="2"/>
  <c r="DN45" i="2"/>
  <c r="HR44" i="2"/>
  <c r="AH44" i="2"/>
  <c r="HF42" i="2"/>
  <c r="EX41" i="2"/>
  <c r="DB40" i="2"/>
  <c r="HR38" i="2"/>
  <c r="AT36" i="2"/>
  <c r="GH32" i="2"/>
  <c r="ID26" i="2"/>
  <c r="BA55" i="2"/>
  <c r="BR54" i="2"/>
  <c r="HR54" i="2"/>
  <c r="FQ55" i="2"/>
  <c r="FE55" i="2"/>
  <c r="EG53" i="2"/>
  <c r="DI54" i="2"/>
  <c r="GT40" i="2"/>
  <c r="CP33" i="2"/>
  <c r="EX27" i="2"/>
  <c r="EX54" i="2" s="1"/>
  <c r="CP26" i="2"/>
  <c r="J54" i="2"/>
  <c r="EL24" i="2"/>
  <c r="CP23" i="2"/>
  <c r="BA54" i="2"/>
  <c r="EL48" i="2"/>
  <c r="CP43" i="2"/>
  <c r="AH42" i="2"/>
  <c r="CD39" i="2"/>
  <c r="V32" i="2"/>
  <c r="BA53" i="2"/>
  <c r="BM53" i="2"/>
  <c r="BF47" i="2"/>
  <c r="CP34" i="2"/>
  <c r="GT33" i="2"/>
  <c r="E55" i="2"/>
  <c r="CP12" i="2"/>
  <c r="CK54" i="2"/>
  <c r="EG55" i="2"/>
  <c r="CP48" i="2"/>
  <c r="EX43" i="2"/>
  <c r="CP42" i="2"/>
  <c r="AH41" i="2"/>
  <c r="FJ38" i="2"/>
  <c r="HM55" i="2"/>
  <c r="DZ34" i="2"/>
  <c r="FJ32" i="2"/>
  <c r="J29" i="2"/>
  <c r="J25" i="2"/>
  <c r="DZ20" i="2"/>
  <c r="DU53" i="2"/>
  <c r="J40" i="2"/>
  <c r="J36" i="2"/>
  <c r="CP29" i="2"/>
  <c r="GT25" i="2"/>
  <c r="ID48" i="2"/>
  <c r="ID45" i="2"/>
  <c r="CD45" i="2"/>
  <c r="FV44" i="2"/>
  <c r="AT34" i="2"/>
  <c r="HR31" i="2"/>
  <c r="EX31" i="2"/>
  <c r="CD31" i="2"/>
  <c r="FV28" i="2"/>
  <c r="CP28" i="2"/>
  <c r="J28" i="2"/>
  <c r="CD25" i="2"/>
  <c r="AT25" i="2"/>
  <c r="ID23" i="2"/>
  <c r="FJ23" i="2"/>
  <c r="EX22" i="2"/>
  <c r="J22" i="2"/>
  <c r="BF21" i="2"/>
  <c r="V14" i="2"/>
  <c r="BR13" i="2"/>
  <c r="EX12" i="2"/>
  <c r="BR9" i="2"/>
  <c r="FJ8" i="2"/>
  <c r="CP8" i="2"/>
  <c r="AT8" i="2"/>
  <c r="FJ7" i="2"/>
  <c r="AT7" i="2"/>
  <c r="FV4" i="2"/>
  <c r="DZ21" i="2"/>
  <c r="GH20" i="2"/>
  <c r="BF20" i="2"/>
  <c r="V18" i="2"/>
  <c r="GH17" i="2"/>
  <c r="HF16" i="2"/>
  <c r="BF14" i="2"/>
  <c r="DN12" i="2"/>
  <c r="EX10" i="2"/>
  <c r="HR9" i="2"/>
  <c r="DB5" i="2"/>
  <c r="CK55" i="2"/>
  <c r="ID28" i="2"/>
  <c r="EL27" i="2"/>
  <c r="EL54" i="2" s="1"/>
  <c r="AT27" i="2"/>
  <c r="HF26" i="2"/>
  <c r="AT23" i="2"/>
  <c r="DN21" i="2"/>
  <c r="AT20" i="2"/>
  <c r="FV17" i="2"/>
  <c r="GT16" i="2"/>
  <c r="V16" i="2"/>
  <c r="DN14" i="2"/>
  <c r="AT14" i="2"/>
  <c r="ID7" i="2"/>
  <c r="DN7" i="2"/>
  <c r="J4" i="2"/>
  <c r="GH36" i="2"/>
  <c r="FJ34" i="2"/>
  <c r="BR34" i="2"/>
  <c r="DN33" i="2"/>
  <c r="HR32" i="2"/>
  <c r="EX32" i="2"/>
  <c r="CD32" i="2"/>
  <c r="GT28" i="2"/>
  <c r="DZ28" i="2"/>
  <c r="BR25" i="2"/>
  <c r="DN23" i="2"/>
  <c r="GT21" i="2"/>
  <c r="CD21" i="2"/>
  <c r="BF16" i="2"/>
  <c r="GH12" i="2"/>
  <c r="DZ9" i="2"/>
  <c r="GH8" i="2"/>
  <c r="CD7" i="2"/>
  <c r="DZ5" i="2"/>
  <c r="AT5" i="2"/>
  <c r="HA55" i="2"/>
  <c r="BM55" i="2"/>
  <c r="HF9" i="2"/>
  <c r="CP9" i="2"/>
  <c r="AC53" i="2"/>
  <c r="DU55" i="2"/>
  <c r="FV36" i="2"/>
  <c r="EX34" i="2"/>
  <c r="DB34" i="2"/>
  <c r="J33" i="2"/>
  <c r="AH32" i="2"/>
  <c r="GT31" i="2"/>
  <c r="FV27" i="2"/>
  <c r="GT24" i="2"/>
  <c r="DZ24" i="2"/>
  <c r="AH21" i="2"/>
  <c r="DB18" i="2"/>
  <c r="FV14" i="2"/>
  <c r="BR14" i="2"/>
  <c r="ID13" i="2"/>
  <c r="AT13" i="2"/>
  <c r="DZ12" i="2"/>
  <c r="FJ10" i="2"/>
  <c r="HF8" i="2"/>
  <c r="BR8" i="2"/>
  <c r="V8" i="2"/>
  <c r="EL7" i="2"/>
  <c r="V7" i="2"/>
  <c r="GT4" i="2"/>
  <c r="GT3" i="2"/>
  <c r="HF48" i="2"/>
  <c r="DN48" i="2"/>
  <c r="AT48" i="2"/>
  <c r="HF47" i="2"/>
  <c r="GT45" i="2"/>
  <c r="AH45" i="2"/>
  <c r="DN37" i="2"/>
  <c r="CD37" i="2"/>
  <c r="AT37" i="2"/>
  <c r="HF36" i="2"/>
  <c r="GH34" i="2"/>
  <c r="J34" i="2"/>
  <c r="BR33" i="2"/>
  <c r="DB32" i="2"/>
  <c r="BR29" i="2"/>
  <c r="HR28" i="2"/>
  <c r="EX28" i="2"/>
  <c r="DB26" i="2"/>
  <c r="DB54" i="2" s="1"/>
  <c r="CP25" i="2"/>
  <c r="V25" i="2"/>
  <c r="AT24" i="2"/>
  <c r="GT22" i="2"/>
  <c r="DZ22" i="2"/>
  <c r="DB21" i="2"/>
  <c r="V21" i="2"/>
  <c r="AH20" i="2"/>
  <c r="CD17" i="2"/>
  <c r="CD16" i="2"/>
  <c r="J16" i="2"/>
  <c r="FJ14" i="2"/>
  <c r="DB14" i="2"/>
  <c r="GH13" i="2"/>
  <c r="GT9" i="2"/>
  <c r="EL8" i="2"/>
  <c r="BF8" i="2"/>
  <c r="CD5" i="2"/>
  <c r="DN4" i="2"/>
  <c r="ID3" i="2"/>
  <c r="CD3" i="2"/>
  <c r="FV46" i="2"/>
  <c r="FQ53" i="2"/>
  <c r="DB45" i="2"/>
  <c r="GT44" i="2"/>
  <c r="GT36" i="2"/>
  <c r="HR34" i="2"/>
  <c r="BR32" i="2"/>
  <c r="GC54" i="2"/>
  <c r="DU54" i="2"/>
  <c r="BM54" i="2"/>
  <c r="DN49" i="2"/>
  <c r="FJ47" i="2"/>
  <c r="DZ45" i="2"/>
  <c r="ID44" i="2"/>
  <c r="BY54" i="2"/>
  <c r="AH48" i="2"/>
  <c r="GH47" i="2"/>
  <c r="CP37" i="2"/>
  <c r="HY54" i="2"/>
  <c r="DI55" i="2"/>
  <c r="HM53" i="2"/>
  <c r="HA53" i="2"/>
  <c r="AO53" i="2"/>
  <c r="GH49" i="2"/>
  <c r="BF48" i="2"/>
  <c r="ID47" i="2"/>
  <c r="HF46" i="2"/>
  <c r="ES53" i="2"/>
  <c r="EX37" i="2"/>
  <c r="DN47" i="2"/>
  <c r="FQ54" i="2"/>
  <c r="BY55" i="2"/>
  <c r="HM54" i="2"/>
  <c r="CW54" i="2"/>
  <c r="AO54" i="2"/>
  <c r="GO53" i="2"/>
  <c r="V47" i="2"/>
  <c r="HF45" i="2"/>
  <c r="AT45" i="2"/>
  <c r="AC55" i="2"/>
  <c r="CW55" i="2"/>
  <c r="GC55" i="2"/>
  <c r="CD48" i="2"/>
  <c r="BY53" i="2"/>
  <c r="AT47" i="2"/>
  <c r="ID49" i="2"/>
  <c r="V48" i="2"/>
  <c r="FJ44" i="2"/>
  <c r="BR37" i="2"/>
  <c r="BR36" i="2"/>
  <c r="DZ32" i="2"/>
  <c r="J32" i="2"/>
  <c r="DZ31" i="2"/>
  <c r="J31" i="2"/>
  <c r="GH29" i="2"/>
  <c r="FV24" i="2"/>
  <c r="EL37" i="2"/>
  <c r="EL36" i="2"/>
  <c r="FV34" i="2"/>
  <c r="DZ33" i="2"/>
  <c r="FJ37" i="2"/>
  <c r="FJ36" i="2"/>
  <c r="GT34" i="2"/>
  <c r="FV32" i="2"/>
  <c r="BF32" i="2"/>
  <c r="FV31" i="2"/>
  <c r="BF31" i="2"/>
  <c r="AT30" i="2"/>
  <c r="FV23" i="2"/>
  <c r="HF20" i="2"/>
  <c r="AH29" i="2"/>
  <c r="FV22" i="2"/>
  <c r="ID36" i="2"/>
  <c r="HF35" i="2"/>
  <c r="ID17" i="2"/>
  <c r="CP16" i="2"/>
  <c r="GT13" i="2"/>
  <c r="FJ9" i="2"/>
  <c r="J8" i="2"/>
  <c r="J7" i="2"/>
  <c r="HR24" i="2"/>
  <c r="HR23" i="2"/>
  <c r="HR22" i="2"/>
  <c r="AT18" i="2"/>
  <c r="DN16" i="2"/>
  <c r="HR13" i="2"/>
  <c r="V10" i="2"/>
  <c r="DB7" i="2"/>
  <c r="J24" i="2"/>
  <c r="J23" i="2"/>
  <c r="BR18" i="2"/>
  <c r="GH9" i="2"/>
  <c r="AH8" i="2"/>
  <c r="AH7" i="2"/>
  <c r="DN29" i="2"/>
  <c r="AH24" i="2"/>
  <c r="AH23" i="2"/>
  <c r="EX21" i="2"/>
  <c r="CP18" i="2"/>
  <c r="CP17" i="2"/>
  <c r="J14" i="2"/>
  <c r="BF10" i="2"/>
  <c r="DN9" i="2"/>
  <c r="GT7" i="2"/>
  <c r="HR5" i="2"/>
  <c r="HF32" i="2"/>
  <c r="BF24" i="2"/>
  <c r="BF23" i="2"/>
  <c r="BF22" i="2"/>
  <c r="DN17" i="2"/>
  <c r="EL12" i="2"/>
  <c r="AT9" i="2"/>
  <c r="DZ7" i="2"/>
  <c r="CD24" i="2"/>
  <c r="CD23" i="2"/>
  <c r="CD22" i="2"/>
  <c r="FV21" i="2"/>
  <c r="EL21" i="2"/>
  <c r="EL17" i="2"/>
  <c r="GT14" i="2"/>
  <c r="AH14" i="2"/>
  <c r="DB10" i="2"/>
  <c r="BF7" i="2"/>
  <c r="EL4" i="2"/>
  <c r="DB24" i="2"/>
  <c r="DB23" i="2"/>
  <c r="DB22" i="2"/>
  <c r="FJ17" i="2"/>
  <c r="DZ16" i="2"/>
  <c r="HR14" i="2"/>
  <c r="DN13" i="2"/>
  <c r="EL9" i="2"/>
  <c r="HR7" i="2"/>
  <c r="BR6" i="2"/>
  <c r="FV5" i="2"/>
  <c r="CD4" i="2"/>
  <c r="V4" i="2"/>
  <c r="FV3" i="2"/>
  <c r="AH5" i="2"/>
  <c r="GH4" i="2"/>
  <c r="DB4" i="2"/>
  <c r="AT4" i="2"/>
  <c r="BR3" i="2"/>
  <c r="BF5" i="2"/>
  <c r="HR3" i="2"/>
  <c r="DN3" i="2"/>
  <c r="FJ13" i="2"/>
  <c r="DZ4" i="2"/>
  <c r="BR4" i="2"/>
  <c r="FJ3" i="2"/>
  <c r="CP5" i="2"/>
  <c r="ID4" i="2"/>
  <c r="EX4" i="2"/>
  <c r="AT22" i="2"/>
  <c r="GH5" i="2"/>
  <c r="V5" i="2"/>
  <c r="CP4" i="2"/>
  <c r="AH4" i="2"/>
  <c r="GH3" i="2"/>
  <c r="BF3" i="2"/>
  <c r="V9" i="2"/>
  <c r="DN5" i="2"/>
  <c r="HF3" i="2"/>
  <c r="BF54" i="2" l="1"/>
  <c r="GT54" i="2"/>
  <c r="CP54" i="2"/>
  <c r="ID54" i="2"/>
  <c r="DZ54" i="2"/>
  <c r="V54" i="2"/>
  <c r="AH54" i="2"/>
  <c r="FV54" i="2"/>
  <c r="AT54" i="2"/>
  <c r="N56" i="2"/>
  <c r="DN54" i="2"/>
  <c r="E56" i="2"/>
  <c r="CD54" i="2"/>
  <c r="HF54" i="2"/>
  <c r="B56" i="2"/>
  <c r="GH54" i="2"/>
  <c r="FJ54" i="2"/>
  <c r="Z56" i="2"/>
  <c r="AC56" i="2"/>
  <c r="AL56" i="2" l="1"/>
  <c r="AO56" i="2"/>
  <c r="AX56" i="2" l="1"/>
  <c r="BA56" i="2"/>
  <c r="BJ56" i="2" l="1"/>
  <c r="BM56" i="2"/>
  <c r="BV56" i="2" l="1"/>
  <c r="BY56" i="2"/>
  <c r="CH56" i="2" l="1"/>
  <c r="CK56" i="2"/>
  <c r="CT56" i="2" l="1"/>
  <c r="CW56" i="2"/>
  <c r="DF56" i="2" l="1"/>
  <c r="DI56" i="2"/>
  <c r="DR56" i="2" l="1"/>
  <c r="DU56" i="2"/>
  <c r="ED56" i="2" l="1"/>
  <c r="EG56" i="2"/>
  <c r="EP56" i="2" l="1"/>
  <c r="ES56" i="2"/>
  <c r="FB56" i="2" l="1"/>
  <c r="FE56" i="2"/>
  <c r="FN56" i="2" l="1"/>
  <c r="FQ56" i="2"/>
  <c r="FZ56" i="2" l="1"/>
  <c r="GC56" i="2"/>
  <c r="GL56" i="2" l="1"/>
  <c r="GO56" i="2"/>
  <c r="GX56" i="2" l="1"/>
  <c r="HA56" i="2"/>
  <c r="HJ56" i="2" l="1"/>
  <c r="HM56" i="2"/>
  <c r="HV56" i="2" l="1"/>
  <c r="HY56" i="2"/>
  <c r="B57" i="2" l="1"/>
  <c r="B54" i="2" l="1"/>
  <c r="K52" i="2" s="1"/>
  <c r="N57" i="2"/>
  <c r="N54" i="2" l="1"/>
  <c r="W52" i="2" s="1"/>
  <c r="Z57" i="2"/>
  <c r="Z54" i="2" l="1"/>
  <c r="AI52" i="2" s="1"/>
  <c r="AL57" i="2"/>
  <c r="AL54" i="2" l="1"/>
  <c r="AU52" i="2" s="1"/>
  <c r="AX57" i="2"/>
  <c r="AX54" i="2" l="1"/>
  <c r="BG52" i="2" s="1"/>
  <c r="BJ57" i="2"/>
  <c r="BJ54" i="2" l="1"/>
  <c r="BS52" i="2" s="1"/>
  <c r="BV57" i="2"/>
  <c r="BV54" i="2" l="1"/>
  <c r="CE52" i="2" s="1"/>
  <c r="CH57" i="2"/>
  <c r="CH54" i="2" l="1"/>
  <c r="CQ52" i="2" s="1"/>
  <c r="CT57" i="2"/>
  <c r="CT54" i="2" l="1"/>
  <c r="DC52" i="2" s="1"/>
  <c r="DF57" i="2"/>
  <c r="DF54" i="2" l="1"/>
  <c r="DO52" i="2" s="1"/>
  <c r="DR57" i="2"/>
  <c r="DR54" i="2" l="1"/>
  <c r="EA52" i="2" s="1"/>
  <c r="ED57" i="2"/>
  <c r="ED54" i="2" l="1"/>
  <c r="EM52" i="2" s="1"/>
  <c r="EP57" i="2"/>
  <c r="EP54" i="2" l="1"/>
  <c r="EY52" i="2" s="1"/>
  <c r="FB57" i="2"/>
  <c r="FB54" i="2" l="1"/>
  <c r="FK52" i="2" s="1"/>
  <c r="FN57" i="2"/>
  <c r="FN54" i="2" l="1"/>
  <c r="FW52" i="2" s="1"/>
  <c r="FZ57" i="2"/>
  <c r="FZ54" i="2" l="1"/>
  <c r="GI52" i="2" s="1"/>
  <c r="GL57" i="2"/>
  <c r="GL54" i="2" l="1"/>
  <c r="GU52" i="2" s="1"/>
  <c r="GX57" i="2"/>
  <c r="GX54" i="2" l="1"/>
  <c r="HG52" i="2" s="1"/>
  <c r="HJ57" i="2"/>
  <c r="HJ54" i="2" l="1"/>
  <c r="HS52" i="2" s="1"/>
  <c r="HV57" i="2"/>
  <c r="HV54" i="2" l="1"/>
  <c r="IE52" i="2" s="1"/>
  <c r="B58" i="2"/>
  <c r="B55" i="2" s="1"/>
  <c r="N58" i="2"/>
  <c r="N55" i="2" s="1"/>
  <c r="Z58" i="2"/>
  <c r="Z55" i="2" s="1"/>
  <c r="AL58" i="2"/>
  <c r="AL55" i="2" s="1"/>
  <c r="AX58" i="2"/>
  <c r="AX55" i="2" s="1"/>
  <c r="BJ58" i="2"/>
  <c r="BJ55" i="2" s="1"/>
  <c r="BV58" i="2"/>
  <c r="BV55" i="2" s="1"/>
  <c r="CH58" i="2"/>
  <c r="CH55" i="2" s="1"/>
  <c r="CT58" i="2"/>
  <c r="CT55" i="2" s="1"/>
  <c r="DF58" i="2"/>
  <c r="DF55" i="2" s="1"/>
  <c r="DR58" i="2"/>
  <c r="DR55" i="2" s="1"/>
  <c r="ED58" i="2"/>
  <c r="ED55" i="2" s="1"/>
  <c r="EP58" i="2"/>
  <c r="EP55" i="2" s="1"/>
  <c r="FB58" i="2"/>
  <c r="FB55" i="2" s="1"/>
  <c r="FN58" i="2"/>
  <c r="FN55" i="2" s="1"/>
  <c r="FZ58" i="2"/>
  <c r="FZ55" i="2" s="1"/>
  <c r="GL58" i="2"/>
  <c r="GL55" i="2" s="1"/>
  <c r="GX58" i="2"/>
  <c r="GX55" i="2" s="1"/>
  <c r="HJ58" i="2"/>
  <c r="HJ55" i="2" s="1"/>
  <c r="HV58" i="2"/>
  <c r="HV55" i="2" s="1"/>
  <c r="A61" i="2"/>
  <c r="B61" i="2"/>
  <c r="D61" i="2"/>
  <c r="M61" i="2"/>
  <c r="N61" i="2"/>
  <c r="P61" i="2"/>
  <c r="Y61" i="2"/>
  <c r="Z61" i="2"/>
  <c r="AB61" i="2"/>
  <c r="AK61" i="2"/>
  <c r="AL61" i="2"/>
  <c r="AN61" i="2"/>
  <c r="AW61" i="2"/>
  <c r="AX61" i="2"/>
  <c r="AZ61" i="2"/>
  <c r="BI61" i="2"/>
  <c r="BJ61" i="2"/>
  <c r="BL61" i="2"/>
  <c r="BU61" i="2"/>
  <c r="BV61" i="2"/>
  <c r="BX61" i="2"/>
  <c r="CG61" i="2"/>
  <c r="CH61" i="2"/>
  <c r="CJ61" i="2"/>
  <c r="CS61" i="2"/>
  <c r="CT61" i="2"/>
  <c r="CV61" i="2"/>
  <c r="DE61" i="2"/>
  <c r="DF61" i="2"/>
  <c r="DH61" i="2"/>
  <c r="DQ61" i="2"/>
  <c r="DR61" i="2"/>
  <c r="DT61" i="2"/>
  <c r="EC61" i="2"/>
  <c r="ED61" i="2"/>
  <c r="EF61" i="2"/>
  <c r="EO61" i="2"/>
  <c r="EP61" i="2"/>
  <c r="ER61" i="2"/>
  <c r="FA61" i="2"/>
  <c r="FB61" i="2"/>
  <c r="FD61" i="2"/>
  <c r="FM61" i="2"/>
  <c r="FN61" i="2"/>
  <c r="FP61" i="2"/>
  <c r="FY61" i="2"/>
  <c r="FZ61" i="2"/>
  <c r="GB61" i="2"/>
  <c r="GK61" i="2"/>
  <c r="GL61" i="2"/>
  <c r="GN61" i="2"/>
  <c r="GW61" i="2"/>
  <c r="GX61" i="2"/>
  <c r="GZ61" i="2"/>
  <c r="HI61" i="2"/>
  <c r="HJ61" i="2"/>
  <c r="HL61" i="2"/>
  <c r="HU61" i="2"/>
  <c r="HV61" i="2"/>
  <c r="HX61" i="2"/>
  <c r="A62" i="2"/>
  <c r="M62" i="2"/>
  <c r="Y62" i="2"/>
  <c r="AK62" i="2"/>
  <c r="AW62" i="2"/>
  <c r="BI62" i="2"/>
  <c r="BU62" i="2"/>
  <c r="CG62" i="2"/>
  <c r="CS62" i="2"/>
  <c r="DE62" i="2"/>
  <c r="DQ62" i="2"/>
  <c r="EC62" i="2"/>
  <c r="EO62" i="2"/>
  <c r="FA62" i="2"/>
  <c r="FM62" i="2"/>
  <c r="FY62" i="2"/>
  <c r="GK62" i="2"/>
  <c r="GW62" i="2"/>
  <c r="HI62" i="2"/>
  <c r="HU62" i="2"/>
  <c r="K790" i="2"/>
  <c r="W790" i="2"/>
  <c r="AI790" i="2"/>
  <c r="AU790" i="2"/>
  <c r="BG790" i="2"/>
  <c r="BS790" i="2"/>
  <c r="CE790" i="2"/>
  <c r="CQ790" i="2"/>
  <c r="DC790" i="2"/>
  <c r="DO790" i="2"/>
  <c r="EA790" i="2"/>
  <c r="EM790" i="2"/>
  <c r="EY790" i="2"/>
  <c r="FK790" i="2"/>
  <c r="FW790" i="2"/>
  <c r="GI790" i="2"/>
  <c r="GU790" i="2"/>
  <c r="HG790" i="2"/>
  <c r="HS790" i="2"/>
  <c r="IE790" i="2"/>
  <c r="J59" i="2"/>
  <c r="AH55" i="2"/>
  <c r="EL59" i="2"/>
  <c r="EX55" i="2"/>
  <c r="DK54" i="2"/>
  <c r="CP55" i="2"/>
  <c r="BC54" i="2"/>
  <c r="GT59" i="2"/>
  <c r="ID55" i="2"/>
  <c r="ID59" i="2"/>
  <c r="DB59" i="2"/>
  <c r="J55" i="2"/>
  <c r="AT55" i="2"/>
  <c r="AT59" i="2"/>
  <c r="GQ54" i="2"/>
  <c r="DN59" i="2"/>
  <c r="DZ55" i="2"/>
  <c r="FG54" i="2"/>
  <c r="HC54" i="2"/>
  <c r="BR55" i="2"/>
  <c r="HF59" i="2"/>
  <c r="CD59" i="2"/>
  <c r="AE54" i="2"/>
  <c r="CP59" i="2"/>
  <c r="GT55" i="2"/>
  <c r="BR59" i="2"/>
  <c r="FV59" i="2"/>
  <c r="DB55" i="2"/>
  <c r="V55" i="2"/>
  <c r="CA54" i="2"/>
  <c r="FJ59" i="2"/>
  <c r="HO54" i="2"/>
  <c r="IA54" i="2"/>
  <c r="DN55" i="2"/>
  <c r="AQ54" i="2"/>
  <c r="GH59" i="2"/>
  <c r="AH59" i="2"/>
  <c r="GH55" i="2"/>
  <c r="S54" i="2"/>
  <c r="HR55" i="2"/>
  <c r="CM54" i="2"/>
  <c r="CD55" i="2"/>
  <c r="G54" i="2"/>
  <c r="FJ55" i="2"/>
  <c r="DW54" i="2"/>
  <c r="GE54" i="2"/>
  <c r="HR59" i="2"/>
  <c r="EU54" i="2"/>
  <c r="BF59" i="2"/>
  <c r="DZ59" i="2"/>
  <c r="CY54" i="2"/>
  <c r="HF55" i="2"/>
  <c r="EI54" i="2"/>
  <c r="EX59" i="2"/>
  <c r="BF55" i="2"/>
  <c r="V59" i="2"/>
  <c r="FS54" i="2"/>
  <c r="FV55" i="2"/>
  <c r="EL55" i="2"/>
  <c r="BO54" i="2"/>
  <c r="J792" i="2" l="1"/>
  <c r="V792" i="2"/>
  <c r="AH792" i="2"/>
  <c r="AT792" i="2"/>
  <c r="BF792" i="2"/>
  <c r="BR792" i="2"/>
  <c r="CD792" i="2"/>
  <c r="CP792" i="2"/>
  <c r="DB792" i="2"/>
  <c r="DN792" i="2"/>
  <c r="DZ792" i="2"/>
  <c r="EL792" i="2"/>
  <c r="EX792" i="2"/>
  <c r="FJ792" i="2"/>
  <c r="FV792" i="2"/>
  <c r="GH792" i="2"/>
  <c r="GT792" i="2"/>
  <c r="HF792" i="2"/>
  <c r="HR792" i="2"/>
  <c r="ID792" i="2"/>
  <c r="E793" i="2"/>
  <c r="Q793" i="2"/>
  <c r="AC793" i="2"/>
  <c r="AO793" i="2"/>
  <c r="BA793" i="2"/>
  <c r="BM793" i="2"/>
  <c r="BY793" i="2"/>
  <c r="CK793" i="2"/>
  <c r="CW793" i="2"/>
  <c r="DI793" i="2"/>
  <c r="DU793" i="2"/>
  <c r="EG793" i="2"/>
  <c r="ES793" i="2"/>
  <c r="FE793" i="2"/>
  <c r="FQ793" i="2"/>
  <c r="GC793" i="2"/>
  <c r="GO793" i="2"/>
  <c r="HA793" i="2"/>
  <c r="HM793" i="2"/>
  <c r="HY793" i="2"/>
  <c r="BA59" i="2"/>
  <c r="GT56" i="2"/>
  <c r="AE55" i="2"/>
  <c r="HM58" i="2"/>
  <c r="BY59" i="2"/>
  <c r="ES58" i="2"/>
  <c r="CY55" i="2"/>
  <c r="G55" i="2"/>
  <c r="DI58" i="2"/>
  <c r="FJ56" i="2"/>
  <c r="HA59" i="2"/>
  <c r="CD56" i="2"/>
  <c r="AO59" i="2"/>
  <c r="ES59" i="2"/>
  <c r="HR56" i="2"/>
  <c r="IA55" i="2"/>
  <c r="GC59" i="2"/>
  <c r="BA58" i="2"/>
  <c r="HY58" i="2"/>
  <c r="EG59" i="2"/>
  <c r="V56" i="2"/>
  <c r="GQ55" i="2"/>
  <c r="HA58" i="2"/>
  <c r="E59" i="2"/>
  <c r="AO58" i="2"/>
  <c r="BR56" i="2"/>
  <c r="FV56" i="2"/>
  <c r="DW55" i="2"/>
  <c r="DU59" i="2"/>
  <c r="GE55" i="2"/>
  <c r="EG58" i="2"/>
  <c r="GH56" i="2"/>
  <c r="FQ58" i="2"/>
  <c r="CW58" i="2"/>
  <c r="FG55" i="2"/>
  <c r="EU55" i="2"/>
  <c r="DN56" i="2"/>
  <c r="HM59" i="2"/>
  <c r="FQ59" i="2"/>
  <c r="Q59" i="2"/>
  <c r="GO59" i="2"/>
  <c r="FE59" i="2"/>
  <c r="GO58" i="2"/>
  <c r="HC55" i="2"/>
  <c r="BC55" i="2"/>
  <c r="CM55" i="2"/>
  <c r="HO55" i="2"/>
  <c r="AH56" i="2"/>
  <c r="AC58" i="2"/>
  <c r="GC58" i="2"/>
  <c r="BM59" i="2"/>
  <c r="CA55" i="2"/>
  <c r="BY58" i="2"/>
  <c r="BM58" i="2"/>
  <c r="CK59" i="2"/>
  <c r="BF56" i="2"/>
  <c r="DK55" i="2"/>
  <c r="CW59" i="2"/>
  <c r="HY59" i="2"/>
  <c r="EI55" i="2"/>
  <c r="BO55" i="2"/>
  <c r="AQ55" i="2"/>
  <c r="HF56" i="2"/>
  <c r="Q58" i="2"/>
  <c r="EL56" i="2"/>
  <c r="AC59" i="2"/>
  <c r="EX56" i="2"/>
  <c r="FE58" i="2"/>
  <c r="FS55" i="2"/>
  <c r="ID56" i="2"/>
  <c r="CP56" i="2"/>
  <c r="DI59" i="2"/>
  <c r="AT56" i="2"/>
  <c r="DZ56" i="2"/>
  <c r="CK58" i="2"/>
  <c r="E58" i="2"/>
  <c r="DB56" i="2"/>
  <c r="J56" i="2"/>
  <c r="DU58" i="2"/>
  <c r="S55" i="2"/>
  <c r="A799" i="2" l="1"/>
  <c r="B799" i="2"/>
  <c r="D799" i="2"/>
  <c r="M799" i="2"/>
  <c r="N799" i="2"/>
  <c r="P799" i="2"/>
  <c r="Y799" i="2"/>
  <c r="Z799" i="2"/>
  <c r="AB799" i="2"/>
  <c r="AK799" i="2"/>
  <c r="AL799" i="2"/>
  <c r="AN799" i="2"/>
  <c r="AW799" i="2"/>
  <c r="AX799" i="2"/>
  <c r="AZ799" i="2"/>
  <c r="BI799" i="2"/>
  <c r="BJ799" i="2"/>
  <c r="BL799" i="2"/>
  <c r="BU799" i="2"/>
  <c r="BV799" i="2"/>
  <c r="BX799" i="2"/>
  <c r="CG799" i="2"/>
  <c r="CH799" i="2"/>
  <c r="CJ799" i="2"/>
  <c r="CS799" i="2"/>
  <c r="CT799" i="2"/>
  <c r="CV799" i="2"/>
  <c r="DE799" i="2"/>
  <c r="DF799" i="2"/>
  <c r="DH799" i="2"/>
  <c r="DQ799" i="2"/>
  <c r="DR799" i="2"/>
  <c r="DT799" i="2"/>
  <c r="EC799" i="2"/>
  <c r="ED799" i="2"/>
  <c r="EF799" i="2"/>
  <c r="EO799" i="2"/>
  <c r="EP799" i="2"/>
  <c r="ER799" i="2"/>
  <c r="FA799" i="2"/>
  <c r="FB799" i="2"/>
  <c r="FD799" i="2"/>
  <c r="FM799" i="2"/>
  <c r="FN799" i="2"/>
  <c r="FP799" i="2"/>
  <c r="FY799" i="2"/>
  <c r="FZ799" i="2"/>
  <c r="GB799" i="2"/>
  <c r="GK799" i="2"/>
  <c r="GL799" i="2"/>
  <c r="GN799" i="2"/>
  <c r="GW799" i="2"/>
  <c r="GX799" i="2"/>
  <c r="GZ799" i="2"/>
  <c r="HI799" i="2"/>
  <c r="HJ799" i="2"/>
  <c r="HL799" i="2"/>
  <c r="HU799" i="2"/>
  <c r="HV799" i="2"/>
  <c r="HX799" i="2"/>
  <c r="IA56" i="2"/>
  <c r="GQ792" i="2"/>
  <c r="HC792" i="2"/>
  <c r="GH797" i="2"/>
  <c r="CM56" i="2"/>
  <c r="DB797" i="2"/>
  <c r="DZ57" i="2"/>
  <c r="CP57" i="2"/>
  <c r="BF57" i="2"/>
  <c r="HR57" i="2"/>
  <c r="GE792" i="2"/>
  <c r="G792" i="2"/>
  <c r="CP797" i="2"/>
  <c r="HF797" i="2"/>
  <c r="DK56" i="2"/>
  <c r="FJ57" i="2"/>
  <c r="EL797" i="2"/>
  <c r="ID57" i="2"/>
  <c r="BR797" i="2"/>
  <c r="BO792" i="2"/>
  <c r="CA56" i="2"/>
  <c r="J57" i="2"/>
  <c r="DZ797" i="2"/>
  <c r="HO792" i="2"/>
  <c r="DW56" i="2"/>
  <c r="AH57" i="2"/>
  <c r="EU792" i="2"/>
  <c r="CY56" i="2"/>
  <c r="V797" i="2"/>
  <c r="G56" i="2"/>
  <c r="FG792" i="2"/>
  <c r="FV797" i="2"/>
  <c r="FS56" i="2"/>
  <c r="CD57" i="2"/>
  <c r="ID797" i="2"/>
  <c r="S792" i="2"/>
  <c r="EU56" i="2"/>
  <c r="DN57" i="2"/>
  <c r="AE792" i="2"/>
  <c r="DW792" i="2"/>
  <c r="FG56" i="2"/>
  <c r="AE56" i="2"/>
  <c r="AT57" i="2"/>
  <c r="BR57" i="2"/>
  <c r="EX797" i="2"/>
  <c r="BC56" i="2"/>
  <c r="S56" i="2"/>
  <c r="DB57" i="2"/>
  <c r="AQ56" i="2"/>
  <c r="CM792" i="2"/>
  <c r="EL57" i="2"/>
  <c r="GH57" i="2"/>
  <c r="BO56" i="2"/>
  <c r="CY792" i="2"/>
  <c r="AH797" i="2"/>
  <c r="V57" i="2"/>
  <c r="J797" i="2"/>
  <c r="BF797" i="2"/>
  <c r="IA792" i="2"/>
  <c r="CA792" i="2"/>
  <c r="EX57" i="2"/>
  <c r="GT797" i="2"/>
  <c r="AQ792" i="2"/>
  <c r="GQ56" i="2"/>
  <c r="HF57" i="2"/>
  <c r="GT57" i="2"/>
  <c r="HC56" i="2"/>
  <c r="FV57" i="2"/>
  <c r="EI56" i="2"/>
  <c r="FJ797" i="2"/>
  <c r="EI792" i="2"/>
  <c r="BC792" i="2"/>
  <c r="DN797" i="2"/>
  <c r="FS792" i="2"/>
  <c r="HR797" i="2"/>
  <c r="GE56" i="2"/>
  <c r="AT797" i="2"/>
  <c r="DK792" i="2"/>
  <c r="CD797" i="2"/>
  <c r="HO56" i="2"/>
  <c r="BY796" i="2"/>
  <c r="FV58" i="2"/>
  <c r="BA797" i="2"/>
  <c r="EI57" i="2"/>
  <c r="DN58" i="2"/>
  <c r="AE57" i="2"/>
  <c r="EG797" i="2"/>
  <c r="BC57" i="2"/>
  <c r="EX58" i="2"/>
  <c r="BY797" i="2"/>
  <c r="FS57" i="2"/>
  <c r="BA796" i="2"/>
  <c r="EL58" i="2"/>
  <c r="DK57" i="2"/>
  <c r="AH58" i="2"/>
  <c r="EG796" i="2"/>
  <c r="BF58" i="2"/>
  <c r="HR58" i="2"/>
  <c r="AO797" i="2"/>
  <c r="GT58" i="2"/>
  <c r="E796" i="2"/>
  <c r="DB58" i="2"/>
  <c r="HY796" i="2"/>
  <c r="DU797" i="2"/>
  <c r="FG57" i="2"/>
  <c r="CP58" i="2"/>
  <c r="GC796" i="2"/>
  <c r="EU57" i="2"/>
  <c r="Q796" i="2"/>
  <c r="GC797" i="2"/>
  <c r="AO796" i="2"/>
  <c r="GQ57" i="2"/>
  <c r="E797" i="2"/>
  <c r="CY57" i="2"/>
  <c r="HY797" i="2"/>
  <c r="DU796" i="2"/>
  <c r="FJ58" i="2"/>
  <c r="CM57" i="2"/>
  <c r="Q797" i="2"/>
  <c r="FE797" i="2"/>
  <c r="GH58" i="2"/>
  <c r="ID58" i="2"/>
  <c r="HM796" i="2"/>
  <c r="HF58" i="2"/>
  <c r="V58" i="2"/>
  <c r="ES796" i="2"/>
  <c r="CA57" i="2"/>
  <c r="G57" i="2"/>
  <c r="HA796" i="2"/>
  <c r="DW57" i="2"/>
  <c r="IA57" i="2"/>
  <c r="HO57" i="2"/>
  <c r="HM797" i="2"/>
  <c r="HC57" i="2"/>
  <c r="S57" i="2"/>
  <c r="ES797" i="2"/>
  <c r="CD58" i="2"/>
  <c r="J58" i="2"/>
  <c r="HA797" i="2"/>
  <c r="DZ58" i="2"/>
  <c r="FE796" i="2"/>
  <c r="AQ57" i="2"/>
  <c r="AT58" i="2"/>
  <c r="DI797" i="2"/>
  <c r="GO796" i="2"/>
  <c r="AC797" i="2"/>
  <c r="BR58" i="2"/>
  <c r="FQ796" i="2"/>
  <c r="BM796" i="2"/>
  <c r="CK796" i="2"/>
  <c r="CW796" i="2"/>
  <c r="GE57" i="2"/>
  <c r="DI796" i="2"/>
  <c r="GO797" i="2"/>
  <c r="AC796" i="2"/>
  <c r="BO57" i="2"/>
  <c r="FQ797" i="2"/>
  <c r="BM797" i="2"/>
  <c r="CK797" i="2"/>
  <c r="CW797" i="2"/>
  <c r="FV793" i="2"/>
  <c r="DN793" i="2"/>
  <c r="EX793" i="2"/>
  <c r="EL793" i="2"/>
  <c r="AH793" i="2"/>
  <c r="BF793" i="2"/>
  <c r="HR793" i="2"/>
  <c r="GT793" i="2"/>
  <c r="DB793" i="2"/>
  <c r="CP793" i="2"/>
  <c r="FJ793" i="2"/>
  <c r="GH793" i="2"/>
  <c r="ID793" i="2"/>
  <c r="HF793" i="2"/>
  <c r="V793" i="2"/>
  <c r="CD793" i="2"/>
  <c r="J793" i="2"/>
  <c r="DZ793" i="2"/>
  <c r="AT793" i="2"/>
  <c r="BR793" i="2"/>
  <c r="BJ794" i="2" l="1"/>
  <c r="BJ795" i="2"/>
  <c r="BJ796" i="2"/>
  <c r="AL796" i="2"/>
  <c r="AL793" i="2" s="1"/>
  <c r="AL795" i="2"/>
  <c r="AL794" i="2"/>
  <c r="AL792" i="2" s="1"/>
  <c r="AU789" i="2" s="1"/>
  <c r="DR795" i="2"/>
  <c r="DR794" i="2"/>
  <c r="DR796" i="2"/>
  <c r="B796" i="2"/>
  <c r="B794" i="2"/>
  <c r="B795" i="2"/>
  <c r="BV796" i="2"/>
  <c r="BV794" i="2"/>
  <c r="BV795" i="2"/>
  <c r="N794" i="2"/>
  <c r="N795" i="2"/>
  <c r="N796" i="2"/>
  <c r="GX795" i="2"/>
  <c r="GX796" i="2"/>
  <c r="GX794" i="2"/>
  <c r="HV794" i="2"/>
  <c r="HV795" i="2"/>
  <c r="HV796" i="2"/>
  <c r="FZ795" i="2"/>
  <c r="FZ794" i="2"/>
  <c r="FZ796" i="2"/>
  <c r="FB796" i="2"/>
  <c r="FB794" i="2"/>
  <c r="FB795" i="2"/>
  <c r="CH794" i="2"/>
  <c r="CH796" i="2"/>
  <c r="CH795" i="2"/>
  <c r="CT795" i="2"/>
  <c r="CT796" i="2"/>
  <c r="CT794" i="2"/>
  <c r="GL795" i="2"/>
  <c r="GL794" i="2"/>
  <c r="GL796" i="2"/>
  <c r="HJ794" i="2"/>
  <c r="HJ796" i="2"/>
  <c r="HJ795" i="2"/>
  <c r="AX796" i="2"/>
  <c r="AX795" i="2"/>
  <c r="AX794" i="2"/>
  <c r="Z796" i="2"/>
  <c r="Z795" i="2"/>
  <c r="Z794" i="2"/>
  <c r="ED796" i="2"/>
  <c r="ED794" i="2"/>
  <c r="ED795" i="2"/>
  <c r="EP796" i="2"/>
  <c r="EP795" i="2"/>
  <c r="EP794" i="2"/>
  <c r="DF796" i="2"/>
  <c r="DF795" i="2"/>
  <c r="DF794" i="2"/>
  <c r="FN794" i="2"/>
  <c r="FN795" i="2"/>
  <c r="FN796" i="2"/>
  <c r="BR794" i="2"/>
  <c r="S793" i="2"/>
  <c r="CM793" i="2"/>
  <c r="AH794" i="2"/>
  <c r="S58" i="2"/>
  <c r="IA58" i="2"/>
  <c r="GQ58" i="2"/>
  <c r="DK58" i="2"/>
  <c r="CA793" i="2"/>
  <c r="BO793" i="2"/>
  <c r="V794" i="2"/>
  <c r="CP794" i="2"/>
  <c r="AE793" i="2"/>
  <c r="G58" i="2"/>
  <c r="FG58" i="2"/>
  <c r="CM58" i="2"/>
  <c r="AQ793" i="2"/>
  <c r="HC793" i="2"/>
  <c r="DB794" i="2"/>
  <c r="EI793" i="2"/>
  <c r="AQ58" i="2"/>
  <c r="FG793" i="2"/>
  <c r="AT794" i="2"/>
  <c r="HF794" i="2"/>
  <c r="CY793" i="2"/>
  <c r="EL794" i="2"/>
  <c r="CA58" i="2"/>
  <c r="HO58" i="2"/>
  <c r="AE58" i="2"/>
  <c r="EU58" i="2"/>
  <c r="GE58" i="2"/>
  <c r="FV794" i="2"/>
  <c r="BF794" i="2"/>
  <c r="DW793" i="2"/>
  <c r="IA793" i="2"/>
  <c r="GT794" i="2"/>
  <c r="EU793" i="2"/>
  <c r="CY58" i="2"/>
  <c r="HC58" i="2"/>
  <c r="DW58" i="2"/>
  <c r="FJ794" i="2"/>
  <c r="DZ794" i="2"/>
  <c r="ID794" i="2"/>
  <c r="GQ793" i="2"/>
  <c r="EX794" i="2"/>
  <c r="BC58" i="2"/>
  <c r="EI58" i="2"/>
  <c r="FS58" i="2"/>
  <c r="BC793" i="2"/>
  <c r="CD794" i="2"/>
  <c r="J794" i="2"/>
  <c r="GE793" i="2"/>
  <c r="HO793" i="2"/>
  <c r="DN794" i="2"/>
  <c r="G793" i="2"/>
  <c r="GH794" i="2"/>
  <c r="HR794" i="2"/>
  <c r="DK793" i="2"/>
  <c r="BO58" i="2"/>
  <c r="FS793" i="2"/>
  <c r="BM792" i="2" l="1"/>
  <c r="BM794" i="2" s="1"/>
  <c r="BM57" i="2"/>
  <c r="FQ792" i="2"/>
  <c r="FQ794" i="2" s="1"/>
  <c r="FQ57" i="2"/>
  <c r="EG57" i="2"/>
  <c r="EG792" i="2"/>
  <c r="EG794" i="2" s="1"/>
  <c r="BA792" i="2"/>
  <c r="BA794" i="2" s="1"/>
  <c r="BA57" i="2"/>
  <c r="DU57" i="2"/>
  <c r="DU792" i="2"/>
  <c r="DU794" i="2" s="1"/>
  <c r="HA792" i="2"/>
  <c r="HA794" i="2" s="1"/>
  <c r="HA57" i="2"/>
  <c r="CW57" i="2"/>
  <c r="CW792" i="2"/>
  <c r="CW794" i="2" s="1"/>
  <c r="GC57" i="2"/>
  <c r="GC792" i="2"/>
  <c r="GC794" i="2" s="1"/>
  <c r="ES57" i="2"/>
  <c r="ES792" i="2"/>
  <c r="ES794" i="2" s="1"/>
  <c r="AC792" i="2"/>
  <c r="AC794" i="2" s="1"/>
  <c r="AC57" i="2"/>
  <c r="HM57" i="2"/>
  <c r="HM792" i="2"/>
  <c r="HM794" i="2" s="1"/>
  <c r="BY792" i="2"/>
  <c r="BY794" i="2" s="1"/>
  <c r="BY57" i="2"/>
  <c r="AO792" i="2"/>
  <c r="AO794" i="2" s="1"/>
  <c r="AO57" i="2"/>
  <c r="CK792" i="2"/>
  <c r="CK794" i="2" s="1"/>
  <c r="CK57" i="2"/>
  <c r="FE57" i="2"/>
  <c r="FE792" i="2"/>
  <c r="FE794" i="2" s="1"/>
  <c r="E792" i="2"/>
  <c r="E794" i="2" s="1"/>
  <c r="E57" i="2"/>
  <c r="DI57" i="2"/>
  <c r="DI792" i="2"/>
  <c r="DI794" i="2" s="1"/>
  <c r="GO792" i="2"/>
  <c r="GO794" i="2" s="1"/>
  <c r="GO57" i="2"/>
  <c r="HY792" i="2"/>
  <c r="HY794" i="2" s="1"/>
  <c r="HY57" i="2"/>
  <c r="Q57" i="2"/>
  <c r="Q792" i="2"/>
  <c r="Q794" i="2" s="1"/>
  <c r="CH792" i="2"/>
  <c r="CQ789" i="2" s="1"/>
  <c r="CH793" i="2"/>
  <c r="CT793" i="2"/>
  <c r="CT792" i="2"/>
  <c r="DC789" i="2" s="1"/>
  <c r="GX793" i="2"/>
  <c r="GX792" i="2"/>
  <c r="HG789" i="2" s="1"/>
  <c r="B793" i="2"/>
  <c r="B792" i="2"/>
  <c r="K789" i="2" s="1"/>
  <c r="DR793" i="2"/>
  <c r="DR792" i="2"/>
  <c r="EA789" i="2" s="1"/>
  <c r="AX792" i="2"/>
  <c r="BG789" i="2" s="1"/>
  <c r="AX793" i="2"/>
  <c r="HV792" i="2"/>
  <c r="IE789" i="2" s="1"/>
  <c r="HV793" i="2"/>
  <c r="EP793" i="2"/>
  <c r="EP792" i="2"/>
  <c r="EY789" i="2" s="1"/>
  <c r="BV792" i="2"/>
  <c r="CE789" i="2" s="1"/>
  <c r="BV793" i="2"/>
  <c r="BJ793" i="2"/>
  <c r="BJ792" i="2"/>
  <c r="BS789" i="2" s="1"/>
  <c r="GL792" i="2"/>
  <c r="GU789" i="2" s="1"/>
  <c r="GL793" i="2"/>
  <c r="DF792" i="2"/>
  <c r="DO789" i="2" s="1"/>
  <c r="DF793" i="2"/>
  <c r="FZ792" i="2"/>
  <c r="GI789" i="2" s="1"/>
  <c r="FZ793" i="2"/>
  <c r="FB793" i="2"/>
  <c r="FB792" i="2"/>
  <c r="FK789" i="2" s="1"/>
  <c r="Z793" i="2"/>
  <c r="Z792" i="2"/>
  <c r="AI789" i="2" s="1"/>
  <c r="HJ792" i="2"/>
  <c r="HS789" i="2" s="1"/>
  <c r="HJ793" i="2"/>
  <c r="ED793" i="2"/>
  <c r="ED792" i="2"/>
  <c r="EM789" i="2" s="1"/>
  <c r="FN792" i="2"/>
  <c r="FW789" i="2" s="1"/>
  <c r="FN793" i="2"/>
  <c r="N792" i="2"/>
  <c r="W789" i="2" s="1"/>
  <c r="N793" i="2"/>
  <c r="DN795" i="2"/>
  <c r="DW794" i="2"/>
  <c r="GT795" i="2"/>
  <c r="CY794" i="2"/>
  <c r="CM794" i="2"/>
  <c r="GH795" i="2"/>
  <c r="FJ795" i="2"/>
  <c r="GQ794" i="2"/>
  <c r="HC794" i="2"/>
  <c r="CP795" i="2"/>
  <c r="V795" i="2"/>
  <c r="AT795" i="2"/>
  <c r="DK794" i="2"/>
  <c r="FG794" i="2"/>
  <c r="HF795" i="2"/>
  <c r="S794" i="2"/>
  <c r="AE794" i="2"/>
  <c r="EI794" i="2"/>
  <c r="G794" i="2"/>
  <c r="AQ794" i="2"/>
  <c r="FS794" i="2"/>
  <c r="DZ795" i="2"/>
  <c r="BR795" i="2"/>
  <c r="HR795" i="2"/>
  <c r="J795" i="2"/>
  <c r="EU794" i="2"/>
  <c r="BC794" i="2"/>
  <c r="AH795" i="2"/>
  <c r="CA794" i="2"/>
  <c r="HO794" i="2"/>
  <c r="CD795" i="2"/>
  <c r="EX795" i="2"/>
  <c r="BF795" i="2"/>
  <c r="DB795" i="2"/>
  <c r="GE794" i="2"/>
  <c r="IA794" i="2"/>
  <c r="FV795" i="2"/>
  <c r="ID795" i="2"/>
  <c r="EL795" i="2"/>
  <c r="BO794" i="2"/>
  <c r="CY795" i="2"/>
  <c r="AH796" i="2"/>
  <c r="DZ796" i="2"/>
  <c r="FJ796" i="2"/>
  <c r="EU795" i="2"/>
  <c r="S795" i="2"/>
  <c r="EX796" i="2"/>
  <c r="G795" i="2"/>
  <c r="FS795" i="2"/>
  <c r="CP796" i="2"/>
  <c r="FV796" i="2"/>
  <c r="HR796" i="2"/>
  <c r="GT796" i="2"/>
  <c r="HC795" i="2"/>
  <c r="EL796" i="2"/>
  <c r="BC795" i="2"/>
  <c r="AT796" i="2"/>
  <c r="GH796" i="2"/>
  <c r="J796" i="2"/>
  <c r="IA795" i="2"/>
  <c r="HO795" i="2"/>
  <c r="GQ795" i="2"/>
  <c r="CD796" i="2"/>
  <c r="BO795" i="2"/>
  <c r="EI795" i="2"/>
  <c r="BF796" i="2"/>
  <c r="AQ795" i="2"/>
  <c r="GE795" i="2"/>
  <c r="ID796" i="2"/>
  <c r="V796" i="2"/>
  <c r="CA795" i="2"/>
  <c r="BR796" i="2"/>
  <c r="HF796" i="2"/>
  <c r="DK795" i="2"/>
  <c r="DB796" i="2"/>
  <c r="AE795" i="2"/>
  <c r="DW795" i="2"/>
  <c r="FG795" i="2"/>
  <c r="DN796" i="2"/>
  <c r="CM795" i="2"/>
  <c r="S796" i="2"/>
  <c r="CM796" i="2"/>
  <c r="BC796" i="2"/>
  <c r="CY796" i="2"/>
  <c r="FG796" i="2"/>
  <c r="CA796" i="2"/>
  <c r="GQ796" i="2"/>
  <c r="DK796" i="2"/>
  <c r="IA796" i="2"/>
  <c r="G796" i="2"/>
  <c r="EI796" i="2"/>
  <c r="HC796" i="2"/>
  <c r="DW796" i="2"/>
  <c r="GE796" i="2"/>
  <c r="AQ796" i="2"/>
  <c r="EU796" i="2"/>
  <c r="BO796" i="2"/>
  <c r="HO796" i="2"/>
  <c r="AE796" i="2"/>
  <c r="FS796" i="2"/>
  <c r="FQ795" i="2" l="1"/>
  <c r="AC795" i="2"/>
  <c r="HM795" i="2"/>
  <c r="BM795" i="2"/>
  <c r="ES795" i="2"/>
  <c r="AO795" i="2"/>
  <c r="GC795" i="2"/>
  <c r="DU795" i="2"/>
  <c r="HA795" i="2"/>
  <c r="EG795" i="2"/>
  <c r="E795" i="2"/>
  <c r="HY795" i="2"/>
  <c r="DI795" i="2"/>
  <c r="GO795" i="2"/>
  <c r="BY795" i="2"/>
  <c r="FE795" i="2"/>
  <c r="CW795" i="2"/>
  <c r="BA795" i="2"/>
  <c r="CK795" i="2"/>
  <c r="Q795" i="2"/>
</calcChain>
</file>

<file path=xl/sharedStrings.xml><?xml version="1.0" encoding="utf-8"?>
<sst xmlns="http://schemas.openxmlformats.org/spreadsheetml/2006/main" count="3041" uniqueCount="55">
  <si>
    <t>H/A</t>
  </si>
  <si>
    <t>Next</t>
  </si>
  <si>
    <t>L</t>
  </si>
  <si>
    <t>Form</t>
  </si>
  <si>
    <t>D</t>
  </si>
  <si>
    <t>GD</t>
  </si>
  <si>
    <t>W</t>
  </si>
  <si>
    <t>GF</t>
  </si>
  <si>
    <t>MP</t>
  </si>
  <si>
    <t>GA</t>
  </si>
  <si>
    <t>Pts</t>
  </si>
  <si>
    <t>Rank</t>
  </si>
  <si>
    <t>Fixture Time Updated On:</t>
  </si>
  <si>
    <t>©2022 excel4soccer.com</t>
  </si>
  <si>
    <t>GF_A</t>
  </si>
  <si>
    <t>Total Pts</t>
  </si>
  <si>
    <t>A</t>
  </si>
  <si>
    <t>Liverpool</t>
  </si>
  <si>
    <t>Sun</t>
  </si>
  <si>
    <t>Man City</t>
  </si>
  <si>
    <t>Sheffield Utd</t>
  </si>
  <si>
    <t>H</t>
  </si>
  <si>
    <t>Spurs</t>
  </si>
  <si>
    <t>Burnley</t>
  </si>
  <si>
    <t>Brentford</t>
  </si>
  <si>
    <t>Brighton</t>
  </si>
  <si>
    <t>West Ham</t>
  </si>
  <si>
    <t>Fulham</t>
  </si>
  <si>
    <t>Wolves</t>
  </si>
  <si>
    <t>Luton</t>
  </si>
  <si>
    <t>Arsenal</t>
  </si>
  <si>
    <t>Aston Villa</t>
  </si>
  <si>
    <t>Bournemouth</t>
  </si>
  <si>
    <t>Nott'm Forest</t>
  </si>
  <si>
    <t>Man Utd</t>
  </si>
  <si>
    <t>Newcastle</t>
  </si>
  <si>
    <t>Chelsea</t>
  </si>
  <si>
    <t>Crystal Palace</t>
  </si>
  <si>
    <t>Everton</t>
  </si>
  <si>
    <t>Sat</t>
  </si>
  <si>
    <t>Tue</t>
  </si>
  <si>
    <t>Wed</t>
  </si>
  <si>
    <t>Mon</t>
  </si>
  <si>
    <t>Fri</t>
  </si>
  <si>
    <t>May</t>
  </si>
  <si>
    <t>Thu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</si>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</sst>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\ h:mm\ AM/PM"/>
    <numFmt numFmtId="165" formatCode="hh:mm"/>
  </numFmts>
  <fonts count="12" x14ac:knownFonts="1">
    <font>
      <sz val="12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20"/>
      <name val="Arial"/>
      <family val="2"/>
      <scheme val="minor"/>
    </font>
    <font>
      <b/>
      <sz val="20"/>
      <name val="Arial"/>
      <family val="2"/>
      <scheme val="minor"/>
    </font>
    <font>
      <sz val="20"/>
      <color rgb="FF0C0C0C"/>
      <name val="Arial"/>
      <family val="2"/>
      <scheme val="minor"/>
    </font>
    <font>
      <sz val="20"/>
      <color rgb="FFFCFCFC"/>
      <name val="Arial"/>
      <family val="2"/>
      <scheme val="minor"/>
    </font>
    <font>
      <b/>
      <sz val="20"/>
      <color rgb="FF0C0C0C"/>
      <name val="Arial"/>
      <family val="2"/>
      <scheme val="minor"/>
    </font>
    <font>
      <b/>
      <sz val="20"/>
      <color rgb="FFFCFCFC"/>
      <name val="Arial"/>
      <family val="2"/>
      <scheme val="minor"/>
    </font>
    <font>
      <sz val="20"/>
      <color rgb="FFFCCF60"/>
      <name val="Arial"/>
      <family val="2"/>
      <scheme val="minor"/>
    </font>
    <font>
      <sz val="20"/>
      <color rgb="FFF19DA3"/>
      <name val="Arial"/>
      <family val="2"/>
      <scheme val="minor"/>
    </font>
    <font>
      <b/>
      <sz val="36"/>
      <color rgb="FF0C0C0C"/>
      <name val="Arial"/>
      <family val="2"/>
      <scheme val="minor"/>
    </font>
    <font>
      <b/>
      <sz val="36"/>
      <color rgb="FFFCFCFC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CCF60"/>
        <bgColor indexed="64"/>
      </patternFill>
    </fill>
    <fill>
      <patternFill patternType="solid">
        <fgColor rgb="FFD77F94"/>
        <bgColor indexed="64"/>
      </patternFill>
    </fill>
    <fill>
      <patternFill patternType="solid">
        <fgColor rgb="FF98AFE8"/>
        <bgColor indexed="64"/>
      </patternFill>
    </fill>
    <fill>
      <patternFill patternType="solid">
        <fgColor rgb="FFC1201A"/>
        <bgColor indexed="64"/>
      </patternFill>
    </fill>
    <fill>
      <patternFill patternType="solid">
        <fgColor rgb="FFDE3743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197A1"/>
        <bgColor indexed="64"/>
      </patternFill>
    </fill>
    <fill>
      <patternFill patternType="solid">
        <fgColor rgb="FFB8D7EE"/>
        <bgColor indexed="64"/>
      </patternFill>
    </fill>
    <fill>
      <patternFill patternType="solid">
        <fgColor rgb="FFF37821"/>
        <bgColor indexed="64"/>
      </patternFill>
    </fill>
    <fill>
      <patternFill patternType="solid">
        <fgColor rgb="FFF19DA3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AAC7FC"/>
        <bgColor indexed="64"/>
      </patternFill>
    </fill>
    <fill>
      <patternFill patternType="solid">
        <fgColor rgb="FF1B458F"/>
        <bgColor indexed="64"/>
      </patternFill>
    </fill>
    <fill>
      <patternFill patternType="solid">
        <fgColor rgb="FF8DC0FD"/>
        <bgColor indexed="64"/>
      </patternFill>
    </fill>
    <fill>
      <patternFill patternType="solid">
        <fgColor rgb="FFE49EBD"/>
        <bgColor indexed="64"/>
      </patternFill>
    </fill>
    <fill>
      <patternFill patternType="solid">
        <fgColor rgb="FFB0D5FA"/>
        <bgColor indexed="64"/>
      </patternFill>
    </fill>
    <fill>
      <patternFill patternType="solid">
        <fgColor rgb="FFD46F72"/>
        <bgColor indexed="64"/>
      </patternFill>
    </fill>
    <fill>
      <patternFill patternType="solid">
        <fgColor rgb="FFF0949B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AA4AA"/>
        <bgColor indexed="64"/>
      </patternFill>
    </fill>
    <fill>
      <patternFill patternType="solid">
        <fgColor rgb="FFFBBB1D"/>
        <bgColor indexed="64"/>
      </patternFill>
    </fill>
    <fill>
      <patternFill patternType="solid">
        <fgColor rgb="FF7A263A"/>
        <bgColor indexed="64"/>
      </patternFill>
    </fill>
    <fill>
      <patternFill patternType="solid">
        <fgColor rgb="FF11214B"/>
        <bgColor indexed="64"/>
      </patternFill>
    </fill>
    <fill>
      <patternFill patternType="solid">
        <fgColor rgb="FFB10700"/>
        <bgColor indexed="64"/>
      </patternFill>
    </fill>
    <fill>
      <patternFill patternType="solid">
        <fgColor rgb="FFC70E2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C1F29"/>
        <bgColor indexed="64"/>
      </patternFill>
    </fill>
    <fill>
      <patternFill patternType="solid">
        <fgColor rgb="FF99C5E7"/>
        <bgColor indexed="64"/>
      </patternFill>
    </fill>
    <fill>
      <patternFill patternType="solid">
        <fgColor rgb="FFAA510B"/>
        <bgColor indexed="64"/>
      </patternFill>
    </fill>
    <fill>
      <patternFill patternType="solid">
        <fgColor rgb="FFE0202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063A99"/>
        <bgColor indexed="64"/>
      </patternFill>
    </fill>
    <fill>
      <patternFill patternType="solid">
        <fgColor rgb="FFC7D9F5"/>
        <bgColor indexed="64"/>
      </patternFill>
    </fill>
    <fill>
      <patternFill patternType="solid">
        <fgColor rgb="FF034694"/>
        <bgColor indexed="64"/>
      </patternFill>
    </fill>
    <fill>
      <patternFill patternType="solid">
        <fgColor rgb="FF80234C"/>
        <bgColor indexed="64"/>
      </patternFill>
    </fill>
    <fill>
      <patternFill patternType="solid">
        <fgColor rgb="FF0A56A3"/>
        <bgColor indexed="64"/>
      </patternFill>
    </fill>
    <fill>
      <patternFill patternType="solid">
        <fgColor rgb="FFC61D22"/>
        <bgColor indexed="64"/>
      </patternFill>
    </fill>
    <fill>
      <patternFill patternType="solid">
        <fgColor rgb="FFD41E2A"/>
        <bgColor indexed="64"/>
      </patternFill>
    </fill>
    <fill>
      <patternFill patternType="solid">
        <fgColor rgb="FF3E001F"/>
        <bgColor indexed="64"/>
      </patternFill>
    </fill>
    <fill>
      <patternFill patternType="solid">
        <fgColor rgb="FFEC0C1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164" fontId="2" fillId="0" borderId="0" xfId="1" applyNumberFormat="1" applyFont="1" applyAlignment="1">
      <alignment horizontal="left"/>
    </xf>
    <xf numFmtId="0" fontId="3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0" fontId="4" fillId="2" borderId="0" xfId="1" applyFont="1" applyFill="1" applyAlignment="1">
      <alignment horizontal="left"/>
    </xf>
    <xf numFmtId="0" fontId="4" fillId="3" borderId="0" xfId="1" applyFont="1" applyFill="1"/>
    <xf numFmtId="0" fontId="4" fillId="3" borderId="0" xfId="1" applyFont="1" applyFill="1" applyAlignment="1">
      <alignment horizontal="right"/>
    </xf>
    <xf numFmtId="0" fontId="4" fillId="3" borderId="0" xfId="1" applyFont="1" applyFill="1" applyAlignment="1">
      <alignment horizontal="left"/>
    </xf>
    <xf numFmtId="0" fontId="4" fillId="4" borderId="0" xfId="1" applyFont="1" applyFill="1"/>
    <xf numFmtId="0" fontId="4" fillId="4" borderId="0" xfId="1" applyFont="1" applyFill="1" applyAlignment="1">
      <alignment horizontal="right"/>
    </xf>
    <xf numFmtId="0" fontId="4" fillId="4" borderId="0" xfId="1" applyFont="1" applyFill="1" applyAlignment="1">
      <alignment horizontal="left"/>
    </xf>
    <xf numFmtId="0" fontId="5" fillId="5" borderId="0" xfId="1" applyFont="1" applyFill="1"/>
    <xf numFmtId="0" fontId="5" fillId="5" borderId="0" xfId="1" applyFont="1" applyFill="1" applyAlignment="1">
      <alignment horizontal="right"/>
    </xf>
    <xf numFmtId="0" fontId="5" fillId="5" borderId="0" xfId="1" applyFont="1" applyFill="1" applyAlignment="1">
      <alignment horizontal="left"/>
    </xf>
    <xf numFmtId="0" fontId="5" fillId="6" borderId="0" xfId="1" applyFont="1" applyFill="1"/>
    <xf numFmtId="0" fontId="5" fillId="6" borderId="0" xfId="1" applyFont="1" applyFill="1" applyAlignment="1">
      <alignment horizontal="right"/>
    </xf>
    <xf numFmtId="0" fontId="5" fillId="6" borderId="0" xfId="1" applyFont="1" applyFill="1" applyAlignment="1">
      <alignment horizontal="left"/>
    </xf>
    <xf numFmtId="0" fontId="4" fillId="7" borderId="0" xfId="1" applyFont="1" applyFill="1"/>
    <xf numFmtId="0" fontId="4" fillId="7" borderId="0" xfId="1" applyFont="1" applyFill="1" applyAlignment="1">
      <alignment horizontal="right"/>
    </xf>
    <xf numFmtId="0" fontId="4" fillId="7" borderId="0" xfId="1" applyFont="1" applyFill="1" applyAlignment="1">
      <alignment horizontal="left"/>
    </xf>
    <xf numFmtId="0" fontId="4" fillId="8" borderId="0" xfId="1" applyFont="1" applyFill="1"/>
    <xf numFmtId="0" fontId="4" fillId="8" borderId="0" xfId="1" applyFont="1" applyFill="1" applyAlignment="1">
      <alignment horizontal="right"/>
    </xf>
    <xf numFmtId="0" fontId="4" fillId="8" borderId="0" xfId="1" applyFont="1" applyFill="1" applyAlignment="1">
      <alignment horizontal="left"/>
    </xf>
    <xf numFmtId="0" fontId="4" fillId="9" borderId="0" xfId="1" applyFont="1" applyFill="1"/>
    <xf numFmtId="0" fontId="4" fillId="9" borderId="0" xfId="1" applyFont="1" applyFill="1" applyAlignment="1">
      <alignment horizontal="right"/>
    </xf>
    <xf numFmtId="0" fontId="4" fillId="9" borderId="0" xfId="1" applyFont="1" applyFill="1" applyAlignment="1">
      <alignment horizontal="left"/>
    </xf>
    <xf numFmtId="0" fontId="5" fillId="10" borderId="0" xfId="1" applyFont="1" applyFill="1"/>
    <xf numFmtId="0" fontId="5" fillId="10" borderId="0" xfId="1" applyFont="1" applyFill="1" applyAlignment="1">
      <alignment horizontal="right"/>
    </xf>
    <xf numFmtId="0" fontId="5" fillId="10" borderId="0" xfId="1" applyFont="1" applyFill="1" applyAlignment="1">
      <alignment horizontal="left"/>
    </xf>
    <xf numFmtId="0" fontId="4" fillId="11" borderId="0" xfId="1" applyFont="1" applyFill="1"/>
    <xf numFmtId="0" fontId="4" fillId="11" borderId="0" xfId="1" applyFont="1" applyFill="1" applyAlignment="1">
      <alignment horizontal="right"/>
    </xf>
    <xf numFmtId="0" fontId="4" fillId="11" borderId="0" xfId="1" applyFont="1" applyFill="1" applyAlignment="1">
      <alignment horizontal="left"/>
    </xf>
    <xf numFmtId="0" fontId="4" fillId="12" borderId="0" xfId="1" applyFont="1" applyFill="1"/>
    <xf numFmtId="0" fontId="4" fillId="12" borderId="0" xfId="1" applyFont="1" applyFill="1" applyAlignment="1">
      <alignment horizontal="right"/>
    </xf>
    <xf numFmtId="0" fontId="4" fillId="12" borderId="0" xfId="1" applyFont="1" applyFill="1" applyAlignment="1">
      <alignment horizontal="left"/>
    </xf>
    <xf numFmtId="0" fontId="4" fillId="13" borderId="0" xfId="1" applyFont="1" applyFill="1"/>
    <xf numFmtId="0" fontId="4" fillId="13" borderId="0" xfId="1" applyFont="1" applyFill="1" applyAlignment="1">
      <alignment horizontal="right"/>
    </xf>
    <xf numFmtId="0" fontId="4" fillId="13" borderId="0" xfId="1" applyFont="1" applyFill="1" applyAlignment="1">
      <alignment horizontal="left"/>
    </xf>
    <xf numFmtId="0" fontId="5" fillId="14" borderId="0" xfId="1" applyFont="1" applyFill="1"/>
    <xf numFmtId="0" fontId="5" fillId="14" borderId="0" xfId="1" applyFont="1" applyFill="1" applyAlignment="1">
      <alignment horizontal="right"/>
    </xf>
    <xf numFmtId="0" fontId="5" fillId="14" borderId="0" xfId="1" applyFont="1" applyFill="1" applyAlignment="1">
      <alignment horizontal="left"/>
    </xf>
    <xf numFmtId="0" fontId="4" fillId="15" borderId="0" xfId="1" applyFont="1" applyFill="1"/>
    <xf numFmtId="0" fontId="4" fillId="15" borderId="0" xfId="1" applyFont="1" applyFill="1" applyAlignment="1">
      <alignment horizontal="right"/>
    </xf>
    <xf numFmtId="0" fontId="4" fillId="15" borderId="0" xfId="1" applyFont="1" applyFill="1" applyAlignment="1">
      <alignment horizontal="left"/>
    </xf>
    <xf numFmtId="0" fontId="4" fillId="16" borderId="0" xfId="1" applyFont="1" applyFill="1"/>
    <xf numFmtId="0" fontId="4" fillId="16" borderId="0" xfId="1" applyFont="1" applyFill="1" applyAlignment="1">
      <alignment horizontal="right"/>
    </xf>
    <xf numFmtId="0" fontId="4" fillId="16" borderId="0" xfId="1" applyFont="1" applyFill="1" applyAlignment="1">
      <alignment horizontal="left"/>
    </xf>
    <xf numFmtId="0" fontId="4" fillId="17" borderId="0" xfId="1" applyFont="1" applyFill="1"/>
    <xf numFmtId="0" fontId="4" fillId="17" borderId="0" xfId="1" applyFont="1" applyFill="1" applyAlignment="1">
      <alignment horizontal="right"/>
    </xf>
    <xf numFmtId="0" fontId="4" fillId="17" borderId="0" xfId="1" applyFont="1" applyFill="1" applyAlignment="1">
      <alignment horizontal="left"/>
    </xf>
    <xf numFmtId="0" fontId="4" fillId="18" borderId="0" xfId="1" applyFont="1" applyFill="1"/>
    <xf numFmtId="0" fontId="4" fillId="18" borderId="0" xfId="1" applyFont="1" applyFill="1" applyAlignment="1">
      <alignment horizontal="right"/>
    </xf>
    <xf numFmtId="0" fontId="4" fillId="18" borderId="0" xfId="1" applyFont="1" applyFill="1" applyAlignment="1">
      <alignment horizontal="left"/>
    </xf>
    <xf numFmtId="0" fontId="4" fillId="19" borderId="0" xfId="1" applyFont="1" applyFill="1"/>
    <xf numFmtId="0" fontId="4" fillId="19" borderId="0" xfId="1" applyFont="1" applyFill="1" applyAlignment="1">
      <alignment horizontal="right"/>
    </xf>
    <xf numFmtId="0" fontId="4" fillId="19" borderId="0" xfId="1" applyFont="1" applyFill="1" applyAlignment="1">
      <alignment horizontal="left"/>
    </xf>
    <xf numFmtId="0" fontId="5" fillId="20" borderId="0" xfId="1" applyFont="1" applyFill="1"/>
    <xf numFmtId="0" fontId="5" fillId="20" borderId="0" xfId="1" applyFont="1" applyFill="1" applyAlignment="1">
      <alignment horizontal="right"/>
    </xf>
    <xf numFmtId="0" fontId="5" fillId="20" borderId="0" xfId="1" applyFont="1" applyFill="1" applyAlignment="1">
      <alignment horizontal="left"/>
    </xf>
    <xf numFmtId="165" fontId="5" fillId="20" borderId="0" xfId="1" applyNumberFormat="1" applyFont="1" applyFill="1"/>
    <xf numFmtId="0" fontId="4" fillId="21" borderId="0" xfId="1" applyFont="1" applyFill="1"/>
    <xf numFmtId="0" fontId="4" fillId="21" borderId="0" xfId="1" applyFont="1" applyFill="1" applyAlignment="1">
      <alignment horizontal="right"/>
    </xf>
    <xf numFmtId="0" fontId="4" fillId="21" borderId="0" xfId="1" applyFont="1" applyFill="1" applyAlignment="1">
      <alignment horizontal="left"/>
    </xf>
    <xf numFmtId="0" fontId="6" fillId="2" borderId="0" xfId="1" applyFont="1" applyFill="1"/>
    <xf numFmtId="0" fontId="6" fillId="3" borderId="0" xfId="1" applyFont="1" applyFill="1"/>
    <xf numFmtId="0" fontId="6" fillId="4" borderId="0" xfId="1" applyFont="1" applyFill="1"/>
    <xf numFmtId="0" fontId="7" fillId="5" borderId="0" xfId="1" applyFont="1" applyFill="1" applyAlignment="1">
      <alignment horizontal="left"/>
    </xf>
    <xf numFmtId="0" fontId="7" fillId="6" borderId="0" xfId="1" applyFont="1" applyFill="1"/>
    <xf numFmtId="0" fontId="6" fillId="7" borderId="0" xfId="1" applyFont="1" applyFill="1"/>
    <xf numFmtId="0" fontId="6" fillId="8" borderId="0" xfId="1" applyFont="1" applyFill="1" applyAlignment="1">
      <alignment horizontal="left"/>
    </xf>
    <xf numFmtId="0" fontId="6" fillId="9" borderId="0" xfId="1" applyFont="1" applyFill="1"/>
    <xf numFmtId="0" fontId="7" fillId="10" borderId="0" xfId="1" applyFont="1" applyFill="1"/>
    <xf numFmtId="0" fontId="6" fillId="11" borderId="0" xfId="1" applyFont="1" applyFill="1" applyAlignment="1">
      <alignment horizontal="left"/>
    </xf>
    <xf numFmtId="0" fontId="6" fillId="12" borderId="0" xfId="1" applyFont="1" applyFill="1" applyAlignment="1">
      <alignment horizontal="left"/>
    </xf>
    <xf numFmtId="0" fontId="6" fillId="13" borderId="0" xfId="1" applyFont="1" applyFill="1"/>
    <xf numFmtId="0" fontId="7" fillId="14" borderId="0" xfId="1" applyFont="1" applyFill="1" applyAlignment="1">
      <alignment horizontal="left"/>
    </xf>
    <xf numFmtId="0" fontId="6" fillId="15" borderId="0" xfId="1" applyFont="1" applyFill="1" applyAlignment="1">
      <alignment horizontal="left"/>
    </xf>
    <xf numFmtId="0" fontId="6" fillId="16" borderId="0" xfId="1" applyFont="1" applyFill="1" applyAlignment="1">
      <alignment horizontal="left"/>
    </xf>
    <xf numFmtId="0" fontId="6" fillId="17" borderId="0" xfId="1" applyFont="1" applyFill="1"/>
    <xf numFmtId="0" fontId="6" fillId="18" borderId="0" xfId="1" applyFont="1" applyFill="1" applyAlignment="1">
      <alignment horizontal="left"/>
    </xf>
    <xf numFmtId="0" fontId="6" fillId="19" borderId="0" xfId="1" applyFont="1" applyFill="1"/>
    <xf numFmtId="0" fontId="7" fillId="20" borderId="0" xfId="1" applyFont="1" applyFill="1" applyAlignment="1">
      <alignment horizontal="left"/>
    </xf>
    <xf numFmtId="0" fontId="4" fillId="21" borderId="0" xfId="1" applyFont="1" applyFill="1" applyAlignment="1">
      <alignment horizontal="right" indent="1"/>
    </xf>
    <xf numFmtId="0" fontId="6" fillId="21" borderId="0" xfId="1" applyFont="1" applyFill="1"/>
    <xf numFmtId="0" fontId="6" fillId="21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3" borderId="0" xfId="1" applyFont="1" applyFill="1" applyAlignment="1">
      <alignment horizontal="left"/>
    </xf>
    <xf numFmtId="0" fontId="6" fillId="4" borderId="0" xfId="1" applyFont="1" applyFill="1" applyAlignment="1">
      <alignment horizontal="left"/>
    </xf>
    <xf numFmtId="0" fontId="7" fillId="5" borderId="0" xfId="1" applyFont="1" applyFill="1"/>
    <xf numFmtId="0" fontId="7" fillId="6" borderId="0" xfId="1" applyFont="1" applyFill="1" applyAlignment="1">
      <alignment horizontal="left"/>
    </xf>
    <xf numFmtId="0" fontId="6" fillId="7" borderId="0" xfId="1" applyFont="1" applyFill="1" applyAlignment="1">
      <alignment horizontal="left"/>
    </xf>
    <xf numFmtId="0" fontId="6" fillId="8" borderId="0" xfId="1" applyFont="1" applyFill="1"/>
    <xf numFmtId="0" fontId="6" fillId="9" borderId="0" xfId="1" applyFont="1" applyFill="1" applyAlignment="1">
      <alignment horizontal="left"/>
    </xf>
    <xf numFmtId="0" fontId="7" fillId="10" borderId="0" xfId="1" applyFont="1" applyFill="1" applyAlignment="1">
      <alignment horizontal="left"/>
    </xf>
    <xf numFmtId="0" fontId="6" fillId="11" borderId="0" xfId="1" applyFont="1" applyFill="1"/>
    <xf numFmtId="0" fontId="6" fillId="12" borderId="0" xfId="1" applyFont="1" applyFill="1"/>
    <xf numFmtId="0" fontId="6" fillId="13" borderId="0" xfId="1" applyFont="1" applyFill="1" applyAlignment="1">
      <alignment horizontal="left"/>
    </xf>
    <xf numFmtId="0" fontId="7" fillId="14" borderId="0" xfId="1" applyFont="1" applyFill="1"/>
    <xf numFmtId="0" fontId="6" fillId="15" borderId="0" xfId="1" applyFont="1" applyFill="1"/>
    <xf numFmtId="0" fontId="6" fillId="16" borderId="0" xfId="1" applyFont="1" applyFill="1"/>
    <xf numFmtId="0" fontId="6" fillId="17" borderId="0" xfId="1" applyFont="1" applyFill="1" applyAlignment="1">
      <alignment horizontal="left"/>
    </xf>
    <xf numFmtId="0" fontId="6" fillId="18" borderId="0" xfId="1" applyFont="1" applyFill="1"/>
    <xf numFmtId="0" fontId="6" fillId="19" borderId="0" xfId="1" applyFont="1" applyFill="1" applyAlignment="1">
      <alignment horizontal="left"/>
    </xf>
    <xf numFmtId="0" fontId="7" fillId="20" borderId="0" xfId="1" applyFont="1" applyFill="1"/>
    <xf numFmtId="0" fontId="4" fillId="21" borderId="0" xfId="1" applyFont="1" applyFill="1" applyAlignment="1">
      <alignment horizontal="left" indent="1"/>
    </xf>
    <xf numFmtId="165" fontId="4" fillId="3" borderId="0" xfId="1" applyNumberFormat="1" applyFont="1" applyFill="1"/>
    <xf numFmtId="165" fontId="5" fillId="5" borderId="0" xfId="1" applyNumberFormat="1" applyFont="1" applyFill="1"/>
    <xf numFmtId="165" fontId="4" fillId="7" borderId="0" xfId="1" applyNumberFormat="1" applyFont="1" applyFill="1"/>
    <xf numFmtId="165" fontId="4" fillId="9" borderId="0" xfId="1" applyNumberFormat="1" applyFont="1" applyFill="1"/>
    <xf numFmtId="165" fontId="4" fillId="11" borderId="0" xfId="1" applyNumberFormat="1" applyFont="1" applyFill="1"/>
    <xf numFmtId="165" fontId="4" fillId="13" borderId="0" xfId="1" applyNumberFormat="1" applyFont="1" applyFill="1"/>
    <xf numFmtId="165" fontId="4" fillId="15" borderId="0" xfId="1" applyNumberFormat="1" applyFont="1" applyFill="1"/>
    <xf numFmtId="165" fontId="4" fillId="17" borderId="0" xfId="1" applyNumberFormat="1" applyFont="1" applyFill="1"/>
    <xf numFmtId="165" fontId="4" fillId="19" borderId="0" xfId="1" applyNumberFormat="1" applyFont="1" applyFill="1"/>
    <xf numFmtId="165" fontId="6" fillId="21" borderId="0" xfId="1" applyNumberFormat="1" applyFont="1" applyFill="1"/>
    <xf numFmtId="165" fontId="4" fillId="2" borderId="0" xfId="1" applyNumberFormat="1" applyFont="1" applyFill="1"/>
    <xf numFmtId="165" fontId="4" fillId="4" borderId="0" xfId="1" applyNumberFormat="1" applyFont="1" applyFill="1"/>
    <xf numFmtId="165" fontId="5" fillId="6" borderId="0" xfId="1" applyNumberFormat="1" applyFont="1" applyFill="1"/>
    <xf numFmtId="165" fontId="4" fillId="8" borderId="0" xfId="1" applyNumberFormat="1" applyFont="1" applyFill="1"/>
    <xf numFmtId="165" fontId="5" fillId="10" borderId="0" xfId="1" applyNumberFormat="1" applyFont="1" applyFill="1"/>
    <xf numFmtId="165" fontId="4" fillId="12" borderId="0" xfId="1" applyNumberFormat="1" applyFont="1" applyFill="1"/>
    <xf numFmtId="165" fontId="5" fillId="14" borderId="0" xfId="1" applyNumberFormat="1" applyFont="1" applyFill="1"/>
    <xf numFmtId="165" fontId="4" fillId="16" borderId="0" xfId="1" applyNumberFormat="1" applyFont="1" applyFill="1"/>
    <xf numFmtId="165" fontId="4" fillId="18" borderId="0" xfId="1" applyNumberFormat="1" applyFont="1" applyFill="1"/>
    <xf numFmtId="1" fontId="4" fillId="21" borderId="0" xfId="1" applyNumberFormat="1" applyFont="1" applyFill="1" applyAlignment="1">
      <alignment horizontal="left"/>
    </xf>
    <xf numFmtId="165" fontId="4" fillId="2" borderId="0" xfId="1" applyNumberFormat="1" applyFont="1" applyFill="1" applyAlignment="1">
      <alignment horizontal="left"/>
    </xf>
    <xf numFmtId="165" fontId="4" fillId="3" borderId="0" xfId="1" applyNumberFormat="1" applyFont="1" applyFill="1" applyAlignment="1">
      <alignment horizontal="left"/>
    </xf>
    <xf numFmtId="165" fontId="4" fillId="4" borderId="0" xfId="1" applyNumberFormat="1" applyFont="1" applyFill="1" applyAlignment="1">
      <alignment horizontal="left"/>
    </xf>
    <xf numFmtId="165" fontId="5" fillId="5" borderId="0" xfId="1" applyNumberFormat="1" applyFont="1" applyFill="1" applyAlignment="1">
      <alignment horizontal="left"/>
    </xf>
    <xf numFmtId="165" fontId="5" fillId="6" borderId="0" xfId="1" applyNumberFormat="1" applyFont="1" applyFill="1" applyAlignment="1">
      <alignment horizontal="left"/>
    </xf>
    <xf numFmtId="165" fontId="4" fillId="7" borderId="0" xfId="1" applyNumberFormat="1" applyFont="1" applyFill="1" applyAlignment="1">
      <alignment horizontal="left"/>
    </xf>
    <xf numFmtId="165" fontId="4" fillId="8" borderId="0" xfId="1" applyNumberFormat="1" applyFont="1" applyFill="1" applyAlignment="1">
      <alignment horizontal="left"/>
    </xf>
    <xf numFmtId="165" fontId="4" fillId="9" borderId="0" xfId="1" applyNumberFormat="1" applyFont="1" applyFill="1" applyAlignment="1">
      <alignment horizontal="left"/>
    </xf>
    <xf numFmtId="165" fontId="5" fillId="10" borderId="0" xfId="1" applyNumberFormat="1" applyFont="1" applyFill="1" applyAlignment="1">
      <alignment horizontal="left"/>
    </xf>
    <xf numFmtId="165" fontId="4" fillId="11" borderId="0" xfId="1" applyNumberFormat="1" applyFont="1" applyFill="1" applyAlignment="1">
      <alignment horizontal="left"/>
    </xf>
    <xf numFmtId="165" fontId="4" fillId="12" borderId="0" xfId="1" applyNumberFormat="1" applyFont="1" applyFill="1" applyAlignment="1">
      <alignment horizontal="left"/>
    </xf>
    <xf numFmtId="165" fontId="4" fillId="13" borderId="0" xfId="1" applyNumberFormat="1" applyFont="1" applyFill="1" applyAlignment="1">
      <alignment horizontal="left"/>
    </xf>
    <xf numFmtId="165" fontId="5" fillId="14" borderId="0" xfId="1" applyNumberFormat="1" applyFont="1" applyFill="1" applyAlignment="1">
      <alignment horizontal="left"/>
    </xf>
    <xf numFmtId="165" fontId="4" fillId="15" borderId="0" xfId="1" applyNumberFormat="1" applyFont="1" applyFill="1" applyAlignment="1">
      <alignment horizontal="left"/>
    </xf>
    <xf numFmtId="165" fontId="4" fillId="16" borderId="0" xfId="1" applyNumberFormat="1" applyFont="1" applyFill="1" applyAlignment="1">
      <alignment horizontal="left"/>
    </xf>
    <xf numFmtId="165" fontId="4" fillId="17" borderId="0" xfId="1" applyNumberFormat="1" applyFont="1" applyFill="1" applyAlignment="1">
      <alignment horizontal="left"/>
    </xf>
    <xf numFmtId="165" fontId="4" fillId="18" borderId="0" xfId="1" applyNumberFormat="1" applyFont="1" applyFill="1" applyAlignment="1">
      <alignment horizontal="left"/>
    </xf>
    <xf numFmtId="165" fontId="4" fillId="19" borderId="0" xfId="1" applyNumberFormat="1" applyFont="1" applyFill="1" applyAlignment="1">
      <alignment horizontal="left"/>
    </xf>
    <xf numFmtId="165" fontId="5" fillId="20" borderId="0" xfId="1" applyNumberFormat="1" applyFont="1" applyFill="1" applyAlignment="1">
      <alignment horizontal="left"/>
    </xf>
    <xf numFmtId="165" fontId="4" fillId="21" borderId="0" xfId="1" applyNumberFormat="1" applyFont="1" applyFill="1" applyAlignment="1">
      <alignment horizontal="left"/>
    </xf>
    <xf numFmtId="165" fontId="4" fillId="2" borderId="0" xfId="1" applyNumberFormat="1" applyFont="1" applyFill="1" applyAlignment="1">
      <alignment horizontal="right"/>
    </xf>
    <xf numFmtId="0" fontId="6" fillId="2" borderId="0" xfId="1" applyFont="1" applyFill="1" applyAlignment="1">
      <alignment horizontal="right"/>
    </xf>
    <xf numFmtId="165" fontId="4" fillId="3" borderId="0" xfId="1" applyNumberFormat="1" applyFont="1" applyFill="1" applyAlignment="1">
      <alignment horizontal="right"/>
    </xf>
    <xf numFmtId="0" fontId="6" fillId="3" borderId="0" xfId="1" applyFont="1" applyFill="1" applyAlignment="1">
      <alignment horizontal="right"/>
    </xf>
    <xf numFmtId="165" fontId="4" fillId="4" borderId="0" xfId="1" applyNumberFormat="1" applyFont="1" applyFill="1" applyAlignment="1">
      <alignment horizontal="right"/>
    </xf>
    <xf numFmtId="0" fontId="6" fillId="4" borderId="0" xfId="1" applyFont="1" applyFill="1" applyAlignment="1">
      <alignment horizontal="right"/>
    </xf>
    <xf numFmtId="165" fontId="5" fillId="5" borderId="0" xfId="1" applyNumberFormat="1" applyFont="1" applyFill="1" applyAlignment="1">
      <alignment horizontal="right"/>
    </xf>
    <xf numFmtId="0" fontId="7" fillId="5" borderId="0" xfId="1" applyFont="1" applyFill="1" applyAlignment="1">
      <alignment horizontal="right"/>
    </xf>
    <xf numFmtId="165" fontId="5" fillId="6" borderId="0" xfId="1" applyNumberFormat="1" applyFont="1" applyFill="1" applyAlignment="1">
      <alignment horizontal="right"/>
    </xf>
    <xf numFmtId="0" fontId="7" fillId="6" borderId="0" xfId="1" applyFont="1" applyFill="1" applyAlignment="1">
      <alignment horizontal="right"/>
    </xf>
    <xf numFmtId="165" fontId="4" fillId="7" borderId="0" xfId="1" applyNumberFormat="1" applyFont="1" applyFill="1" applyAlignment="1">
      <alignment horizontal="right"/>
    </xf>
    <xf numFmtId="0" fontId="6" fillId="7" borderId="0" xfId="1" applyFont="1" applyFill="1" applyAlignment="1">
      <alignment horizontal="right"/>
    </xf>
    <xf numFmtId="0" fontId="6" fillId="8" borderId="0" xfId="1" applyFont="1" applyFill="1" applyAlignment="1">
      <alignment horizontal="right"/>
    </xf>
    <xf numFmtId="165" fontId="4" fillId="9" borderId="0" xfId="1" applyNumberFormat="1" applyFont="1" applyFill="1" applyAlignment="1">
      <alignment horizontal="right"/>
    </xf>
    <xf numFmtId="0" fontId="6" fillId="9" borderId="0" xfId="1" applyFont="1" applyFill="1" applyAlignment="1">
      <alignment horizontal="right"/>
    </xf>
    <xf numFmtId="0" fontId="7" fillId="10" borderId="0" xfId="1" applyFont="1" applyFill="1" applyAlignment="1">
      <alignment horizontal="right"/>
    </xf>
    <xf numFmtId="165" fontId="4" fillId="11" borderId="0" xfId="1" applyNumberFormat="1" applyFont="1" applyFill="1" applyAlignment="1">
      <alignment horizontal="right"/>
    </xf>
    <xf numFmtId="0" fontId="6" fillId="11" borderId="0" xfId="1" applyFont="1" applyFill="1" applyAlignment="1">
      <alignment horizontal="right"/>
    </xf>
    <xf numFmtId="165" fontId="4" fillId="12" borderId="0" xfId="1" applyNumberFormat="1" applyFont="1" applyFill="1" applyAlignment="1">
      <alignment horizontal="right"/>
    </xf>
    <xf numFmtId="0" fontId="6" fillId="12" borderId="0" xfId="1" applyFont="1" applyFill="1" applyAlignment="1">
      <alignment horizontal="right"/>
    </xf>
    <xf numFmtId="165" fontId="4" fillId="13" borderId="0" xfId="1" applyNumberFormat="1" applyFont="1" applyFill="1" applyAlignment="1">
      <alignment horizontal="right"/>
    </xf>
    <xf numFmtId="0" fontId="6" fillId="13" borderId="0" xfId="1" applyFont="1" applyFill="1" applyAlignment="1">
      <alignment horizontal="right"/>
    </xf>
    <xf numFmtId="165" fontId="5" fillId="14" borderId="0" xfId="1" applyNumberFormat="1" applyFont="1" applyFill="1" applyAlignment="1">
      <alignment horizontal="right"/>
    </xf>
    <xf numFmtId="0" fontId="7" fillId="14" borderId="0" xfId="1" applyFont="1" applyFill="1" applyAlignment="1">
      <alignment horizontal="right"/>
    </xf>
    <xf numFmtId="165" fontId="4" fillId="15" borderId="0" xfId="1" applyNumberFormat="1" applyFont="1" applyFill="1" applyAlignment="1">
      <alignment horizontal="right"/>
    </xf>
    <xf numFmtId="0" fontId="6" fillId="15" borderId="0" xfId="1" applyFont="1" applyFill="1" applyAlignment="1">
      <alignment horizontal="right"/>
    </xf>
    <xf numFmtId="165" fontId="4" fillId="16" borderId="0" xfId="1" applyNumberFormat="1" applyFont="1" applyFill="1" applyAlignment="1">
      <alignment horizontal="right"/>
    </xf>
    <xf numFmtId="0" fontId="6" fillId="16" borderId="0" xfId="1" applyFont="1" applyFill="1" applyAlignment="1">
      <alignment horizontal="right"/>
    </xf>
    <xf numFmtId="165" fontId="4" fillId="17" borderId="0" xfId="1" applyNumberFormat="1" applyFont="1" applyFill="1" applyAlignment="1">
      <alignment horizontal="right"/>
    </xf>
    <xf numFmtId="0" fontId="6" fillId="17" borderId="0" xfId="1" applyFont="1" applyFill="1" applyAlignment="1">
      <alignment horizontal="right"/>
    </xf>
    <xf numFmtId="165" fontId="4" fillId="18" borderId="0" xfId="1" applyNumberFormat="1" applyFont="1" applyFill="1" applyAlignment="1">
      <alignment horizontal="right"/>
    </xf>
    <xf numFmtId="0" fontId="6" fillId="18" borderId="0" xfId="1" applyFont="1" applyFill="1" applyAlignment="1">
      <alignment horizontal="right"/>
    </xf>
    <xf numFmtId="165" fontId="4" fillId="19" borderId="0" xfId="1" applyNumberFormat="1" applyFont="1" applyFill="1" applyAlignment="1">
      <alignment horizontal="right"/>
    </xf>
    <xf numFmtId="0" fontId="6" fillId="19" borderId="0" xfId="1" applyFont="1" applyFill="1" applyAlignment="1">
      <alignment horizontal="right"/>
    </xf>
    <xf numFmtId="165" fontId="5" fillId="20" borderId="0" xfId="1" applyNumberFormat="1" applyFont="1" applyFill="1" applyAlignment="1">
      <alignment horizontal="right"/>
    </xf>
    <xf numFmtId="0" fontId="7" fillId="20" borderId="0" xfId="1" applyFont="1" applyFill="1" applyAlignment="1">
      <alignment horizontal="right"/>
    </xf>
    <xf numFmtId="165" fontId="4" fillId="21" borderId="0" xfId="1" applyNumberFormat="1" applyFont="1" applyFill="1" applyAlignment="1">
      <alignment horizontal="right"/>
    </xf>
    <xf numFmtId="0" fontId="6" fillId="21" borderId="0" xfId="1" applyFont="1" applyFill="1" applyAlignment="1">
      <alignment horizontal="right"/>
    </xf>
    <xf numFmtId="165" fontId="4" fillId="8" borderId="0" xfId="1" applyNumberFormat="1" applyFont="1" applyFill="1" applyAlignment="1">
      <alignment horizontal="right"/>
    </xf>
    <xf numFmtId="165" fontId="5" fillId="10" borderId="0" xfId="1" applyNumberFormat="1" applyFont="1" applyFill="1" applyAlignment="1">
      <alignment horizontal="right"/>
    </xf>
    <xf numFmtId="0" fontId="8" fillId="0" borderId="0" xfId="1" applyFont="1"/>
    <xf numFmtId="0" fontId="9" fillId="0" borderId="0" xfId="1" applyFont="1"/>
    <xf numFmtId="164" fontId="4" fillId="21" borderId="0" xfId="1" applyNumberFormat="1" applyFont="1" applyFill="1"/>
    <xf numFmtId="0" fontId="10" fillId="22" borderId="0" xfId="1" applyFont="1" applyFill="1"/>
    <xf numFmtId="0" fontId="11" fillId="23" borderId="0" xfId="1" applyFont="1" applyFill="1"/>
    <xf numFmtId="0" fontId="11" fillId="24" borderId="0" xfId="1" applyFont="1" applyFill="1"/>
    <xf numFmtId="0" fontId="11" fillId="25" borderId="0" xfId="1" applyFont="1" applyFill="1"/>
    <xf numFmtId="0" fontId="11" fillId="26" borderId="0" xfId="1" applyFont="1" applyFill="1"/>
    <xf numFmtId="0" fontId="11" fillId="27" borderId="0" xfId="1" applyFont="1" applyFill="1"/>
    <xf numFmtId="0" fontId="11" fillId="28" borderId="0" xfId="1" applyFont="1" applyFill="1"/>
    <xf numFmtId="0" fontId="10" fillId="29" borderId="0" xfId="1" applyFont="1" applyFill="1"/>
    <xf numFmtId="0" fontId="11" fillId="30" borderId="0" xfId="1" applyFont="1" applyFill="1"/>
    <xf numFmtId="0" fontId="11" fillId="31" borderId="0" xfId="1" applyFont="1" applyFill="1"/>
    <xf numFmtId="0" fontId="10" fillId="32" borderId="0" xfId="1" applyFont="1" applyFill="1"/>
    <xf numFmtId="0" fontId="11" fillId="33" borderId="0" xfId="1" applyFont="1" applyFill="1"/>
    <xf numFmtId="0" fontId="10" fillId="34" borderId="0" xfId="1" applyFont="1" applyFill="1"/>
    <xf numFmtId="0" fontId="11" fillId="35" borderId="0" xfId="1" applyFont="1" applyFill="1"/>
    <xf numFmtId="0" fontId="11" fillId="36" borderId="0" xfId="1" applyFont="1" applyFill="1"/>
    <xf numFmtId="0" fontId="11" fillId="37" borderId="0" xfId="1" applyFont="1" applyFill="1"/>
    <xf numFmtId="0" fontId="11" fillId="38" borderId="0" xfId="1" applyFont="1" applyFill="1"/>
    <xf numFmtId="0" fontId="11" fillId="39" borderId="0" xfId="1" applyFont="1" applyFill="1"/>
    <xf numFmtId="0" fontId="11" fillId="40" borderId="0" xfId="1" applyFont="1" applyFill="1"/>
    <xf numFmtId="0" fontId="11" fillId="41" borderId="0" xfId="1" applyFont="1" applyFill="1"/>
  </cellXfs>
  <cellStyles count="2">
    <cellStyle name="Normal" xfId="0" builtinId="0"/>
    <cellStyle name="Normal 2" xfId="1" xr:uid="{E118AF66-4AE3-DF41-ABD7-B1A8908AC9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377673</xdr:colOff>
      <xdr:row>0</xdr:row>
      <xdr:rowOff>66675</xdr:rowOff>
    </xdr:from>
    <xdr:to>
      <xdr:col>60</xdr:col>
      <xdr:colOff>774854</xdr:colOff>
      <xdr:row>0</xdr:row>
      <xdr:rowOff>523875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B523353-0066-6A45-8F66-6991399FA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7673" y="66675"/>
          <a:ext cx="384481" cy="1397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</xdr:row>
      <xdr:rowOff>39688</xdr:rowOff>
    </xdr:from>
    <xdr:to>
      <xdr:col>63</xdr:col>
      <xdr:colOff>460375</xdr:colOff>
      <xdr:row>2</xdr:row>
      <xdr:rowOff>293688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A62B97FB-C0D1-5B46-B582-E421BB1BB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144</xdr:col>
      <xdr:colOff>500063</xdr:colOff>
      <xdr:row>0</xdr:row>
      <xdr:rowOff>66675</xdr:rowOff>
    </xdr:from>
    <xdr:to>
      <xdr:col>144</xdr:col>
      <xdr:colOff>957263</xdr:colOff>
      <xdr:row>0</xdr:row>
      <xdr:rowOff>523875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E9015F3C-EEE8-D340-B801-D22F5760B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28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147</xdr:col>
      <xdr:colOff>223050</xdr:colOff>
      <xdr:row>2</xdr:row>
      <xdr:rowOff>39688</xdr:rowOff>
    </xdr:from>
    <xdr:to>
      <xdr:col>147</xdr:col>
      <xdr:colOff>443706</xdr:colOff>
      <xdr:row>2</xdr:row>
      <xdr:rowOff>293688</xdr:rowOff>
    </xdr:to>
    <xdr:pic>
      <xdr:nvPicPr>
        <xdr:cNvPr id="5" name="Picture 11">
          <a:extLst>
            <a:ext uri="{FF2B5EF4-FFF2-40B4-BE49-F238E27FC236}">
              <a16:creationId xmlns:a16="http://schemas.microsoft.com/office/drawing/2014/main" id="{70677B24-FF76-5A42-A8DB-4093324DA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37050" y="446088"/>
          <a:ext cx="220656" cy="165100"/>
        </a:xfrm>
        <a:prstGeom prst="rect">
          <a:avLst/>
        </a:prstGeom>
      </xdr:spPr>
    </xdr:pic>
    <xdr:clientData/>
  </xdr:twoCellAnchor>
  <xdr:twoCellAnchor>
    <xdr:from>
      <xdr:col>0</xdr:col>
      <xdr:colOff>500063</xdr:colOff>
      <xdr:row>0</xdr:row>
      <xdr:rowOff>66675</xdr:rowOff>
    </xdr:from>
    <xdr:to>
      <xdr:col>0</xdr:col>
      <xdr:colOff>957263</xdr:colOff>
      <xdr:row>0</xdr:row>
      <xdr:rowOff>523875</xdr:rowOff>
    </xdr:to>
    <xdr:pic>
      <xdr:nvPicPr>
        <xdr:cNvPr id="6" name="Picture 14">
          <a:extLst>
            <a:ext uri="{FF2B5EF4-FFF2-40B4-BE49-F238E27FC236}">
              <a16:creationId xmlns:a16="http://schemas.microsoft.com/office/drawing/2014/main" id="{E2EED8EB-FD76-2D42-B926-F9261DD5A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</xdr:row>
      <xdr:rowOff>39688</xdr:rowOff>
    </xdr:from>
    <xdr:to>
      <xdr:col>3</xdr:col>
      <xdr:colOff>460375</xdr:colOff>
      <xdr:row>2</xdr:row>
      <xdr:rowOff>293688</xdr:rowOff>
    </xdr:to>
    <xdr:pic>
      <xdr:nvPicPr>
        <xdr:cNvPr id="7" name="Picture 17">
          <a:extLst>
            <a:ext uri="{FF2B5EF4-FFF2-40B4-BE49-F238E27FC236}">
              <a16:creationId xmlns:a16="http://schemas.microsoft.com/office/drawing/2014/main" id="{CFD8DC5F-D108-6A4C-B783-7BF21DF7F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180</xdr:col>
      <xdr:colOff>448246</xdr:colOff>
      <xdr:row>0</xdr:row>
      <xdr:rowOff>66675</xdr:rowOff>
    </xdr:from>
    <xdr:to>
      <xdr:col>180</xdr:col>
      <xdr:colOff>704278</xdr:colOff>
      <xdr:row>0</xdr:row>
      <xdr:rowOff>523875</xdr:rowOff>
    </xdr:to>
    <xdr:pic>
      <xdr:nvPicPr>
        <xdr:cNvPr id="8" name="Picture 20">
          <a:extLst>
            <a:ext uri="{FF2B5EF4-FFF2-40B4-BE49-F238E27FC236}">
              <a16:creationId xmlns:a16="http://schemas.microsoft.com/office/drawing/2014/main" id="{7D329A38-D68A-564A-BB20-2D04D2EC0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08246" y="66675"/>
          <a:ext cx="256032" cy="1397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</xdr:row>
      <xdr:rowOff>39688</xdr:rowOff>
    </xdr:from>
    <xdr:to>
      <xdr:col>183</xdr:col>
      <xdr:colOff>460375</xdr:colOff>
      <xdr:row>2</xdr:row>
      <xdr:rowOff>293688</xdr:rowOff>
    </xdr:to>
    <xdr:pic>
      <xdr:nvPicPr>
        <xdr:cNvPr id="9" name="Picture 23">
          <a:extLst>
            <a:ext uri="{FF2B5EF4-FFF2-40B4-BE49-F238E27FC236}">
              <a16:creationId xmlns:a16="http://schemas.microsoft.com/office/drawing/2014/main" id="{D66C9809-3E82-724A-AE3F-77E26532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24</xdr:col>
      <xdr:colOff>500063</xdr:colOff>
      <xdr:row>0</xdr:row>
      <xdr:rowOff>66675</xdr:rowOff>
    </xdr:from>
    <xdr:to>
      <xdr:col>24</xdr:col>
      <xdr:colOff>957263</xdr:colOff>
      <xdr:row>0</xdr:row>
      <xdr:rowOff>523875</xdr:rowOff>
    </xdr:to>
    <xdr:pic>
      <xdr:nvPicPr>
        <xdr:cNvPr id="10" name="Picture 26">
          <a:extLst>
            <a:ext uri="{FF2B5EF4-FFF2-40B4-BE49-F238E27FC236}">
              <a16:creationId xmlns:a16="http://schemas.microsoft.com/office/drawing/2014/main" id="{727BC478-E4BD-434A-A836-A9FE177BB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88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</xdr:row>
      <xdr:rowOff>39688</xdr:rowOff>
    </xdr:from>
    <xdr:to>
      <xdr:col>27</xdr:col>
      <xdr:colOff>460375</xdr:colOff>
      <xdr:row>2</xdr:row>
      <xdr:rowOff>293688</xdr:rowOff>
    </xdr:to>
    <xdr:pic>
      <xdr:nvPicPr>
        <xdr:cNvPr id="11" name="Picture 29">
          <a:extLst>
            <a:ext uri="{FF2B5EF4-FFF2-40B4-BE49-F238E27FC236}">
              <a16:creationId xmlns:a16="http://schemas.microsoft.com/office/drawing/2014/main" id="{3B9740C0-11A2-5145-B298-6B5E3772E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216</xdr:col>
      <xdr:colOff>500063</xdr:colOff>
      <xdr:row>0</xdr:row>
      <xdr:rowOff>66675</xdr:rowOff>
    </xdr:from>
    <xdr:to>
      <xdr:col>216</xdr:col>
      <xdr:colOff>957263</xdr:colOff>
      <xdr:row>0</xdr:row>
      <xdr:rowOff>523875</xdr:rowOff>
    </xdr:to>
    <xdr:pic>
      <xdr:nvPicPr>
        <xdr:cNvPr id="12" name="Picture 32">
          <a:extLst>
            <a:ext uri="{FF2B5EF4-FFF2-40B4-BE49-F238E27FC236}">
              <a16:creationId xmlns:a16="http://schemas.microsoft.com/office/drawing/2014/main" id="{FA6C8FC6-3774-B144-87DC-12057F9A7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92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</xdr:row>
      <xdr:rowOff>39688</xdr:rowOff>
    </xdr:from>
    <xdr:to>
      <xdr:col>219</xdr:col>
      <xdr:colOff>460375</xdr:colOff>
      <xdr:row>2</xdr:row>
      <xdr:rowOff>293688</xdr:rowOff>
    </xdr:to>
    <xdr:pic>
      <xdr:nvPicPr>
        <xdr:cNvPr id="13" name="Picture 35">
          <a:extLst>
            <a:ext uri="{FF2B5EF4-FFF2-40B4-BE49-F238E27FC236}">
              <a16:creationId xmlns:a16="http://schemas.microsoft.com/office/drawing/2014/main" id="{49B2F89A-27D7-C647-AF89-F5E95F404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48</xdr:col>
      <xdr:colOff>500063</xdr:colOff>
      <xdr:row>0</xdr:row>
      <xdr:rowOff>66675</xdr:rowOff>
    </xdr:from>
    <xdr:to>
      <xdr:col>48</xdr:col>
      <xdr:colOff>957263</xdr:colOff>
      <xdr:row>0</xdr:row>
      <xdr:rowOff>523875</xdr:rowOff>
    </xdr:to>
    <xdr:pic>
      <xdr:nvPicPr>
        <xdr:cNvPr id="14" name="Picture 38">
          <a:extLst>
            <a:ext uri="{FF2B5EF4-FFF2-40B4-BE49-F238E27FC236}">
              <a16:creationId xmlns:a16="http://schemas.microsoft.com/office/drawing/2014/main" id="{80968636-6433-4140-8AB5-4A2D531A3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76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51</xdr:col>
      <xdr:colOff>205426</xdr:colOff>
      <xdr:row>2</xdr:row>
      <xdr:rowOff>39688</xdr:rowOff>
    </xdr:from>
    <xdr:to>
      <xdr:col>51</xdr:col>
      <xdr:colOff>461322</xdr:colOff>
      <xdr:row>2</xdr:row>
      <xdr:rowOff>293688</xdr:rowOff>
    </xdr:to>
    <xdr:pic>
      <xdr:nvPicPr>
        <xdr:cNvPr id="15" name="Picture 41">
          <a:extLst>
            <a:ext uri="{FF2B5EF4-FFF2-40B4-BE49-F238E27FC236}">
              <a16:creationId xmlns:a16="http://schemas.microsoft.com/office/drawing/2014/main" id="{F82B42AD-5BD4-FD4C-A97B-039377DA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7426" y="446088"/>
          <a:ext cx="255896" cy="165100"/>
        </a:xfrm>
        <a:prstGeom prst="rect">
          <a:avLst/>
        </a:prstGeom>
      </xdr:spPr>
    </xdr:pic>
    <xdr:clientData/>
  </xdr:twoCellAnchor>
  <xdr:twoCellAnchor>
    <xdr:from>
      <xdr:col>132</xdr:col>
      <xdr:colOff>345957</xdr:colOff>
      <xdr:row>0</xdr:row>
      <xdr:rowOff>66675</xdr:rowOff>
    </xdr:from>
    <xdr:to>
      <xdr:col>132</xdr:col>
      <xdr:colOff>806569</xdr:colOff>
      <xdr:row>0</xdr:row>
      <xdr:rowOff>523875</xdr:rowOff>
    </xdr:to>
    <xdr:pic>
      <xdr:nvPicPr>
        <xdr:cNvPr id="16" name="Picture 44">
          <a:extLst>
            <a:ext uri="{FF2B5EF4-FFF2-40B4-BE49-F238E27FC236}">
              <a16:creationId xmlns:a16="http://schemas.microsoft.com/office/drawing/2014/main" id="{B002459A-D6F6-A74D-B5C4-B35C61721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29957" y="66675"/>
          <a:ext cx="409812" cy="1397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</xdr:row>
      <xdr:rowOff>39688</xdr:rowOff>
    </xdr:from>
    <xdr:to>
      <xdr:col>135</xdr:col>
      <xdr:colOff>460375</xdr:colOff>
      <xdr:row>2</xdr:row>
      <xdr:rowOff>293688</xdr:rowOff>
    </xdr:to>
    <xdr:pic>
      <xdr:nvPicPr>
        <xdr:cNvPr id="17" name="Picture 47">
          <a:extLst>
            <a:ext uri="{FF2B5EF4-FFF2-40B4-BE49-F238E27FC236}">
              <a16:creationId xmlns:a16="http://schemas.microsoft.com/office/drawing/2014/main" id="{9BEBAC25-4CD9-174E-9864-972A57379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96</xdr:col>
      <xdr:colOff>500063</xdr:colOff>
      <xdr:row>0</xdr:row>
      <xdr:rowOff>66675</xdr:rowOff>
    </xdr:from>
    <xdr:to>
      <xdr:col>96</xdr:col>
      <xdr:colOff>957263</xdr:colOff>
      <xdr:row>0</xdr:row>
      <xdr:rowOff>523875</xdr:rowOff>
    </xdr:to>
    <xdr:pic>
      <xdr:nvPicPr>
        <xdr:cNvPr id="18" name="Picture 50">
          <a:extLst>
            <a:ext uri="{FF2B5EF4-FFF2-40B4-BE49-F238E27FC236}">
              <a16:creationId xmlns:a16="http://schemas.microsoft.com/office/drawing/2014/main" id="{30FED1F8-C672-C546-9798-412603556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52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</xdr:row>
      <xdr:rowOff>39688</xdr:rowOff>
    </xdr:from>
    <xdr:to>
      <xdr:col>99</xdr:col>
      <xdr:colOff>460375</xdr:colOff>
      <xdr:row>2</xdr:row>
      <xdr:rowOff>293688</xdr:rowOff>
    </xdr:to>
    <xdr:pic>
      <xdr:nvPicPr>
        <xdr:cNvPr id="19" name="Picture 53">
          <a:extLst>
            <a:ext uri="{FF2B5EF4-FFF2-40B4-BE49-F238E27FC236}">
              <a16:creationId xmlns:a16="http://schemas.microsoft.com/office/drawing/2014/main" id="{1B14131B-35EE-794C-B6AC-133DDCF0F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108</xdr:col>
      <xdr:colOff>347663</xdr:colOff>
      <xdr:row>0</xdr:row>
      <xdr:rowOff>66675</xdr:rowOff>
    </xdr:from>
    <xdr:to>
      <xdr:col>108</xdr:col>
      <xdr:colOff>804863</xdr:colOff>
      <xdr:row>0</xdr:row>
      <xdr:rowOff>523875</xdr:rowOff>
    </xdr:to>
    <xdr:pic>
      <xdr:nvPicPr>
        <xdr:cNvPr id="20" name="Picture 56">
          <a:extLst>
            <a:ext uri="{FF2B5EF4-FFF2-40B4-BE49-F238E27FC236}">
              <a16:creationId xmlns:a16="http://schemas.microsoft.com/office/drawing/2014/main" id="{CD7AE061-9396-4E44-9C84-77225BDBE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43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</xdr:row>
      <xdr:rowOff>39688</xdr:rowOff>
    </xdr:from>
    <xdr:to>
      <xdr:col>111</xdr:col>
      <xdr:colOff>460375</xdr:colOff>
      <xdr:row>2</xdr:row>
      <xdr:rowOff>293688</xdr:rowOff>
    </xdr:to>
    <xdr:pic>
      <xdr:nvPicPr>
        <xdr:cNvPr id="21" name="Picture 59">
          <a:extLst>
            <a:ext uri="{FF2B5EF4-FFF2-40B4-BE49-F238E27FC236}">
              <a16:creationId xmlns:a16="http://schemas.microsoft.com/office/drawing/2014/main" id="{71E35770-FAC6-7A42-90C0-1C8FBFBE7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192</xdr:col>
      <xdr:colOff>500063</xdr:colOff>
      <xdr:row>0</xdr:row>
      <xdr:rowOff>66675</xdr:rowOff>
    </xdr:from>
    <xdr:to>
      <xdr:col>192</xdr:col>
      <xdr:colOff>957263</xdr:colOff>
      <xdr:row>0</xdr:row>
      <xdr:rowOff>523875</xdr:rowOff>
    </xdr:to>
    <xdr:pic>
      <xdr:nvPicPr>
        <xdr:cNvPr id="22" name="Picture 62">
          <a:extLst>
            <a:ext uri="{FF2B5EF4-FFF2-40B4-BE49-F238E27FC236}">
              <a16:creationId xmlns:a16="http://schemas.microsoft.com/office/drawing/2014/main" id="{A4DE5982-3D9F-1345-AD0D-51E49F6D5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04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</xdr:row>
      <xdr:rowOff>39688</xdr:rowOff>
    </xdr:from>
    <xdr:to>
      <xdr:col>195</xdr:col>
      <xdr:colOff>460375</xdr:colOff>
      <xdr:row>2</xdr:row>
      <xdr:rowOff>293688</xdr:rowOff>
    </xdr:to>
    <xdr:pic>
      <xdr:nvPicPr>
        <xdr:cNvPr id="23" name="Picture 55041">
          <a:extLst>
            <a:ext uri="{FF2B5EF4-FFF2-40B4-BE49-F238E27FC236}">
              <a16:creationId xmlns:a16="http://schemas.microsoft.com/office/drawing/2014/main" id="{E1FD1440-6F46-B94E-BF9B-F9D1FEB70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84</xdr:col>
      <xdr:colOff>347663</xdr:colOff>
      <xdr:row>0</xdr:row>
      <xdr:rowOff>66675</xdr:rowOff>
    </xdr:from>
    <xdr:to>
      <xdr:col>84</xdr:col>
      <xdr:colOff>804863</xdr:colOff>
      <xdr:row>0</xdr:row>
      <xdr:rowOff>523875</xdr:rowOff>
    </xdr:to>
    <xdr:pic>
      <xdr:nvPicPr>
        <xdr:cNvPr id="24" name="Picture 55044">
          <a:extLst>
            <a:ext uri="{FF2B5EF4-FFF2-40B4-BE49-F238E27FC236}">
              <a16:creationId xmlns:a16="http://schemas.microsoft.com/office/drawing/2014/main" id="{4F0BA4C0-B501-3445-A705-5168F8842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55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</xdr:row>
      <xdr:rowOff>39688</xdr:rowOff>
    </xdr:from>
    <xdr:to>
      <xdr:col>87</xdr:col>
      <xdr:colOff>460375</xdr:colOff>
      <xdr:row>2</xdr:row>
      <xdr:rowOff>293688</xdr:rowOff>
    </xdr:to>
    <xdr:pic>
      <xdr:nvPicPr>
        <xdr:cNvPr id="25" name="Picture 55047">
          <a:extLst>
            <a:ext uri="{FF2B5EF4-FFF2-40B4-BE49-F238E27FC236}">
              <a16:creationId xmlns:a16="http://schemas.microsoft.com/office/drawing/2014/main" id="{724D8B41-272D-734A-B3DD-66147539B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168</xdr:col>
      <xdr:colOff>500063</xdr:colOff>
      <xdr:row>0</xdr:row>
      <xdr:rowOff>66675</xdr:rowOff>
    </xdr:from>
    <xdr:to>
      <xdr:col>168</xdr:col>
      <xdr:colOff>957263</xdr:colOff>
      <xdr:row>0</xdr:row>
      <xdr:rowOff>523875</xdr:rowOff>
    </xdr:to>
    <xdr:pic>
      <xdr:nvPicPr>
        <xdr:cNvPr id="26" name="Picture 55050">
          <a:extLst>
            <a:ext uri="{FF2B5EF4-FFF2-40B4-BE49-F238E27FC236}">
              <a16:creationId xmlns:a16="http://schemas.microsoft.com/office/drawing/2014/main" id="{108D81A4-9D08-794C-85E4-5334BA07D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16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</xdr:row>
      <xdr:rowOff>39688</xdr:rowOff>
    </xdr:from>
    <xdr:to>
      <xdr:col>171</xdr:col>
      <xdr:colOff>460375</xdr:colOff>
      <xdr:row>2</xdr:row>
      <xdr:rowOff>293688</xdr:rowOff>
    </xdr:to>
    <xdr:pic>
      <xdr:nvPicPr>
        <xdr:cNvPr id="27" name="Picture 55053">
          <a:extLst>
            <a:ext uri="{FF2B5EF4-FFF2-40B4-BE49-F238E27FC236}">
              <a16:creationId xmlns:a16="http://schemas.microsoft.com/office/drawing/2014/main" id="{20A9E23C-90A4-2C48-BBFC-FF70B573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12</xdr:col>
      <xdr:colOff>347663</xdr:colOff>
      <xdr:row>0</xdr:row>
      <xdr:rowOff>66675</xdr:rowOff>
    </xdr:from>
    <xdr:to>
      <xdr:col>12</xdr:col>
      <xdr:colOff>804863</xdr:colOff>
      <xdr:row>0</xdr:row>
      <xdr:rowOff>523875</xdr:rowOff>
    </xdr:to>
    <xdr:pic>
      <xdr:nvPicPr>
        <xdr:cNvPr id="28" name="Picture 55056">
          <a:extLst>
            <a:ext uri="{FF2B5EF4-FFF2-40B4-BE49-F238E27FC236}">
              <a16:creationId xmlns:a16="http://schemas.microsoft.com/office/drawing/2014/main" id="{9363C4A8-4696-FE40-92C4-D279779DE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1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</xdr:row>
      <xdr:rowOff>39688</xdr:rowOff>
    </xdr:from>
    <xdr:to>
      <xdr:col>15</xdr:col>
      <xdr:colOff>460375</xdr:colOff>
      <xdr:row>2</xdr:row>
      <xdr:rowOff>293688</xdr:rowOff>
    </xdr:to>
    <xdr:pic>
      <xdr:nvPicPr>
        <xdr:cNvPr id="29" name="Picture 55059">
          <a:extLst>
            <a:ext uri="{FF2B5EF4-FFF2-40B4-BE49-F238E27FC236}">
              <a16:creationId xmlns:a16="http://schemas.microsoft.com/office/drawing/2014/main" id="{5F056A1A-9CAD-A04D-A828-B527C3645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36</xdr:col>
      <xdr:colOff>347663</xdr:colOff>
      <xdr:row>0</xdr:row>
      <xdr:rowOff>66675</xdr:rowOff>
    </xdr:from>
    <xdr:to>
      <xdr:col>36</xdr:col>
      <xdr:colOff>804863</xdr:colOff>
      <xdr:row>0</xdr:row>
      <xdr:rowOff>523875</xdr:rowOff>
    </xdr:to>
    <xdr:pic>
      <xdr:nvPicPr>
        <xdr:cNvPr id="30" name="Picture 55062">
          <a:extLst>
            <a:ext uri="{FF2B5EF4-FFF2-40B4-BE49-F238E27FC236}">
              <a16:creationId xmlns:a16="http://schemas.microsoft.com/office/drawing/2014/main" id="{A01DAD25-253C-4A48-ACCF-CDE3D3818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79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</xdr:row>
      <xdr:rowOff>39688</xdr:rowOff>
    </xdr:from>
    <xdr:to>
      <xdr:col>39</xdr:col>
      <xdr:colOff>460375</xdr:colOff>
      <xdr:row>2</xdr:row>
      <xdr:rowOff>293688</xdr:rowOff>
    </xdr:to>
    <xdr:pic>
      <xdr:nvPicPr>
        <xdr:cNvPr id="31" name="Picture 55065">
          <a:extLst>
            <a:ext uri="{FF2B5EF4-FFF2-40B4-BE49-F238E27FC236}">
              <a16:creationId xmlns:a16="http://schemas.microsoft.com/office/drawing/2014/main" id="{E95312AF-5DC5-CC48-ACBF-75D8404F5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204</xdr:col>
      <xdr:colOff>464889</xdr:colOff>
      <xdr:row>0</xdr:row>
      <xdr:rowOff>66675</xdr:rowOff>
    </xdr:from>
    <xdr:to>
      <xdr:col>204</xdr:col>
      <xdr:colOff>687642</xdr:colOff>
      <xdr:row>0</xdr:row>
      <xdr:rowOff>523875</xdr:rowOff>
    </xdr:to>
    <xdr:pic>
      <xdr:nvPicPr>
        <xdr:cNvPr id="32" name="Picture 55068">
          <a:extLst>
            <a:ext uri="{FF2B5EF4-FFF2-40B4-BE49-F238E27FC236}">
              <a16:creationId xmlns:a16="http://schemas.microsoft.com/office/drawing/2014/main" id="{D2650162-7F9D-5E4D-BA55-BC6DC5618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12889" y="66675"/>
          <a:ext cx="222753" cy="1397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</xdr:row>
      <xdr:rowOff>39688</xdr:rowOff>
    </xdr:from>
    <xdr:to>
      <xdr:col>207</xdr:col>
      <xdr:colOff>460375</xdr:colOff>
      <xdr:row>2</xdr:row>
      <xdr:rowOff>293688</xdr:rowOff>
    </xdr:to>
    <xdr:pic>
      <xdr:nvPicPr>
        <xdr:cNvPr id="33" name="Picture 55071">
          <a:extLst>
            <a:ext uri="{FF2B5EF4-FFF2-40B4-BE49-F238E27FC236}">
              <a16:creationId xmlns:a16="http://schemas.microsoft.com/office/drawing/2014/main" id="{01D914D9-E4DA-6949-B5E7-48662177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72</xdr:col>
      <xdr:colOff>500063</xdr:colOff>
      <xdr:row>0</xdr:row>
      <xdr:rowOff>66675</xdr:rowOff>
    </xdr:from>
    <xdr:to>
      <xdr:col>72</xdr:col>
      <xdr:colOff>957263</xdr:colOff>
      <xdr:row>0</xdr:row>
      <xdr:rowOff>523875</xdr:rowOff>
    </xdr:to>
    <xdr:pic>
      <xdr:nvPicPr>
        <xdr:cNvPr id="34" name="Picture 55074">
          <a:extLst>
            <a:ext uri="{FF2B5EF4-FFF2-40B4-BE49-F238E27FC236}">
              <a16:creationId xmlns:a16="http://schemas.microsoft.com/office/drawing/2014/main" id="{F002B1C6-D166-6742-8CE6-EC0090BD3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64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</xdr:row>
      <xdr:rowOff>39688</xdr:rowOff>
    </xdr:from>
    <xdr:to>
      <xdr:col>75</xdr:col>
      <xdr:colOff>460375</xdr:colOff>
      <xdr:row>2</xdr:row>
      <xdr:rowOff>293688</xdr:rowOff>
    </xdr:to>
    <xdr:pic>
      <xdr:nvPicPr>
        <xdr:cNvPr id="35" name="Picture 55077">
          <a:extLst>
            <a:ext uri="{FF2B5EF4-FFF2-40B4-BE49-F238E27FC236}">
              <a16:creationId xmlns:a16="http://schemas.microsoft.com/office/drawing/2014/main" id="{0D17D5F9-AE40-924B-B212-99DB0DFA1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120</xdr:col>
      <xdr:colOff>500063</xdr:colOff>
      <xdr:row>0</xdr:row>
      <xdr:rowOff>66675</xdr:rowOff>
    </xdr:from>
    <xdr:to>
      <xdr:col>120</xdr:col>
      <xdr:colOff>957263</xdr:colOff>
      <xdr:row>0</xdr:row>
      <xdr:rowOff>523875</xdr:rowOff>
    </xdr:to>
    <xdr:pic>
      <xdr:nvPicPr>
        <xdr:cNvPr id="36" name="Picture 55080">
          <a:extLst>
            <a:ext uri="{FF2B5EF4-FFF2-40B4-BE49-F238E27FC236}">
              <a16:creationId xmlns:a16="http://schemas.microsoft.com/office/drawing/2014/main" id="{729EE2A7-32D1-E441-90F3-B1AC1D39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40063" y="66675"/>
          <a:ext cx="266700" cy="1397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</xdr:row>
      <xdr:rowOff>39688</xdr:rowOff>
    </xdr:from>
    <xdr:to>
      <xdr:col>123</xdr:col>
      <xdr:colOff>460375</xdr:colOff>
      <xdr:row>2</xdr:row>
      <xdr:rowOff>293688</xdr:rowOff>
    </xdr:to>
    <xdr:pic>
      <xdr:nvPicPr>
        <xdr:cNvPr id="37" name="Picture 55083">
          <a:extLst>
            <a:ext uri="{FF2B5EF4-FFF2-40B4-BE49-F238E27FC236}">
              <a16:creationId xmlns:a16="http://schemas.microsoft.com/office/drawing/2014/main" id="{626921E2-F13E-9B40-9185-7CDA0E86E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156</xdr:col>
      <xdr:colOff>347663</xdr:colOff>
      <xdr:row>0</xdr:row>
      <xdr:rowOff>66675</xdr:rowOff>
    </xdr:from>
    <xdr:to>
      <xdr:col>156</xdr:col>
      <xdr:colOff>804863</xdr:colOff>
      <xdr:row>0</xdr:row>
      <xdr:rowOff>523875</xdr:rowOff>
    </xdr:to>
    <xdr:pic>
      <xdr:nvPicPr>
        <xdr:cNvPr id="38" name="Picture 55086">
          <a:extLst>
            <a:ext uri="{FF2B5EF4-FFF2-40B4-BE49-F238E27FC236}">
              <a16:creationId xmlns:a16="http://schemas.microsoft.com/office/drawing/2014/main" id="{9CF0255C-1139-2343-AEE1-7FE54F58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19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</xdr:row>
      <xdr:rowOff>39688</xdr:rowOff>
    </xdr:from>
    <xdr:to>
      <xdr:col>159</xdr:col>
      <xdr:colOff>460375</xdr:colOff>
      <xdr:row>2</xdr:row>
      <xdr:rowOff>293688</xdr:rowOff>
    </xdr:to>
    <xdr:pic>
      <xdr:nvPicPr>
        <xdr:cNvPr id="39" name="Picture 55089">
          <a:extLst>
            <a:ext uri="{FF2B5EF4-FFF2-40B4-BE49-F238E27FC236}">
              <a16:creationId xmlns:a16="http://schemas.microsoft.com/office/drawing/2014/main" id="{07093632-A756-864B-9FD7-B7E588CF3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228</xdr:col>
      <xdr:colOff>347663</xdr:colOff>
      <xdr:row>0</xdr:row>
      <xdr:rowOff>66675</xdr:rowOff>
    </xdr:from>
    <xdr:to>
      <xdr:col>228</xdr:col>
      <xdr:colOff>804863</xdr:colOff>
      <xdr:row>0</xdr:row>
      <xdr:rowOff>523875</xdr:rowOff>
    </xdr:to>
    <xdr:pic>
      <xdr:nvPicPr>
        <xdr:cNvPr id="40" name="Picture 55092">
          <a:extLst>
            <a:ext uri="{FF2B5EF4-FFF2-40B4-BE49-F238E27FC236}">
              <a16:creationId xmlns:a16="http://schemas.microsoft.com/office/drawing/2014/main" id="{057F1BDD-CF58-E44D-B65E-918CB7CF4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83663" y="66675"/>
          <a:ext cx="419100" cy="1397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</xdr:row>
      <xdr:rowOff>39688</xdr:rowOff>
    </xdr:from>
    <xdr:to>
      <xdr:col>231</xdr:col>
      <xdr:colOff>460375</xdr:colOff>
      <xdr:row>2</xdr:row>
      <xdr:rowOff>293688</xdr:rowOff>
    </xdr:to>
    <xdr:pic>
      <xdr:nvPicPr>
        <xdr:cNvPr id="41" name="Picture 55095">
          <a:extLst>
            <a:ext uri="{FF2B5EF4-FFF2-40B4-BE49-F238E27FC236}">
              <a16:creationId xmlns:a16="http://schemas.microsoft.com/office/drawing/2014/main" id="{A74C72D1-E921-F04C-A309-F96A05872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446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</xdr:row>
      <xdr:rowOff>39688</xdr:rowOff>
    </xdr:from>
    <xdr:to>
      <xdr:col>183</xdr:col>
      <xdr:colOff>460375</xdr:colOff>
      <xdr:row>3</xdr:row>
      <xdr:rowOff>293688</xdr:rowOff>
    </xdr:to>
    <xdr:pic>
      <xdr:nvPicPr>
        <xdr:cNvPr id="42" name="Picture 55098">
          <a:extLst>
            <a:ext uri="{FF2B5EF4-FFF2-40B4-BE49-F238E27FC236}">
              <a16:creationId xmlns:a16="http://schemas.microsoft.com/office/drawing/2014/main" id="{5CEBFAC1-6174-5940-8080-AE516DB5C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</xdr:row>
      <xdr:rowOff>39688</xdr:rowOff>
    </xdr:from>
    <xdr:to>
      <xdr:col>195</xdr:col>
      <xdr:colOff>460375</xdr:colOff>
      <xdr:row>3</xdr:row>
      <xdr:rowOff>293688</xdr:rowOff>
    </xdr:to>
    <xdr:pic>
      <xdr:nvPicPr>
        <xdr:cNvPr id="43" name="Picture 55101">
          <a:extLst>
            <a:ext uri="{FF2B5EF4-FFF2-40B4-BE49-F238E27FC236}">
              <a16:creationId xmlns:a16="http://schemas.microsoft.com/office/drawing/2014/main" id="{3145E75C-FBF0-034E-8E89-5018E2ACE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</xdr:row>
      <xdr:rowOff>39688</xdr:rowOff>
    </xdr:from>
    <xdr:to>
      <xdr:col>111</xdr:col>
      <xdr:colOff>460375</xdr:colOff>
      <xdr:row>3</xdr:row>
      <xdr:rowOff>293688</xdr:rowOff>
    </xdr:to>
    <xdr:pic>
      <xdr:nvPicPr>
        <xdr:cNvPr id="44" name="Picture 55104">
          <a:extLst>
            <a:ext uri="{FF2B5EF4-FFF2-40B4-BE49-F238E27FC236}">
              <a16:creationId xmlns:a16="http://schemas.microsoft.com/office/drawing/2014/main" id="{D89D6FE4-CAC6-9A40-9F4A-B4BF9047B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</xdr:row>
      <xdr:rowOff>39688</xdr:rowOff>
    </xdr:from>
    <xdr:to>
      <xdr:col>39</xdr:col>
      <xdr:colOff>460375</xdr:colOff>
      <xdr:row>3</xdr:row>
      <xdr:rowOff>293688</xdr:rowOff>
    </xdr:to>
    <xdr:pic>
      <xdr:nvPicPr>
        <xdr:cNvPr id="45" name="Picture 55107">
          <a:extLst>
            <a:ext uri="{FF2B5EF4-FFF2-40B4-BE49-F238E27FC236}">
              <a16:creationId xmlns:a16="http://schemas.microsoft.com/office/drawing/2014/main" id="{8000060C-1BEA-A54F-80D9-7A5A57207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</xdr:row>
      <xdr:rowOff>39688</xdr:rowOff>
    </xdr:from>
    <xdr:to>
      <xdr:col>123</xdr:col>
      <xdr:colOff>460375</xdr:colOff>
      <xdr:row>3</xdr:row>
      <xdr:rowOff>293688</xdr:rowOff>
    </xdr:to>
    <xdr:pic>
      <xdr:nvPicPr>
        <xdr:cNvPr id="46" name="Picture 55110">
          <a:extLst>
            <a:ext uri="{FF2B5EF4-FFF2-40B4-BE49-F238E27FC236}">
              <a16:creationId xmlns:a16="http://schemas.microsoft.com/office/drawing/2014/main" id="{E3E36D3D-522F-8A4C-953C-D7E956B4C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</xdr:row>
      <xdr:rowOff>39688</xdr:rowOff>
    </xdr:from>
    <xdr:to>
      <xdr:col>27</xdr:col>
      <xdr:colOff>460375</xdr:colOff>
      <xdr:row>3</xdr:row>
      <xdr:rowOff>293688</xdr:rowOff>
    </xdr:to>
    <xdr:pic>
      <xdr:nvPicPr>
        <xdr:cNvPr id="47" name="Picture 55113">
          <a:extLst>
            <a:ext uri="{FF2B5EF4-FFF2-40B4-BE49-F238E27FC236}">
              <a16:creationId xmlns:a16="http://schemas.microsoft.com/office/drawing/2014/main" id="{193C95E4-9152-BB4B-A256-FFB4D7524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</xdr:row>
      <xdr:rowOff>39688</xdr:rowOff>
    </xdr:from>
    <xdr:to>
      <xdr:col>231</xdr:col>
      <xdr:colOff>460375</xdr:colOff>
      <xdr:row>3</xdr:row>
      <xdr:rowOff>293688</xdr:rowOff>
    </xdr:to>
    <xdr:pic>
      <xdr:nvPicPr>
        <xdr:cNvPr id="48" name="Picture 55116">
          <a:extLst>
            <a:ext uri="{FF2B5EF4-FFF2-40B4-BE49-F238E27FC236}">
              <a16:creationId xmlns:a16="http://schemas.microsoft.com/office/drawing/2014/main" id="{B917382C-CDEE-0044-90B8-7CA08F32A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</xdr:row>
      <xdr:rowOff>39688</xdr:rowOff>
    </xdr:from>
    <xdr:to>
      <xdr:col>51</xdr:col>
      <xdr:colOff>460375</xdr:colOff>
      <xdr:row>3</xdr:row>
      <xdr:rowOff>293688</xdr:rowOff>
    </xdr:to>
    <xdr:pic>
      <xdr:nvPicPr>
        <xdr:cNvPr id="49" name="Picture 55119">
          <a:extLst>
            <a:ext uri="{FF2B5EF4-FFF2-40B4-BE49-F238E27FC236}">
              <a16:creationId xmlns:a16="http://schemas.microsoft.com/office/drawing/2014/main" id="{917E6722-5088-3640-8B84-70BBDBC6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</xdr:row>
      <xdr:rowOff>39688</xdr:rowOff>
    </xdr:from>
    <xdr:to>
      <xdr:col>207</xdr:col>
      <xdr:colOff>460375</xdr:colOff>
      <xdr:row>3</xdr:row>
      <xdr:rowOff>293688</xdr:rowOff>
    </xdr:to>
    <xdr:pic>
      <xdr:nvPicPr>
        <xdr:cNvPr id="50" name="Picture 55122">
          <a:extLst>
            <a:ext uri="{FF2B5EF4-FFF2-40B4-BE49-F238E27FC236}">
              <a16:creationId xmlns:a16="http://schemas.microsoft.com/office/drawing/2014/main" id="{D90F6606-EA3B-314C-9A02-7DB21C0EF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</xdr:row>
      <xdr:rowOff>39688</xdr:rowOff>
    </xdr:from>
    <xdr:to>
      <xdr:col>159</xdr:col>
      <xdr:colOff>460375</xdr:colOff>
      <xdr:row>3</xdr:row>
      <xdr:rowOff>293688</xdr:rowOff>
    </xdr:to>
    <xdr:pic>
      <xdr:nvPicPr>
        <xdr:cNvPr id="51" name="Picture 55125">
          <a:extLst>
            <a:ext uri="{FF2B5EF4-FFF2-40B4-BE49-F238E27FC236}">
              <a16:creationId xmlns:a16="http://schemas.microsoft.com/office/drawing/2014/main" id="{8AC5629C-605E-854F-83CD-90225BE5C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</xdr:row>
      <xdr:rowOff>39688</xdr:rowOff>
    </xdr:from>
    <xdr:to>
      <xdr:col>147</xdr:col>
      <xdr:colOff>460375</xdr:colOff>
      <xdr:row>3</xdr:row>
      <xdr:rowOff>293688</xdr:rowOff>
    </xdr:to>
    <xdr:pic>
      <xdr:nvPicPr>
        <xdr:cNvPr id="52" name="Picture 55128">
          <a:extLst>
            <a:ext uri="{FF2B5EF4-FFF2-40B4-BE49-F238E27FC236}">
              <a16:creationId xmlns:a16="http://schemas.microsoft.com/office/drawing/2014/main" id="{E1490301-F7FC-CB48-ABBD-607DFEE66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</xdr:row>
      <xdr:rowOff>39688</xdr:rowOff>
    </xdr:from>
    <xdr:to>
      <xdr:col>171</xdr:col>
      <xdr:colOff>460375</xdr:colOff>
      <xdr:row>3</xdr:row>
      <xdr:rowOff>293688</xdr:rowOff>
    </xdr:to>
    <xdr:pic>
      <xdr:nvPicPr>
        <xdr:cNvPr id="53" name="Picture 55131">
          <a:extLst>
            <a:ext uri="{FF2B5EF4-FFF2-40B4-BE49-F238E27FC236}">
              <a16:creationId xmlns:a16="http://schemas.microsoft.com/office/drawing/2014/main" id="{01116E2E-D9A6-D344-A04D-E2F6205D4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</xdr:row>
      <xdr:rowOff>39688</xdr:rowOff>
    </xdr:from>
    <xdr:to>
      <xdr:col>15</xdr:col>
      <xdr:colOff>460375</xdr:colOff>
      <xdr:row>3</xdr:row>
      <xdr:rowOff>293688</xdr:rowOff>
    </xdr:to>
    <xdr:pic>
      <xdr:nvPicPr>
        <xdr:cNvPr id="54" name="Picture 55134">
          <a:extLst>
            <a:ext uri="{FF2B5EF4-FFF2-40B4-BE49-F238E27FC236}">
              <a16:creationId xmlns:a16="http://schemas.microsoft.com/office/drawing/2014/main" id="{76DCE6C0-BA85-B142-B574-A121A12A6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</xdr:row>
      <xdr:rowOff>39688</xdr:rowOff>
    </xdr:from>
    <xdr:to>
      <xdr:col>99</xdr:col>
      <xdr:colOff>460375</xdr:colOff>
      <xdr:row>3</xdr:row>
      <xdr:rowOff>293688</xdr:rowOff>
    </xdr:to>
    <xdr:pic>
      <xdr:nvPicPr>
        <xdr:cNvPr id="55" name="Picture 55137">
          <a:extLst>
            <a:ext uri="{FF2B5EF4-FFF2-40B4-BE49-F238E27FC236}">
              <a16:creationId xmlns:a16="http://schemas.microsoft.com/office/drawing/2014/main" id="{D01D4A3E-EB5E-F346-8139-42D679059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</xdr:row>
      <xdr:rowOff>39688</xdr:rowOff>
    </xdr:from>
    <xdr:to>
      <xdr:col>219</xdr:col>
      <xdr:colOff>460375</xdr:colOff>
      <xdr:row>3</xdr:row>
      <xdr:rowOff>293688</xdr:rowOff>
    </xdr:to>
    <xdr:pic>
      <xdr:nvPicPr>
        <xdr:cNvPr id="56" name="Picture 55140">
          <a:extLst>
            <a:ext uri="{FF2B5EF4-FFF2-40B4-BE49-F238E27FC236}">
              <a16:creationId xmlns:a16="http://schemas.microsoft.com/office/drawing/2014/main" id="{3B180C9A-B741-8F40-B955-CEB89705E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</xdr:row>
      <xdr:rowOff>39688</xdr:rowOff>
    </xdr:from>
    <xdr:to>
      <xdr:col>75</xdr:col>
      <xdr:colOff>460375</xdr:colOff>
      <xdr:row>3</xdr:row>
      <xdr:rowOff>293688</xdr:rowOff>
    </xdr:to>
    <xdr:pic>
      <xdr:nvPicPr>
        <xdr:cNvPr id="57" name="Picture 55143">
          <a:extLst>
            <a:ext uri="{FF2B5EF4-FFF2-40B4-BE49-F238E27FC236}">
              <a16:creationId xmlns:a16="http://schemas.microsoft.com/office/drawing/2014/main" id="{9E457480-66CB-3F48-B947-0384EAF1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</xdr:row>
      <xdr:rowOff>39688</xdr:rowOff>
    </xdr:from>
    <xdr:to>
      <xdr:col>87</xdr:col>
      <xdr:colOff>460375</xdr:colOff>
      <xdr:row>3</xdr:row>
      <xdr:rowOff>293688</xdr:rowOff>
    </xdr:to>
    <xdr:pic>
      <xdr:nvPicPr>
        <xdr:cNvPr id="58" name="Picture 55146">
          <a:extLst>
            <a:ext uri="{FF2B5EF4-FFF2-40B4-BE49-F238E27FC236}">
              <a16:creationId xmlns:a16="http://schemas.microsoft.com/office/drawing/2014/main" id="{9444C2ED-78A6-8340-9FB9-CD3F3077E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</xdr:row>
      <xdr:rowOff>39688</xdr:rowOff>
    </xdr:from>
    <xdr:to>
      <xdr:col>3</xdr:col>
      <xdr:colOff>460375</xdr:colOff>
      <xdr:row>3</xdr:row>
      <xdr:rowOff>293688</xdr:rowOff>
    </xdr:to>
    <xdr:pic>
      <xdr:nvPicPr>
        <xdr:cNvPr id="59" name="Picture 55149">
          <a:extLst>
            <a:ext uri="{FF2B5EF4-FFF2-40B4-BE49-F238E27FC236}">
              <a16:creationId xmlns:a16="http://schemas.microsoft.com/office/drawing/2014/main" id="{ECC09D32-895B-9B42-B1AD-D619FF77F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205426</xdr:colOff>
      <xdr:row>4</xdr:row>
      <xdr:rowOff>39688</xdr:rowOff>
    </xdr:from>
    <xdr:to>
      <xdr:col>75</xdr:col>
      <xdr:colOff>461322</xdr:colOff>
      <xdr:row>4</xdr:row>
      <xdr:rowOff>293688</xdr:rowOff>
    </xdr:to>
    <xdr:pic>
      <xdr:nvPicPr>
        <xdr:cNvPr id="60" name="Picture 55152">
          <a:extLst>
            <a:ext uri="{FF2B5EF4-FFF2-40B4-BE49-F238E27FC236}">
              <a16:creationId xmlns:a16="http://schemas.microsoft.com/office/drawing/2014/main" id="{5A207F2C-B92B-114D-9C06-F04F9F008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5426" y="852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</xdr:row>
      <xdr:rowOff>39688</xdr:rowOff>
    </xdr:from>
    <xdr:to>
      <xdr:col>135</xdr:col>
      <xdr:colOff>460375</xdr:colOff>
      <xdr:row>3</xdr:row>
      <xdr:rowOff>293688</xdr:rowOff>
    </xdr:to>
    <xdr:pic>
      <xdr:nvPicPr>
        <xdr:cNvPr id="61" name="Picture 55155">
          <a:extLst>
            <a:ext uri="{FF2B5EF4-FFF2-40B4-BE49-F238E27FC236}">
              <a16:creationId xmlns:a16="http://schemas.microsoft.com/office/drawing/2014/main" id="{66F6916A-5434-D844-B00D-4F6F83FD7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</xdr:row>
      <xdr:rowOff>39688</xdr:rowOff>
    </xdr:from>
    <xdr:to>
      <xdr:col>27</xdr:col>
      <xdr:colOff>460375</xdr:colOff>
      <xdr:row>4</xdr:row>
      <xdr:rowOff>293688</xdr:rowOff>
    </xdr:to>
    <xdr:pic>
      <xdr:nvPicPr>
        <xdr:cNvPr id="62" name="Picture 55158">
          <a:extLst>
            <a:ext uri="{FF2B5EF4-FFF2-40B4-BE49-F238E27FC236}">
              <a16:creationId xmlns:a16="http://schemas.microsoft.com/office/drawing/2014/main" id="{8D33212C-9E71-564C-B71E-74DF17D96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</xdr:row>
      <xdr:rowOff>39688</xdr:rowOff>
    </xdr:from>
    <xdr:to>
      <xdr:col>207</xdr:col>
      <xdr:colOff>460375</xdr:colOff>
      <xdr:row>4</xdr:row>
      <xdr:rowOff>293688</xdr:rowOff>
    </xdr:to>
    <xdr:pic>
      <xdr:nvPicPr>
        <xdr:cNvPr id="63" name="Picture 55161">
          <a:extLst>
            <a:ext uri="{FF2B5EF4-FFF2-40B4-BE49-F238E27FC236}">
              <a16:creationId xmlns:a16="http://schemas.microsoft.com/office/drawing/2014/main" id="{E5088C65-3096-164E-B8A0-1E5DE8E5A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</xdr:row>
      <xdr:rowOff>39688</xdr:rowOff>
    </xdr:from>
    <xdr:to>
      <xdr:col>3</xdr:col>
      <xdr:colOff>460375</xdr:colOff>
      <xdr:row>4</xdr:row>
      <xdr:rowOff>293688</xdr:rowOff>
    </xdr:to>
    <xdr:pic>
      <xdr:nvPicPr>
        <xdr:cNvPr id="64" name="Picture 55164">
          <a:extLst>
            <a:ext uri="{FF2B5EF4-FFF2-40B4-BE49-F238E27FC236}">
              <a16:creationId xmlns:a16="http://schemas.microsoft.com/office/drawing/2014/main" id="{4C13871D-D302-A944-BA12-40778D296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</xdr:row>
      <xdr:rowOff>39688</xdr:rowOff>
    </xdr:from>
    <xdr:to>
      <xdr:col>111</xdr:col>
      <xdr:colOff>460375</xdr:colOff>
      <xdr:row>4</xdr:row>
      <xdr:rowOff>293688</xdr:rowOff>
    </xdr:to>
    <xdr:pic>
      <xdr:nvPicPr>
        <xdr:cNvPr id="65" name="Picture 55167">
          <a:extLst>
            <a:ext uri="{FF2B5EF4-FFF2-40B4-BE49-F238E27FC236}">
              <a16:creationId xmlns:a16="http://schemas.microsoft.com/office/drawing/2014/main" id="{07CDA422-5610-1F44-94B1-74279DF5A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</xdr:row>
      <xdr:rowOff>39688</xdr:rowOff>
    </xdr:from>
    <xdr:to>
      <xdr:col>39</xdr:col>
      <xdr:colOff>460375</xdr:colOff>
      <xdr:row>4</xdr:row>
      <xdr:rowOff>293688</xdr:rowOff>
    </xdr:to>
    <xdr:pic>
      <xdr:nvPicPr>
        <xdr:cNvPr id="66" name="Picture 55170">
          <a:extLst>
            <a:ext uri="{FF2B5EF4-FFF2-40B4-BE49-F238E27FC236}">
              <a16:creationId xmlns:a16="http://schemas.microsoft.com/office/drawing/2014/main" id="{B47F50BA-6B85-D24F-85A7-2A83A014F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</xdr:row>
      <xdr:rowOff>39688</xdr:rowOff>
    </xdr:from>
    <xdr:to>
      <xdr:col>87</xdr:col>
      <xdr:colOff>460375</xdr:colOff>
      <xdr:row>4</xdr:row>
      <xdr:rowOff>293688</xdr:rowOff>
    </xdr:to>
    <xdr:pic>
      <xdr:nvPicPr>
        <xdr:cNvPr id="67" name="Picture 55173">
          <a:extLst>
            <a:ext uri="{FF2B5EF4-FFF2-40B4-BE49-F238E27FC236}">
              <a16:creationId xmlns:a16="http://schemas.microsoft.com/office/drawing/2014/main" id="{506C51C0-385D-B846-BE17-661F4014C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</xdr:row>
      <xdr:rowOff>39688</xdr:rowOff>
    </xdr:from>
    <xdr:to>
      <xdr:col>99</xdr:col>
      <xdr:colOff>460375</xdr:colOff>
      <xdr:row>4</xdr:row>
      <xdr:rowOff>293688</xdr:rowOff>
    </xdr:to>
    <xdr:pic>
      <xdr:nvPicPr>
        <xdr:cNvPr id="68" name="Picture 55176">
          <a:extLst>
            <a:ext uri="{FF2B5EF4-FFF2-40B4-BE49-F238E27FC236}">
              <a16:creationId xmlns:a16="http://schemas.microsoft.com/office/drawing/2014/main" id="{D2A68773-E612-C547-BD0A-57920666A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</xdr:row>
      <xdr:rowOff>39688</xdr:rowOff>
    </xdr:from>
    <xdr:to>
      <xdr:col>231</xdr:col>
      <xdr:colOff>460375</xdr:colOff>
      <xdr:row>4</xdr:row>
      <xdr:rowOff>293688</xdr:rowOff>
    </xdr:to>
    <xdr:pic>
      <xdr:nvPicPr>
        <xdr:cNvPr id="69" name="Picture 55179">
          <a:extLst>
            <a:ext uri="{FF2B5EF4-FFF2-40B4-BE49-F238E27FC236}">
              <a16:creationId xmlns:a16="http://schemas.microsoft.com/office/drawing/2014/main" id="{94D720A5-4919-F447-9349-88C2C5A53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</xdr:row>
      <xdr:rowOff>39688</xdr:rowOff>
    </xdr:from>
    <xdr:to>
      <xdr:col>159</xdr:col>
      <xdr:colOff>460375</xdr:colOff>
      <xdr:row>4</xdr:row>
      <xdr:rowOff>293688</xdr:rowOff>
    </xdr:to>
    <xdr:pic>
      <xdr:nvPicPr>
        <xdr:cNvPr id="70" name="Picture 55182">
          <a:extLst>
            <a:ext uri="{FF2B5EF4-FFF2-40B4-BE49-F238E27FC236}">
              <a16:creationId xmlns:a16="http://schemas.microsoft.com/office/drawing/2014/main" id="{4C68EA00-2918-DA46-8AE5-07010A31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</xdr:row>
      <xdr:rowOff>39688</xdr:rowOff>
    </xdr:from>
    <xdr:to>
      <xdr:col>183</xdr:col>
      <xdr:colOff>460375</xdr:colOff>
      <xdr:row>4</xdr:row>
      <xdr:rowOff>293688</xdr:rowOff>
    </xdr:to>
    <xdr:pic>
      <xdr:nvPicPr>
        <xdr:cNvPr id="71" name="Picture 55185">
          <a:extLst>
            <a:ext uri="{FF2B5EF4-FFF2-40B4-BE49-F238E27FC236}">
              <a16:creationId xmlns:a16="http://schemas.microsoft.com/office/drawing/2014/main" id="{F4494BA6-8842-0544-9173-9F15D37FC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</xdr:row>
      <xdr:rowOff>39688</xdr:rowOff>
    </xdr:from>
    <xdr:to>
      <xdr:col>51</xdr:col>
      <xdr:colOff>460375</xdr:colOff>
      <xdr:row>4</xdr:row>
      <xdr:rowOff>293688</xdr:rowOff>
    </xdr:to>
    <xdr:pic>
      <xdr:nvPicPr>
        <xdr:cNvPr id="72" name="Picture 55188">
          <a:extLst>
            <a:ext uri="{FF2B5EF4-FFF2-40B4-BE49-F238E27FC236}">
              <a16:creationId xmlns:a16="http://schemas.microsoft.com/office/drawing/2014/main" id="{35420CD8-1E62-8447-B753-87B89844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</xdr:row>
      <xdr:rowOff>39688</xdr:rowOff>
    </xdr:from>
    <xdr:to>
      <xdr:col>219</xdr:col>
      <xdr:colOff>460375</xdr:colOff>
      <xdr:row>4</xdr:row>
      <xdr:rowOff>293688</xdr:rowOff>
    </xdr:to>
    <xdr:pic>
      <xdr:nvPicPr>
        <xdr:cNvPr id="73" name="Picture 55191">
          <a:extLst>
            <a:ext uri="{FF2B5EF4-FFF2-40B4-BE49-F238E27FC236}">
              <a16:creationId xmlns:a16="http://schemas.microsoft.com/office/drawing/2014/main" id="{8456A48B-2A93-414F-80CD-BC471EEC0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</xdr:row>
      <xdr:rowOff>39688</xdr:rowOff>
    </xdr:from>
    <xdr:to>
      <xdr:col>63</xdr:col>
      <xdr:colOff>460375</xdr:colOff>
      <xdr:row>3</xdr:row>
      <xdr:rowOff>293688</xdr:rowOff>
    </xdr:to>
    <xdr:pic>
      <xdr:nvPicPr>
        <xdr:cNvPr id="74" name="Picture 55194">
          <a:extLst>
            <a:ext uri="{FF2B5EF4-FFF2-40B4-BE49-F238E27FC236}">
              <a16:creationId xmlns:a16="http://schemas.microsoft.com/office/drawing/2014/main" id="{A71B23E2-F708-CA4B-87C0-44E560AF8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649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223047</xdr:colOff>
      <xdr:row>4</xdr:row>
      <xdr:rowOff>39688</xdr:rowOff>
    </xdr:from>
    <xdr:to>
      <xdr:col>15</xdr:col>
      <xdr:colOff>443703</xdr:colOff>
      <xdr:row>4</xdr:row>
      <xdr:rowOff>293688</xdr:rowOff>
    </xdr:to>
    <xdr:pic>
      <xdr:nvPicPr>
        <xdr:cNvPr id="75" name="Picture 55197">
          <a:extLst>
            <a:ext uri="{FF2B5EF4-FFF2-40B4-BE49-F238E27FC236}">
              <a16:creationId xmlns:a16="http://schemas.microsoft.com/office/drawing/2014/main" id="{CF8FEECB-3D0A-284D-B8CE-DFF3382B0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3047" y="852488"/>
          <a:ext cx="220656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</xdr:row>
      <xdr:rowOff>39688</xdr:rowOff>
    </xdr:from>
    <xdr:to>
      <xdr:col>195</xdr:col>
      <xdr:colOff>460375</xdr:colOff>
      <xdr:row>4</xdr:row>
      <xdr:rowOff>293688</xdr:rowOff>
    </xdr:to>
    <xdr:pic>
      <xdr:nvPicPr>
        <xdr:cNvPr id="76" name="Picture 55200">
          <a:extLst>
            <a:ext uri="{FF2B5EF4-FFF2-40B4-BE49-F238E27FC236}">
              <a16:creationId xmlns:a16="http://schemas.microsoft.com/office/drawing/2014/main" id="{41A12D57-4BD2-2647-A0F2-B017593DE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</xdr:row>
      <xdr:rowOff>39688</xdr:rowOff>
    </xdr:from>
    <xdr:to>
      <xdr:col>147</xdr:col>
      <xdr:colOff>460375</xdr:colOff>
      <xdr:row>4</xdr:row>
      <xdr:rowOff>293688</xdr:rowOff>
    </xdr:to>
    <xdr:pic>
      <xdr:nvPicPr>
        <xdr:cNvPr id="77" name="Picture 55203">
          <a:extLst>
            <a:ext uri="{FF2B5EF4-FFF2-40B4-BE49-F238E27FC236}">
              <a16:creationId xmlns:a16="http://schemas.microsoft.com/office/drawing/2014/main" id="{B99CD36C-9AE7-6E49-B964-187F4F2C9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</xdr:row>
      <xdr:rowOff>39688</xdr:rowOff>
    </xdr:from>
    <xdr:to>
      <xdr:col>171</xdr:col>
      <xdr:colOff>460375</xdr:colOff>
      <xdr:row>4</xdr:row>
      <xdr:rowOff>293688</xdr:rowOff>
    </xdr:to>
    <xdr:pic>
      <xdr:nvPicPr>
        <xdr:cNvPr id="78" name="Picture 55206">
          <a:extLst>
            <a:ext uri="{FF2B5EF4-FFF2-40B4-BE49-F238E27FC236}">
              <a16:creationId xmlns:a16="http://schemas.microsoft.com/office/drawing/2014/main" id="{049DA812-24BE-1742-A737-67FF398D0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</xdr:row>
      <xdr:rowOff>39688</xdr:rowOff>
    </xdr:from>
    <xdr:to>
      <xdr:col>123</xdr:col>
      <xdr:colOff>460375</xdr:colOff>
      <xdr:row>4</xdr:row>
      <xdr:rowOff>293688</xdr:rowOff>
    </xdr:to>
    <xdr:pic>
      <xdr:nvPicPr>
        <xdr:cNvPr id="79" name="Picture 55209">
          <a:extLst>
            <a:ext uri="{FF2B5EF4-FFF2-40B4-BE49-F238E27FC236}">
              <a16:creationId xmlns:a16="http://schemas.microsoft.com/office/drawing/2014/main" id="{CADE3CB2-693D-7243-BDED-4F171CFA7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524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5</xdr:row>
      <xdr:rowOff>39688</xdr:rowOff>
    </xdr:from>
    <xdr:to>
      <xdr:col>135</xdr:col>
      <xdr:colOff>460375</xdr:colOff>
      <xdr:row>5</xdr:row>
      <xdr:rowOff>293688</xdr:rowOff>
    </xdr:to>
    <xdr:pic>
      <xdr:nvPicPr>
        <xdr:cNvPr id="80" name="Picture 55212">
          <a:extLst>
            <a:ext uri="{FF2B5EF4-FFF2-40B4-BE49-F238E27FC236}">
              <a16:creationId xmlns:a16="http://schemas.microsoft.com/office/drawing/2014/main" id="{C58F7998-BE6F-244A-A3DD-C4DB46C7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1055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205432</xdr:colOff>
      <xdr:row>6</xdr:row>
      <xdr:rowOff>39688</xdr:rowOff>
    </xdr:from>
    <xdr:to>
      <xdr:col>219</xdr:col>
      <xdr:colOff>461328</xdr:colOff>
      <xdr:row>6</xdr:row>
      <xdr:rowOff>293688</xdr:rowOff>
    </xdr:to>
    <xdr:pic>
      <xdr:nvPicPr>
        <xdr:cNvPr id="81" name="Picture 55215">
          <a:extLst>
            <a:ext uri="{FF2B5EF4-FFF2-40B4-BE49-F238E27FC236}">
              <a16:creationId xmlns:a16="http://schemas.microsoft.com/office/drawing/2014/main" id="{998B234E-7103-B74A-AE22-6B58F6D53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3432" y="1258888"/>
          <a:ext cx="255896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6</xdr:row>
      <xdr:rowOff>39688</xdr:rowOff>
    </xdr:from>
    <xdr:to>
      <xdr:col>195</xdr:col>
      <xdr:colOff>460375</xdr:colOff>
      <xdr:row>6</xdr:row>
      <xdr:rowOff>293688</xdr:rowOff>
    </xdr:to>
    <xdr:pic>
      <xdr:nvPicPr>
        <xdr:cNvPr id="82" name="Picture 55218">
          <a:extLst>
            <a:ext uri="{FF2B5EF4-FFF2-40B4-BE49-F238E27FC236}">
              <a16:creationId xmlns:a16="http://schemas.microsoft.com/office/drawing/2014/main" id="{68187AF4-2230-C64D-A526-68202E95D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6</xdr:row>
      <xdr:rowOff>39688</xdr:rowOff>
    </xdr:from>
    <xdr:to>
      <xdr:col>99</xdr:col>
      <xdr:colOff>460375</xdr:colOff>
      <xdr:row>6</xdr:row>
      <xdr:rowOff>293688</xdr:rowOff>
    </xdr:to>
    <xdr:pic>
      <xdr:nvPicPr>
        <xdr:cNvPr id="83" name="Picture 55221">
          <a:extLst>
            <a:ext uri="{FF2B5EF4-FFF2-40B4-BE49-F238E27FC236}">
              <a16:creationId xmlns:a16="http://schemas.microsoft.com/office/drawing/2014/main" id="{BC51AE68-0422-D34F-8935-23C16B706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6</xdr:row>
      <xdr:rowOff>39688</xdr:rowOff>
    </xdr:from>
    <xdr:to>
      <xdr:col>39</xdr:col>
      <xdr:colOff>460375</xdr:colOff>
      <xdr:row>6</xdr:row>
      <xdr:rowOff>293688</xdr:rowOff>
    </xdr:to>
    <xdr:pic>
      <xdr:nvPicPr>
        <xdr:cNvPr id="84" name="Picture 55224">
          <a:extLst>
            <a:ext uri="{FF2B5EF4-FFF2-40B4-BE49-F238E27FC236}">
              <a16:creationId xmlns:a16="http://schemas.microsoft.com/office/drawing/2014/main" id="{804BA520-BC67-6244-AF69-694B3AC68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6</xdr:row>
      <xdr:rowOff>39688</xdr:rowOff>
    </xdr:from>
    <xdr:to>
      <xdr:col>27</xdr:col>
      <xdr:colOff>460375</xdr:colOff>
      <xdr:row>6</xdr:row>
      <xdr:rowOff>293688</xdr:rowOff>
    </xdr:to>
    <xdr:pic>
      <xdr:nvPicPr>
        <xdr:cNvPr id="85" name="Picture 55227">
          <a:extLst>
            <a:ext uri="{FF2B5EF4-FFF2-40B4-BE49-F238E27FC236}">
              <a16:creationId xmlns:a16="http://schemas.microsoft.com/office/drawing/2014/main" id="{81A2AAA3-04A8-694A-94FE-9FA0C4CDF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5</xdr:row>
      <xdr:rowOff>39688</xdr:rowOff>
    </xdr:from>
    <xdr:to>
      <xdr:col>63</xdr:col>
      <xdr:colOff>460375</xdr:colOff>
      <xdr:row>5</xdr:row>
      <xdr:rowOff>293688</xdr:rowOff>
    </xdr:to>
    <xdr:pic>
      <xdr:nvPicPr>
        <xdr:cNvPr id="86" name="Picture 55230">
          <a:extLst>
            <a:ext uri="{FF2B5EF4-FFF2-40B4-BE49-F238E27FC236}">
              <a16:creationId xmlns:a16="http://schemas.microsoft.com/office/drawing/2014/main" id="{C764AC9F-9C6C-BC40-951C-CD181C1F5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1055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223044</xdr:colOff>
      <xdr:row>6</xdr:row>
      <xdr:rowOff>39688</xdr:rowOff>
    </xdr:from>
    <xdr:to>
      <xdr:col>207</xdr:col>
      <xdr:colOff>443700</xdr:colOff>
      <xdr:row>6</xdr:row>
      <xdr:rowOff>293688</xdr:rowOff>
    </xdr:to>
    <xdr:pic>
      <xdr:nvPicPr>
        <xdr:cNvPr id="87" name="Picture 55233">
          <a:extLst>
            <a:ext uri="{FF2B5EF4-FFF2-40B4-BE49-F238E27FC236}">
              <a16:creationId xmlns:a16="http://schemas.microsoft.com/office/drawing/2014/main" id="{A536E112-50A9-5349-B9F9-74A669937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57044" y="1258888"/>
          <a:ext cx="220656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6</xdr:row>
      <xdr:rowOff>39688</xdr:rowOff>
    </xdr:from>
    <xdr:to>
      <xdr:col>75</xdr:col>
      <xdr:colOff>460375</xdr:colOff>
      <xdr:row>6</xdr:row>
      <xdr:rowOff>293688</xdr:rowOff>
    </xdr:to>
    <xdr:pic>
      <xdr:nvPicPr>
        <xdr:cNvPr id="88" name="Picture 55236">
          <a:extLst>
            <a:ext uri="{FF2B5EF4-FFF2-40B4-BE49-F238E27FC236}">
              <a16:creationId xmlns:a16="http://schemas.microsoft.com/office/drawing/2014/main" id="{244DC402-C5B9-214F-9079-95C6EF5D3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6</xdr:row>
      <xdr:rowOff>39688</xdr:rowOff>
    </xdr:from>
    <xdr:to>
      <xdr:col>183</xdr:col>
      <xdr:colOff>460375</xdr:colOff>
      <xdr:row>6</xdr:row>
      <xdr:rowOff>293688</xdr:rowOff>
    </xdr:to>
    <xdr:pic>
      <xdr:nvPicPr>
        <xdr:cNvPr id="89" name="Picture 55239">
          <a:extLst>
            <a:ext uri="{FF2B5EF4-FFF2-40B4-BE49-F238E27FC236}">
              <a16:creationId xmlns:a16="http://schemas.microsoft.com/office/drawing/2014/main" id="{0B99F56A-13EB-A64F-B7BE-66310F82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6</xdr:row>
      <xdr:rowOff>39688</xdr:rowOff>
    </xdr:from>
    <xdr:to>
      <xdr:col>147</xdr:col>
      <xdr:colOff>460375</xdr:colOff>
      <xdr:row>6</xdr:row>
      <xdr:rowOff>293688</xdr:rowOff>
    </xdr:to>
    <xdr:pic>
      <xdr:nvPicPr>
        <xdr:cNvPr id="90" name="Picture 55242">
          <a:extLst>
            <a:ext uri="{FF2B5EF4-FFF2-40B4-BE49-F238E27FC236}">
              <a16:creationId xmlns:a16="http://schemas.microsoft.com/office/drawing/2014/main" id="{264093A9-DA2B-5848-A082-09E0CC383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6</xdr:row>
      <xdr:rowOff>39688</xdr:rowOff>
    </xdr:from>
    <xdr:to>
      <xdr:col>111</xdr:col>
      <xdr:colOff>460375</xdr:colOff>
      <xdr:row>6</xdr:row>
      <xdr:rowOff>293688</xdr:rowOff>
    </xdr:to>
    <xdr:pic>
      <xdr:nvPicPr>
        <xdr:cNvPr id="91" name="Picture 55245">
          <a:extLst>
            <a:ext uri="{FF2B5EF4-FFF2-40B4-BE49-F238E27FC236}">
              <a16:creationId xmlns:a16="http://schemas.microsoft.com/office/drawing/2014/main" id="{9BD354AD-F4EA-2B40-B4CD-F1D552C7A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6</xdr:row>
      <xdr:rowOff>39688</xdr:rowOff>
    </xdr:from>
    <xdr:to>
      <xdr:col>51</xdr:col>
      <xdr:colOff>460375</xdr:colOff>
      <xdr:row>6</xdr:row>
      <xdr:rowOff>293688</xdr:rowOff>
    </xdr:to>
    <xdr:pic>
      <xdr:nvPicPr>
        <xdr:cNvPr id="92" name="Picture 55248">
          <a:extLst>
            <a:ext uri="{FF2B5EF4-FFF2-40B4-BE49-F238E27FC236}">
              <a16:creationId xmlns:a16="http://schemas.microsoft.com/office/drawing/2014/main" id="{9E1862BC-E070-0A47-903C-5E1C333D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6</xdr:row>
      <xdr:rowOff>39688</xdr:rowOff>
    </xdr:from>
    <xdr:to>
      <xdr:col>171</xdr:col>
      <xdr:colOff>460375</xdr:colOff>
      <xdr:row>6</xdr:row>
      <xdr:rowOff>293688</xdr:rowOff>
    </xdr:to>
    <xdr:pic>
      <xdr:nvPicPr>
        <xdr:cNvPr id="93" name="Picture 55251">
          <a:extLst>
            <a:ext uri="{FF2B5EF4-FFF2-40B4-BE49-F238E27FC236}">
              <a16:creationId xmlns:a16="http://schemas.microsoft.com/office/drawing/2014/main" id="{AC8C2D42-2312-5A4B-9757-73264641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6</xdr:row>
      <xdr:rowOff>39688</xdr:rowOff>
    </xdr:from>
    <xdr:to>
      <xdr:col>87</xdr:col>
      <xdr:colOff>460375</xdr:colOff>
      <xdr:row>6</xdr:row>
      <xdr:rowOff>293688</xdr:rowOff>
    </xdr:to>
    <xdr:pic>
      <xdr:nvPicPr>
        <xdr:cNvPr id="94" name="Picture 55254">
          <a:extLst>
            <a:ext uri="{FF2B5EF4-FFF2-40B4-BE49-F238E27FC236}">
              <a16:creationId xmlns:a16="http://schemas.microsoft.com/office/drawing/2014/main" id="{D1FEAF62-DB0E-6C40-B06F-1F97BCBB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6</xdr:row>
      <xdr:rowOff>39688</xdr:rowOff>
    </xdr:from>
    <xdr:to>
      <xdr:col>231</xdr:col>
      <xdr:colOff>460375</xdr:colOff>
      <xdr:row>6</xdr:row>
      <xdr:rowOff>293688</xdr:rowOff>
    </xdr:to>
    <xdr:pic>
      <xdr:nvPicPr>
        <xdr:cNvPr id="95" name="Picture 55257">
          <a:extLst>
            <a:ext uri="{FF2B5EF4-FFF2-40B4-BE49-F238E27FC236}">
              <a16:creationId xmlns:a16="http://schemas.microsoft.com/office/drawing/2014/main" id="{318CD10B-F78F-D343-A60B-2158782C4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6</xdr:row>
      <xdr:rowOff>39688</xdr:rowOff>
    </xdr:from>
    <xdr:to>
      <xdr:col>123</xdr:col>
      <xdr:colOff>460375</xdr:colOff>
      <xdr:row>6</xdr:row>
      <xdr:rowOff>293688</xdr:rowOff>
    </xdr:to>
    <xdr:pic>
      <xdr:nvPicPr>
        <xdr:cNvPr id="96" name="Picture 55260">
          <a:extLst>
            <a:ext uri="{FF2B5EF4-FFF2-40B4-BE49-F238E27FC236}">
              <a16:creationId xmlns:a16="http://schemas.microsoft.com/office/drawing/2014/main" id="{6C78800C-AA75-B448-AD71-E27387C59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6</xdr:row>
      <xdr:rowOff>39688</xdr:rowOff>
    </xdr:from>
    <xdr:to>
      <xdr:col>15</xdr:col>
      <xdr:colOff>460375</xdr:colOff>
      <xdr:row>6</xdr:row>
      <xdr:rowOff>293688</xdr:rowOff>
    </xdr:to>
    <xdr:pic>
      <xdr:nvPicPr>
        <xdr:cNvPr id="97" name="Picture 55263">
          <a:extLst>
            <a:ext uri="{FF2B5EF4-FFF2-40B4-BE49-F238E27FC236}">
              <a16:creationId xmlns:a16="http://schemas.microsoft.com/office/drawing/2014/main" id="{006DEF76-4069-BE4E-A8A9-4039E6F0B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6</xdr:row>
      <xdr:rowOff>39688</xdr:rowOff>
    </xdr:from>
    <xdr:to>
      <xdr:col>3</xdr:col>
      <xdr:colOff>460375</xdr:colOff>
      <xdr:row>6</xdr:row>
      <xdr:rowOff>293688</xdr:rowOff>
    </xdr:to>
    <xdr:pic>
      <xdr:nvPicPr>
        <xdr:cNvPr id="98" name="Picture 55266">
          <a:extLst>
            <a:ext uri="{FF2B5EF4-FFF2-40B4-BE49-F238E27FC236}">
              <a16:creationId xmlns:a16="http://schemas.microsoft.com/office/drawing/2014/main" id="{AED05E80-3128-1C4E-A7CC-E4C7FB4F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6</xdr:row>
      <xdr:rowOff>39688</xdr:rowOff>
    </xdr:from>
    <xdr:to>
      <xdr:col>159</xdr:col>
      <xdr:colOff>460375</xdr:colOff>
      <xdr:row>6</xdr:row>
      <xdr:rowOff>293688</xdr:rowOff>
    </xdr:to>
    <xdr:pic>
      <xdr:nvPicPr>
        <xdr:cNvPr id="99" name="Picture 55269">
          <a:extLst>
            <a:ext uri="{FF2B5EF4-FFF2-40B4-BE49-F238E27FC236}">
              <a16:creationId xmlns:a16="http://schemas.microsoft.com/office/drawing/2014/main" id="{A49DE184-815E-AE46-9635-697506A9A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7</xdr:row>
      <xdr:rowOff>39688</xdr:rowOff>
    </xdr:from>
    <xdr:to>
      <xdr:col>231</xdr:col>
      <xdr:colOff>460375</xdr:colOff>
      <xdr:row>7</xdr:row>
      <xdr:rowOff>293688</xdr:rowOff>
    </xdr:to>
    <xdr:pic>
      <xdr:nvPicPr>
        <xdr:cNvPr id="100" name="Picture 55272">
          <a:extLst>
            <a:ext uri="{FF2B5EF4-FFF2-40B4-BE49-F238E27FC236}">
              <a16:creationId xmlns:a16="http://schemas.microsoft.com/office/drawing/2014/main" id="{E712DC87-299D-7D41-BF41-944C8BDF8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7</xdr:row>
      <xdr:rowOff>39688</xdr:rowOff>
    </xdr:from>
    <xdr:to>
      <xdr:col>123</xdr:col>
      <xdr:colOff>460375</xdr:colOff>
      <xdr:row>7</xdr:row>
      <xdr:rowOff>293688</xdr:rowOff>
    </xdr:to>
    <xdr:pic>
      <xdr:nvPicPr>
        <xdr:cNvPr id="101" name="Picture 55275">
          <a:extLst>
            <a:ext uri="{FF2B5EF4-FFF2-40B4-BE49-F238E27FC236}">
              <a16:creationId xmlns:a16="http://schemas.microsoft.com/office/drawing/2014/main" id="{19060831-11D2-354A-876D-01F9260DA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7</xdr:row>
      <xdr:rowOff>39688</xdr:rowOff>
    </xdr:from>
    <xdr:to>
      <xdr:col>15</xdr:col>
      <xdr:colOff>460375</xdr:colOff>
      <xdr:row>7</xdr:row>
      <xdr:rowOff>293688</xdr:rowOff>
    </xdr:to>
    <xdr:pic>
      <xdr:nvPicPr>
        <xdr:cNvPr id="102" name="Picture 55278">
          <a:extLst>
            <a:ext uri="{FF2B5EF4-FFF2-40B4-BE49-F238E27FC236}">
              <a16:creationId xmlns:a16="http://schemas.microsoft.com/office/drawing/2014/main" id="{D14CDED5-B3A5-0A41-8A48-3BEA35B30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7</xdr:row>
      <xdr:rowOff>39688</xdr:rowOff>
    </xdr:from>
    <xdr:to>
      <xdr:col>87</xdr:col>
      <xdr:colOff>460375</xdr:colOff>
      <xdr:row>7</xdr:row>
      <xdr:rowOff>293688</xdr:rowOff>
    </xdr:to>
    <xdr:pic>
      <xdr:nvPicPr>
        <xdr:cNvPr id="103" name="Picture 55281">
          <a:extLst>
            <a:ext uri="{FF2B5EF4-FFF2-40B4-BE49-F238E27FC236}">
              <a16:creationId xmlns:a16="http://schemas.microsoft.com/office/drawing/2014/main" id="{773C3D3C-05FA-664C-8637-ECE6EE5B9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205426</xdr:colOff>
      <xdr:row>7</xdr:row>
      <xdr:rowOff>39688</xdr:rowOff>
    </xdr:from>
    <xdr:to>
      <xdr:col>111</xdr:col>
      <xdr:colOff>461322</xdr:colOff>
      <xdr:row>7</xdr:row>
      <xdr:rowOff>293688</xdr:rowOff>
    </xdr:to>
    <xdr:pic>
      <xdr:nvPicPr>
        <xdr:cNvPr id="104" name="Picture 55284">
          <a:extLst>
            <a:ext uri="{FF2B5EF4-FFF2-40B4-BE49-F238E27FC236}">
              <a16:creationId xmlns:a16="http://schemas.microsoft.com/office/drawing/2014/main" id="{9BE41911-6191-1542-9E48-534E7A2B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7426" y="14620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6</xdr:row>
      <xdr:rowOff>39688</xdr:rowOff>
    </xdr:from>
    <xdr:to>
      <xdr:col>135</xdr:col>
      <xdr:colOff>460375</xdr:colOff>
      <xdr:row>6</xdr:row>
      <xdr:rowOff>293688</xdr:rowOff>
    </xdr:to>
    <xdr:pic>
      <xdr:nvPicPr>
        <xdr:cNvPr id="105" name="Picture 55287">
          <a:extLst>
            <a:ext uri="{FF2B5EF4-FFF2-40B4-BE49-F238E27FC236}">
              <a16:creationId xmlns:a16="http://schemas.microsoft.com/office/drawing/2014/main" id="{3A87969B-73C1-9846-961A-A7978DB48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7</xdr:row>
      <xdr:rowOff>39688</xdr:rowOff>
    </xdr:from>
    <xdr:to>
      <xdr:col>159</xdr:col>
      <xdr:colOff>460375</xdr:colOff>
      <xdr:row>7</xdr:row>
      <xdr:rowOff>293688</xdr:rowOff>
    </xdr:to>
    <xdr:pic>
      <xdr:nvPicPr>
        <xdr:cNvPr id="106" name="Picture 55290">
          <a:extLst>
            <a:ext uri="{FF2B5EF4-FFF2-40B4-BE49-F238E27FC236}">
              <a16:creationId xmlns:a16="http://schemas.microsoft.com/office/drawing/2014/main" id="{7470F530-A5D0-1044-B9D5-1D0589473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7</xdr:row>
      <xdr:rowOff>39688</xdr:rowOff>
    </xdr:from>
    <xdr:to>
      <xdr:col>51</xdr:col>
      <xdr:colOff>460375</xdr:colOff>
      <xdr:row>7</xdr:row>
      <xdr:rowOff>293688</xdr:rowOff>
    </xdr:to>
    <xdr:pic>
      <xdr:nvPicPr>
        <xdr:cNvPr id="107" name="Picture 55293">
          <a:extLst>
            <a:ext uri="{FF2B5EF4-FFF2-40B4-BE49-F238E27FC236}">
              <a16:creationId xmlns:a16="http://schemas.microsoft.com/office/drawing/2014/main" id="{8FA4CAE8-73C3-1743-84EE-76758D3DE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7</xdr:row>
      <xdr:rowOff>39688</xdr:rowOff>
    </xdr:from>
    <xdr:to>
      <xdr:col>207</xdr:col>
      <xdr:colOff>460375</xdr:colOff>
      <xdr:row>7</xdr:row>
      <xdr:rowOff>293688</xdr:rowOff>
    </xdr:to>
    <xdr:pic>
      <xdr:nvPicPr>
        <xdr:cNvPr id="108" name="Picture 52992">
          <a:extLst>
            <a:ext uri="{FF2B5EF4-FFF2-40B4-BE49-F238E27FC236}">
              <a16:creationId xmlns:a16="http://schemas.microsoft.com/office/drawing/2014/main" id="{E03B3894-62B2-6448-AA48-88F8A9E60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7</xdr:row>
      <xdr:rowOff>39688</xdr:rowOff>
    </xdr:from>
    <xdr:to>
      <xdr:col>195</xdr:col>
      <xdr:colOff>460375</xdr:colOff>
      <xdr:row>7</xdr:row>
      <xdr:rowOff>293688</xdr:rowOff>
    </xdr:to>
    <xdr:pic>
      <xdr:nvPicPr>
        <xdr:cNvPr id="109" name="Picture 52995">
          <a:extLst>
            <a:ext uri="{FF2B5EF4-FFF2-40B4-BE49-F238E27FC236}">
              <a16:creationId xmlns:a16="http://schemas.microsoft.com/office/drawing/2014/main" id="{CDAB5C16-CB4A-F745-8E6D-8DDA62218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7</xdr:row>
      <xdr:rowOff>39688</xdr:rowOff>
    </xdr:from>
    <xdr:to>
      <xdr:col>219</xdr:col>
      <xdr:colOff>460375</xdr:colOff>
      <xdr:row>7</xdr:row>
      <xdr:rowOff>293688</xdr:rowOff>
    </xdr:to>
    <xdr:pic>
      <xdr:nvPicPr>
        <xdr:cNvPr id="110" name="Picture 52998">
          <a:extLst>
            <a:ext uri="{FF2B5EF4-FFF2-40B4-BE49-F238E27FC236}">
              <a16:creationId xmlns:a16="http://schemas.microsoft.com/office/drawing/2014/main" id="{E97E1F9B-99CA-2848-98C1-126848B77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7</xdr:row>
      <xdr:rowOff>39688</xdr:rowOff>
    </xdr:from>
    <xdr:to>
      <xdr:col>147</xdr:col>
      <xdr:colOff>460375</xdr:colOff>
      <xdr:row>7</xdr:row>
      <xdr:rowOff>293688</xdr:rowOff>
    </xdr:to>
    <xdr:pic>
      <xdr:nvPicPr>
        <xdr:cNvPr id="111" name="Picture 53001">
          <a:extLst>
            <a:ext uri="{FF2B5EF4-FFF2-40B4-BE49-F238E27FC236}">
              <a16:creationId xmlns:a16="http://schemas.microsoft.com/office/drawing/2014/main" id="{7E066A00-497E-8D4E-97A6-393E8767D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7</xdr:row>
      <xdr:rowOff>39688</xdr:rowOff>
    </xdr:from>
    <xdr:to>
      <xdr:col>171</xdr:col>
      <xdr:colOff>460375</xdr:colOff>
      <xdr:row>7</xdr:row>
      <xdr:rowOff>293688</xdr:rowOff>
    </xdr:to>
    <xdr:pic>
      <xdr:nvPicPr>
        <xdr:cNvPr id="112" name="Picture 53004">
          <a:extLst>
            <a:ext uri="{FF2B5EF4-FFF2-40B4-BE49-F238E27FC236}">
              <a16:creationId xmlns:a16="http://schemas.microsoft.com/office/drawing/2014/main" id="{B5A13E78-A42C-6F4E-B536-6A436AF4A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7</xdr:row>
      <xdr:rowOff>39688</xdr:rowOff>
    </xdr:from>
    <xdr:to>
      <xdr:col>39</xdr:col>
      <xdr:colOff>460375</xdr:colOff>
      <xdr:row>7</xdr:row>
      <xdr:rowOff>293688</xdr:rowOff>
    </xdr:to>
    <xdr:pic>
      <xdr:nvPicPr>
        <xdr:cNvPr id="113" name="Picture 53007">
          <a:extLst>
            <a:ext uri="{FF2B5EF4-FFF2-40B4-BE49-F238E27FC236}">
              <a16:creationId xmlns:a16="http://schemas.microsoft.com/office/drawing/2014/main" id="{1A6F4D0B-9DBB-F644-8156-0C1BB40FB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7</xdr:row>
      <xdr:rowOff>39688</xdr:rowOff>
    </xdr:from>
    <xdr:to>
      <xdr:col>27</xdr:col>
      <xdr:colOff>460375</xdr:colOff>
      <xdr:row>7</xdr:row>
      <xdr:rowOff>293688</xdr:rowOff>
    </xdr:to>
    <xdr:pic>
      <xdr:nvPicPr>
        <xdr:cNvPr id="114" name="Picture 53010">
          <a:extLst>
            <a:ext uri="{FF2B5EF4-FFF2-40B4-BE49-F238E27FC236}">
              <a16:creationId xmlns:a16="http://schemas.microsoft.com/office/drawing/2014/main" id="{73275250-E425-1744-A02F-360908EBC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7</xdr:row>
      <xdr:rowOff>39688</xdr:rowOff>
    </xdr:from>
    <xdr:to>
      <xdr:col>75</xdr:col>
      <xdr:colOff>460375</xdr:colOff>
      <xdr:row>7</xdr:row>
      <xdr:rowOff>293688</xdr:rowOff>
    </xdr:to>
    <xdr:pic>
      <xdr:nvPicPr>
        <xdr:cNvPr id="115" name="Picture 53013">
          <a:extLst>
            <a:ext uri="{FF2B5EF4-FFF2-40B4-BE49-F238E27FC236}">
              <a16:creationId xmlns:a16="http://schemas.microsoft.com/office/drawing/2014/main" id="{54F1752B-4F88-0442-903D-ADBAF6B08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7</xdr:row>
      <xdr:rowOff>39688</xdr:rowOff>
    </xdr:from>
    <xdr:to>
      <xdr:col>99</xdr:col>
      <xdr:colOff>460375</xdr:colOff>
      <xdr:row>7</xdr:row>
      <xdr:rowOff>293688</xdr:rowOff>
    </xdr:to>
    <xdr:pic>
      <xdr:nvPicPr>
        <xdr:cNvPr id="116" name="Picture 53016">
          <a:extLst>
            <a:ext uri="{FF2B5EF4-FFF2-40B4-BE49-F238E27FC236}">
              <a16:creationId xmlns:a16="http://schemas.microsoft.com/office/drawing/2014/main" id="{B4CB9F7E-4842-1A42-BF37-B89931286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7</xdr:row>
      <xdr:rowOff>39688</xdr:rowOff>
    </xdr:from>
    <xdr:to>
      <xdr:col>3</xdr:col>
      <xdr:colOff>460375</xdr:colOff>
      <xdr:row>7</xdr:row>
      <xdr:rowOff>293688</xdr:rowOff>
    </xdr:to>
    <xdr:pic>
      <xdr:nvPicPr>
        <xdr:cNvPr id="117" name="Picture 53019">
          <a:extLst>
            <a:ext uri="{FF2B5EF4-FFF2-40B4-BE49-F238E27FC236}">
              <a16:creationId xmlns:a16="http://schemas.microsoft.com/office/drawing/2014/main" id="{06031219-B2A3-F347-9E6A-184216521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223044</xdr:colOff>
      <xdr:row>7</xdr:row>
      <xdr:rowOff>39688</xdr:rowOff>
    </xdr:from>
    <xdr:to>
      <xdr:col>183</xdr:col>
      <xdr:colOff>443700</xdr:colOff>
      <xdr:row>7</xdr:row>
      <xdr:rowOff>293688</xdr:rowOff>
    </xdr:to>
    <xdr:pic>
      <xdr:nvPicPr>
        <xdr:cNvPr id="118" name="Picture 53022">
          <a:extLst>
            <a:ext uri="{FF2B5EF4-FFF2-40B4-BE49-F238E27FC236}">
              <a16:creationId xmlns:a16="http://schemas.microsoft.com/office/drawing/2014/main" id="{DBBBFC85-3A9C-0147-8CC8-F21B71E5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69044" y="14620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6</xdr:row>
      <xdr:rowOff>39688</xdr:rowOff>
    </xdr:from>
    <xdr:to>
      <xdr:col>63</xdr:col>
      <xdr:colOff>460375</xdr:colOff>
      <xdr:row>6</xdr:row>
      <xdr:rowOff>293688</xdr:rowOff>
    </xdr:to>
    <xdr:pic>
      <xdr:nvPicPr>
        <xdr:cNvPr id="119" name="Picture 53025">
          <a:extLst>
            <a:ext uri="{FF2B5EF4-FFF2-40B4-BE49-F238E27FC236}">
              <a16:creationId xmlns:a16="http://schemas.microsoft.com/office/drawing/2014/main" id="{F063329C-FD07-8C44-974C-57300EC19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1258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8</xdr:row>
      <xdr:rowOff>39688</xdr:rowOff>
    </xdr:from>
    <xdr:to>
      <xdr:col>87</xdr:col>
      <xdr:colOff>460375</xdr:colOff>
      <xdr:row>8</xdr:row>
      <xdr:rowOff>293688</xdr:rowOff>
    </xdr:to>
    <xdr:pic>
      <xdr:nvPicPr>
        <xdr:cNvPr id="120" name="Picture 53028">
          <a:extLst>
            <a:ext uri="{FF2B5EF4-FFF2-40B4-BE49-F238E27FC236}">
              <a16:creationId xmlns:a16="http://schemas.microsoft.com/office/drawing/2014/main" id="{CB00AAC7-BB46-FB42-A107-A8692FB8E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8</xdr:row>
      <xdr:rowOff>39688</xdr:rowOff>
    </xdr:from>
    <xdr:to>
      <xdr:col>111</xdr:col>
      <xdr:colOff>460375</xdr:colOff>
      <xdr:row>8</xdr:row>
      <xdr:rowOff>293688</xdr:rowOff>
    </xdr:to>
    <xdr:pic>
      <xdr:nvPicPr>
        <xdr:cNvPr id="121" name="Picture 53031">
          <a:extLst>
            <a:ext uri="{FF2B5EF4-FFF2-40B4-BE49-F238E27FC236}">
              <a16:creationId xmlns:a16="http://schemas.microsoft.com/office/drawing/2014/main" id="{5208E686-8849-BD48-A803-9FC3BD349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7</xdr:row>
      <xdr:rowOff>39688</xdr:rowOff>
    </xdr:from>
    <xdr:to>
      <xdr:col>135</xdr:col>
      <xdr:colOff>460375</xdr:colOff>
      <xdr:row>7</xdr:row>
      <xdr:rowOff>293688</xdr:rowOff>
    </xdr:to>
    <xdr:pic>
      <xdr:nvPicPr>
        <xdr:cNvPr id="122" name="Picture 53034">
          <a:extLst>
            <a:ext uri="{FF2B5EF4-FFF2-40B4-BE49-F238E27FC236}">
              <a16:creationId xmlns:a16="http://schemas.microsoft.com/office/drawing/2014/main" id="{9BB00BD8-0417-DA49-AC57-F123F8368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205432</xdr:colOff>
      <xdr:row>8</xdr:row>
      <xdr:rowOff>39688</xdr:rowOff>
    </xdr:from>
    <xdr:to>
      <xdr:col>231</xdr:col>
      <xdr:colOff>461328</xdr:colOff>
      <xdr:row>8</xdr:row>
      <xdr:rowOff>293688</xdr:rowOff>
    </xdr:to>
    <xdr:pic>
      <xdr:nvPicPr>
        <xdr:cNvPr id="123" name="Picture 53037">
          <a:extLst>
            <a:ext uri="{FF2B5EF4-FFF2-40B4-BE49-F238E27FC236}">
              <a16:creationId xmlns:a16="http://schemas.microsoft.com/office/drawing/2014/main" id="{56C40951-8AED-4448-97DD-05AC98082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7432" y="1665288"/>
          <a:ext cx="255896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8</xdr:row>
      <xdr:rowOff>39688</xdr:rowOff>
    </xdr:from>
    <xdr:to>
      <xdr:col>147</xdr:col>
      <xdr:colOff>460375</xdr:colOff>
      <xdr:row>8</xdr:row>
      <xdr:rowOff>293688</xdr:rowOff>
    </xdr:to>
    <xdr:pic>
      <xdr:nvPicPr>
        <xdr:cNvPr id="124" name="Picture 53040">
          <a:extLst>
            <a:ext uri="{FF2B5EF4-FFF2-40B4-BE49-F238E27FC236}">
              <a16:creationId xmlns:a16="http://schemas.microsoft.com/office/drawing/2014/main" id="{587FE4FB-A22A-C84F-B545-A603AEB34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8</xdr:row>
      <xdr:rowOff>39688</xdr:rowOff>
    </xdr:from>
    <xdr:to>
      <xdr:col>183</xdr:col>
      <xdr:colOff>460375</xdr:colOff>
      <xdr:row>8</xdr:row>
      <xdr:rowOff>293688</xdr:rowOff>
    </xdr:to>
    <xdr:pic>
      <xdr:nvPicPr>
        <xdr:cNvPr id="125" name="Picture 53043">
          <a:extLst>
            <a:ext uri="{FF2B5EF4-FFF2-40B4-BE49-F238E27FC236}">
              <a16:creationId xmlns:a16="http://schemas.microsoft.com/office/drawing/2014/main" id="{F564C984-CC9F-A641-99A0-2600B9650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8</xdr:row>
      <xdr:rowOff>39688</xdr:rowOff>
    </xdr:from>
    <xdr:to>
      <xdr:col>39</xdr:col>
      <xdr:colOff>460375</xdr:colOff>
      <xdr:row>8</xdr:row>
      <xdr:rowOff>293688</xdr:rowOff>
    </xdr:to>
    <xdr:pic>
      <xdr:nvPicPr>
        <xdr:cNvPr id="126" name="Picture 53046">
          <a:extLst>
            <a:ext uri="{FF2B5EF4-FFF2-40B4-BE49-F238E27FC236}">
              <a16:creationId xmlns:a16="http://schemas.microsoft.com/office/drawing/2014/main" id="{0A517EF6-F8F9-0A48-B24E-D2170C5F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8</xdr:row>
      <xdr:rowOff>39688</xdr:rowOff>
    </xdr:from>
    <xdr:to>
      <xdr:col>99</xdr:col>
      <xdr:colOff>460375</xdr:colOff>
      <xdr:row>8</xdr:row>
      <xdr:rowOff>293688</xdr:rowOff>
    </xdr:to>
    <xdr:pic>
      <xdr:nvPicPr>
        <xdr:cNvPr id="127" name="Picture 53049">
          <a:extLst>
            <a:ext uri="{FF2B5EF4-FFF2-40B4-BE49-F238E27FC236}">
              <a16:creationId xmlns:a16="http://schemas.microsoft.com/office/drawing/2014/main" id="{A1895891-A6E5-FD4D-832D-9DA277C8D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7</xdr:row>
      <xdr:rowOff>39688</xdr:rowOff>
    </xdr:from>
    <xdr:to>
      <xdr:col>63</xdr:col>
      <xdr:colOff>460375</xdr:colOff>
      <xdr:row>7</xdr:row>
      <xdr:rowOff>293688</xdr:rowOff>
    </xdr:to>
    <xdr:pic>
      <xdr:nvPicPr>
        <xdr:cNvPr id="128" name="Picture 53052">
          <a:extLst>
            <a:ext uri="{FF2B5EF4-FFF2-40B4-BE49-F238E27FC236}">
              <a16:creationId xmlns:a16="http://schemas.microsoft.com/office/drawing/2014/main" id="{CC7566D4-BEC5-1344-AC6A-36A6D95C4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1462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223050</xdr:colOff>
      <xdr:row>8</xdr:row>
      <xdr:rowOff>39688</xdr:rowOff>
    </xdr:from>
    <xdr:to>
      <xdr:col>159</xdr:col>
      <xdr:colOff>443706</xdr:colOff>
      <xdr:row>8</xdr:row>
      <xdr:rowOff>293688</xdr:rowOff>
    </xdr:to>
    <xdr:pic>
      <xdr:nvPicPr>
        <xdr:cNvPr id="129" name="Picture 53055">
          <a:extLst>
            <a:ext uri="{FF2B5EF4-FFF2-40B4-BE49-F238E27FC236}">
              <a16:creationId xmlns:a16="http://schemas.microsoft.com/office/drawing/2014/main" id="{E90270E0-6F73-5B47-A9D2-65074958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1050" y="1665288"/>
          <a:ext cx="220656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8</xdr:row>
      <xdr:rowOff>39688</xdr:rowOff>
    </xdr:from>
    <xdr:to>
      <xdr:col>3</xdr:col>
      <xdr:colOff>460375</xdr:colOff>
      <xdr:row>8</xdr:row>
      <xdr:rowOff>293688</xdr:rowOff>
    </xdr:to>
    <xdr:pic>
      <xdr:nvPicPr>
        <xdr:cNvPr id="130" name="Picture 53058">
          <a:extLst>
            <a:ext uri="{FF2B5EF4-FFF2-40B4-BE49-F238E27FC236}">
              <a16:creationId xmlns:a16="http://schemas.microsoft.com/office/drawing/2014/main" id="{6115BA0F-F2BD-2744-93E4-7F29AC8CC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8</xdr:row>
      <xdr:rowOff>39688</xdr:rowOff>
    </xdr:from>
    <xdr:to>
      <xdr:col>207</xdr:col>
      <xdr:colOff>460375</xdr:colOff>
      <xdr:row>8</xdr:row>
      <xdr:rowOff>293688</xdr:rowOff>
    </xdr:to>
    <xdr:pic>
      <xdr:nvPicPr>
        <xdr:cNvPr id="131" name="Picture 53061">
          <a:extLst>
            <a:ext uri="{FF2B5EF4-FFF2-40B4-BE49-F238E27FC236}">
              <a16:creationId xmlns:a16="http://schemas.microsoft.com/office/drawing/2014/main" id="{C7565091-6428-7145-BF13-75324CE9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8</xdr:row>
      <xdr:rowOff>39688</xdr:rowOff>
    </xdr:from>
    <xdr:to>
      <xdr:col>51</xdr:col>
      <xdr:colOff>460375</xdr:colOff>
      <xdr:row>8</xdr:row>
      <xdr:rowOff>293688</xdr:rowOff>
    </xdr:to>
    <xdr:pic>
      <xdr:nvPicPr>
        <xdr:cNvPr id="132" name="Picture 53064">
          <a:extLst>
            <a:ext uri="{FF2B5EF4-FFF2-40B4-BE49-F238E27FC236}">
              <a16:creationId xmlns:a16="http://schemas.microsoft.com/office/drawing/2014/main" id="{DDF55C88-29EB-BA45-BB94-2D975EA78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8</xdr:row>
      <xdr:rowOff>39688</xdr:rowOff>
    </xdr:from>
    <xdr:to>
      <xdr:col>27</xdr:col>
      <xdr:colOff>460375</xdr:colOff>
      <xdr:row>8</xdr:row>
      <xdr:rowOff>293688</xdr:rowOff>
    </xdr:to>
    <xdr:pic>
      <xdr:nvPicPr>
        <xdr:cNvPr id="133" name="Picture 53067">
          <a:extLst>
            <a:ext uri="{FF2B5EF4-FFF2-40B4-BE49-F238E27FC236}">
              <a16:creationId xmlns:a16="http://schemas.microsoft.com/office/drawing/2014/main" id="{FA73CC54-1C2B-9B44-A9C2-9C486004C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8</xdr:row>
      <xdr:rowOff>39688</xdr:rowOff>
    </xdr:from>
    <xdr:to>
      <xdr:col>75</xdr:col>
      <xdr:colOff>460375</xdr:colOff>
      <xdr:row>8</xdr:row>
      <xdr:rowOff>293688</xdr:rowOff>
    </xdr:to>
    <xdr:pic>
      <xdr:nvPicPr>
        <xdr:cNvPr id="134" name="Picture 53070">
          <a:extLst>
            <a:ext uri="{FF2B5EF4-FFF2-40B4-BE49-F238E27FC236}">
              <a16:creationId xmlns:a16="http://schemas.microsoft.com/office/drawing/2014/main" id="{87EC93C1-0B89-454D-A2DC-3146F7A9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8</xdr:row>
      <xdr:rowOff>39688</xdr:rowOff>
    </xdr:from>
    <xdr:to>
      <xdr:col>15</xdr:col>
      <xdr:colOff>460375</xdr:colOff>
      <xdr:row>8</xdr:row>
      <xdr:rowOff>293688</xdr:rowOff>
    </xdr:to>
    <xdr:pic>
      <xdr:nvPicPr>
        <xdr:cNvPr id="135" name="Picture 53073">
          <a:extLst>
            <a:ext uri="{FF2B5EF4-FFF2-40B4-BE49-F238E27FC236}">
              <a16:creationId xmlns:a16="http://schemas.microsoft.com/office/drawing/2014/main" id="{19F7F1A9-58D3-3349-B9D5-575D57E00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8</xdr:row>
      <xdr:rowOff>39688</xdr:rowOff>
    </xdr:from>
    <xdr:to>
      <xdr:col>123</xdr:col>
      <xdr:colOff>460375</xdr:colOff>
      <xdr:row>8</xdr:row>
      <xdr:rowOff>293688</xdr:rowOff>
    </xdr:to>
    <xdr:pic>
      <xdr:nvPicPr>
        <xdr:cNvPr id="136" name="Picture 53076">
          <a:extLst>
            <a:ext uri="{FF2B5EF4-FFF2-40B4-BE49-F238E27FC236}">
              <a16:creationId xmlns:a16="http://schemas.microsoft.com/office/drawing/2014/main" id="{6ADA46EE-F0E1-6748-94C3-D5242749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8</xdr:row>
      <xdr:rowOff>39688</xdr:rowOff>
    </xdr:from>
    <xdr:to>
      <xdr:col>219</xdr:col>
      <xdr:colOff>460375</xdr:colOff>
      <xdr:row>8</xdr:row>
      <xdr:rowOff>293688</xdr:rowOff>
    </xdr:to>
    <xdr:pic>
      <xdr:nvPicPr>
        <xdr:cNvPr id="137" name="Picture 53079">
          <a:extLst>
            <a:ext uri="{FF2B5EF4-FFF2-40B4-BE49-F238E27FC236}">
              <a16:creationId xmlns:a16="http://schemas.microsoft.com/office/drawing/2014/main" id="{DB0648E1-48D8-C649-88DA-688AA9006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8</xdr:row>
      <xdr:rowOff>39688</xdr:rowOff>
    </xdr:from>
    <xdr:to>
      <xdr:col>195</xdr:col>
      <xdr:colOff>460375</xdr:colOff>
      <xdr:row>8</xdr:row>
      <xdr:rowOff>293688</xdr:rowOff>
    </xdr:to>
    <xdr:pic>
      <xdr:nvPicPr>
        <xdr:cNvPr id="138" name="Picture 53082">
          <a:extLst>
            <a:ext uri="{FF2B5EF4-FFF2-40B4-BE49-F238E27FC236}">
              <a16:creationId xmlns:a16="http://schemas.microsoft.com/office/drawing/2014/main" id="{B0767161-4400-4A42-A2F1-04842642F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8</xdr:row>
      <xdr:rowOff>39688</xdr:rowOff>
    </xdr:from>
    <xdr:to>
      <xdr:col>171</xdr:col>
      <xdr:colOff>460375</xdr:colOff>
      <xdr:row>8</xdr:row>
      <xdr:rowOff>293688</xdr:rowOff>
    </xdr:to>
    <xdr:pic>
      <xdr:nvPicPr>
        <xdr:cNvPr id="139" name="Picture 53085">
          <a:extLst>
            <a:ext uri="{FF2B5EF4-FFF2-40B4-BE49-F238E27FC236}">
              <a16:creationId xmlns:a16="http://schemas.microsoft.com/office/drawing/2014/main" id="{D02A8D34-6286-6F49-B8E2-B33EFA3F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9</xdr:row>
      <xdr:rowOff>39688</xdr:rowOff>
    </xdr:from>
    <xdr:to>
      <xdr:col>15</xdr:col>
      <xdr:colOff>460375</xdr:colOff>
      <xdr:row>9</xdr:row>
      <xdr:rowOff>293688</xdr:rowOff>
    </xdr:to>
    <xdr:pic>
      <xdr:nvPicPr>
        <xdr:cNvPr id="140" name="Picture 53088">
          <a:extLst>
            <a:ext uri="{FF2B5EF4-FFF2-40B4-BE49-F238E27FC236}">
              <a16:creationId xmlns:a16="http://schemas.microsoft.com/office/drawing/2014/main" id="{55D32028-822E-134A-ACE2-00AA45EF6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9</xdr:row>
      <xdr:rowOff>39688</xdr:rowOff>
    </xdr:from>
    <xdr:to>
      <xdr:col>51</xdr:col>
      <xdr:colOff>460375</xdr:colOff>
      <xdr:row>9</xdr:row>
      <xdr:rowOff>293688</xdr:rowOff>
    </xdr:to>
    <xdr:pic>
      <xdr:nvPicPr>
        <xdr:cNvPr id="141" name="Picture 53091">
          <a:extLst>
            <a:ext uri="{FF2B5EF4-FFF2-40B4-BE49-F238E27FC236}">
              <a16:creationId xmlns:a16="http://schemas.microsoft.com/office/drawing/2014/main" id="{01F56D78-C3B0-3248-A1C7-C049E4438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9</xdr:row>
      <xdr:rowOff>39688</xdr:rowOff>
    </xdr:from>
    <xdr:to>
      <xdr:col>27</xdr:col>
      <xdr:colOff>460375</xdr:colOff>
      <xdr:row>9</xdr:row>
      <xdr:rowOff>293688</xdr:rowOff>
    </xdr:to>
    <xdr:pic>
      <xdr:nvPicPr>
        <xdr:cNvPr id="142" name="Picture 53094">
          <a:extLst>
            <a:ext uri="{FF2B5EF4-FFF2-40B4-BE49-F238E27FC236}">
              <a16:creationId xmlns:a16="http://schemas.microsoft.com/office/drawing/2014/main" id="{8E0CEEE5-0663-2F42-9805-3D34AE640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9</xdr:row>
      <xdr:rowOff>39688</xdr:rowOff>
    </xdr:from>
    <xdr:to>
      <xdr:col>3</xdr:col>
      <xdr:colOff>460375</xdr:colOff>
      <xdr:row>9</xdr:row>
      <xdr:rowOff>293688</xdr:rowOff>
    </xdr:to>
    <xdr:pic>
      <xdr:nvPicPr>
        <xdr:cNvPr id="143" name="Picture 53097">
          <a:extLst>
            <a:ext uri="{FF2B5EF4-FFF2-40B4-BE49-F238E27FC236}">
              <a16:creationId xmlns:a16="http://schemas.microsoft.com/office/drawing/2014/main" id="{148614B2-63E2-9148-B959-1076C32F8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205426</xdr:colOff>
      <xdr:row>9</xdr:row>
      <xdr:rowOff>39688</xdr:rowOff>
    </xdr:from>
    <xdr:to>
      <xdr:col>99</xdr:col>
      <xdr:colOff>461322</xdr:colOff>
      <xdr:row>9</xdr:row>
      <xdr:rowOff>293688</xdr:rowOff>
    </xdr:to>
    <xdr:pic>
      <xdr:nvPicPr>
        <xdr:cNvPr id="144" name="Picture 53100">
          <a:extLst>
            <a:ext uri="{FF2B5EF4-FFF2-40B4-BE49-F238E27FC236}">
              <a16:creationId xmlns:a16="http://schemas.microsoft.com/office/drawing/2014/main" id="{096098BB-B248-024B-A016-ED5131ECB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3426" y="1868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8</xdr:row>
      <xdr:rowOff>39688</xdr:rowOff>
    </xdr:from>
    <xdr:to>
      <xdr:col>135</xdr:col>
      <xdr:colOff>460375</xdr:colOff>
      <xdr:row>8</xdr:row>
      <xdr:rowOff>293688</xdr:rowOff>
    </xdr:to>
    <xdr:pic>
      <xdr:nvPicPr>
        <xdr:cNvPr id="145" name="Picture 53103">
          <a:extLst>
            <a:ext uri="{FF2B5EF4-FFF2-40B4-BE49-F238E27FC236}">
              <a16:creationId xmlns:a16="http://schemas.microsoft.com/office/drawing/2014/main" id="{97A75A50-9551-2B49-AE99-9CC00EC46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9</xdr:row>
      <xdr:rowOff>39688</xdr:rowOff>
    </xdr:from>
    <xdr:to>
      <xdr:col>159</xdr:col>
      <xdr:colOff>460375</xdr:colOff>
      <xdr:row>9</xdr:row>
      <xdr:rowOff>293688</xdr:rowOff>
    </xdr:to>
    <xdr:pic>
      <xdr:nvPicPr>
        <xdr:cNvPr id="146" name="Picture 53106">
          <a:extLst>
            <a:ext uri="{FF2B5EF4-FFF2-40B4-BE49-F238E27FC236}">
              <a16:creationId xmlns:a16="http://schemas.microsoft.com/office/drawing/2014/main" id="{FCA628AD-D1D3-764C-99E3-372339A9F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9</xdr:row>
      <xdr:rowOff>39688</xdr:rowOff>
    </xdr:from>
    <xdr:to>
      <xdr:col>87</xdr:col>
      <xdr:colOff>460375</xdr:colOff>
      <xdr:row>9</xdr:row>
      <xdr:rowOff>293688</xdr:rowOff>
    </xdr:to>
    <xdr:pic>
      <xdr:nvPicPr>
        <xdr:cNvPr id="147" name="Picture 53109">
          <a:extLst>
            <a:ext uri="{FF2B5EF4-FFF2-40B4-BE49-F238E27FC236}">
              <a16:creationId xmlns:a16="http://schemas.microsoft.com/office/drawing/2014/main" id="{C8ADA524-7B6C-F841-A14E-62C3B9BC8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223044</xdr:colOff>
      <xdr:row>9</xdr:row>
      <xdr:rowOff>39688</xdr:rowOff>
    </xdr:from>
    <xdr:to>
      <xdr:col>171</xdr:col>
      <xdr:colOff>443700</xdr:colOff>
      <xdr:row>9</xdr:row>
      <xdr:rowOff>293688</xdr:rowOff>
    </xdr:to>
    <xdr:pic>
      <xdr:nvPicPr>
        <xdr:cNvPr id="148" name="Picture 53112">
          <a:extLst>
            <a:ext uri="{FF2B5EF4-FFF2-40B4-BE49-F238E27FC236}">
              <a16:creationId xmlns:a16="http://schemas.microsoft.com/office/drawing/2014/main" id="{8AA16A5F-0555-6B48-8667-70812B4F8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25044" y="18684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8</xdr:row>
      <xdr:rowOff>39688</xdr:rowOff>
    </xdr:from>
    <xdr:to>
      <xdr:col>63</xdr:col>
      <xdr:colOff>460375</xdr:colOff>
      <xdr:row>8</xdr:row>
      <xdr:rowOff>293688</xdr:rowOff>
    </xdr:to>
    <xdr:pic>
      <xdr:nvPicPr>
        <xdr:cNvPr id="149" name="Picture 53115">
          <a:extLst>
            <a:ext uri="{FF2B5EF4-FFF2-40B4-BE49-F238E27FC236}">
              <a16:creationId xmlns:a16="http://schemas.microsoft.com/office/drawing/2014/main" id="{101F10E5-A2C3-BD4A-AE4C-20F1D5D38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1665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9</xdr:row>
      <xdr:rowOff>39688</xdr:rowOff>
    </xdr:from>
    <xdr:to>
      <xdr:col>219</xdr:col>
      <xdr:colOff>460375</xdr:colOff>
      <xdr:row>9</xdr:row>
      <xdr:rowOff>293688</xdr:rowOff>
    </xdr:to>
    <xdr:pic>
      <xdr:nvPicPr>
        <xdr:cNvPr id="150" name="Picture 53118">
          <a:extLst>
            <a:ext uri="{FF2B5EF4-FFF2-40B4-BE49-F238E27FC236}">
              <a16:creationId xmlns:a16="http://schemas.microsoft.com/office/drawing/2014/main" id="{3E485C2A-C4AA-5140-B807-992C1E17C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9</xdr:row>
      <xdr:rowOff>39688</xdr:rowOff>
    </xdr:from>
    <xdr:to>
      <xdr:col>195</xdr:col>
      <xdr:colOff>460375</xdr:colOff>
      <xdr:row>9</xdr:row>
      <xdr:rowOff>293688</xdr:rowOff>
    </xdr:to>
    <xdr:pic>
      <xdr:nvPicPr>
        <xdr:cNvPr id="151" name="Picture 53121">
          <a:extLst>
            <a:ext uri="{FF2B5EF4-FFF2-40B4-BE49-F238E27FC236}">
              <a16:creationId xmlns:a16="http://schemas.microsoft.com/office/drawing/2014/main" id="{F9AF4D52-C645-1D48-87C9-2EDDB62F1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9</xdr:row>
      <xdr:rowOff>39688</xdr:rowOff>
    </xdr:from>
    <xdr:to>
      <xdr:col>231</xdr:col>
      <xdr:colOff>460375</xdr:colOff>
      <xdr:row>9</xdr:row>
      <xdr:rowOff>293688</xdr:rowOff>
    </xdr:to>
    <xdr:pic>
      <xdr:nvPicPr>
        <xdr:cNvPr id="152" name="Picture 53124">
          <a:extLst>
            <a:ext uri="{FF2B5EF4-FFF2-40B4-BE49-F238E27FC236}">
              <a16:creationId xmlns:a16="http://schemas.microsoft.com/office/drawing/2014/main" id="{ADE1BF3B-D006-FD40-B432-3ED0FD089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9</xdr:row>
      <xdr:rowOff>39688</xdr:rowOff>
    </xdr:from>
    <xdr:to>
      <xdr:col>147</xdr:col>
      <xdr:colOff>460375</xdr:colOff>
      <xdr:row>9</xdr:row>
      <xdr:rowOff>293688</xdr:rowOff>
    </xdr:to>
    <xdr:pic>
      <xdr:nvPicPr>
        <xdr:cNvPr id="153" name="Picture 53127">
          <a:extLst>
            <a:ext uri="{FF2B5EF4-FFF2-40B4-BE49-F238E27FC236}">
              <a16:creationId xmlns:a16="http://schemas.microsoft.com/office/drawing/2014/main" id="{7FD8945A-0F75-5646-A7E4-6EB4AEE8A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9</xdr:row>
      <xdr:rowOff>39688</xdr:rowOff>
    </xdr:from>
    <xdr:to>
      <xdr:col>207</xdr:col>
      <xdr:colOff>460375</xdr:colOff>
      <xdr:row>9</xdr:row>
      <xdr:rowOff>293688</xdr:rowOff>
    </xdr:to>
    <xdr:pic>
      <xdr:nvPicPr>
        <xdr:cNvPr id="154" name="Picture 53130">
          <a:extLst>
            <a:ext uri="{FF2B5EF4-FFF2-40B4-BE49-F238E27FC236}">
              <a16:creationId xmlns:a16="http://schemas.microsoft.com/office/drawing/2014/main" id="{7A816395-3CCA-9E45-8345-E0185ABEA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9</xdr:row>
      <xdr:rowOff>39688</xdr:rowOff>
    </xdr:from>
    <xdr:to>
      <xdr:col>123</xdr:col>
      <xdr:colOff>460375</xdr:colOff>
      <xdr:row>9</xdr:row>
      <xdr:rowOff>293688</xdr:rowOff>
    </xdr:to>
    <xdr:pic>
      <xdr:nvPicPr>
        <xdr:cNvPr id="155" name="Picture 53133">
          <a:extLst>
            <a:ext uri="{FF2B5EF4-FFF2-40B4-BE49-F238E27FC236}">
              <a16:creationId xmlns:a16="http://schemas.microsoft.com/office/drawing/2014/main" id="{161998EB-222A-7945-9988-ECFFA608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1868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10</xdr:row>
      <xdr:rowOff>39688</xdr:rowOff>
    </xdr:from>
    <xdr:to>
      <xdr:col>183</xdr:col>
      <xdr:colOff>460375</xdr:colOff>
      <xdr:row>10</xdr:row>
      <xdr:rowOff>293688</xdr:rowOff>
    </xdr:to>
    <xdr:pic>
      <xdr:nvPicPr>
        <xdr:cNvPr id="156" name="Picture 53136">
          <a:extLst>
            <a:ext uri="{FF2B5EF4-FFF2-40B4-BE49-F238E27FC236}">
              <a16:creationId xmlns:a16="http://schemas.microsoft.com/office/drawing/2014/main" id="{734AB478-51D3-F74D-87FA-612FAE310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2071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10</xdr:row>
      <xdr:rowOff>39688</xdr:rowOff>
    </xdr:from>
    <xdr:to>
      <xdr:col>39</xdr:col>
      <xdr:colOff>460375</xdr:colOff>
      <xdr:row>10</xdr:row>
      <xdr:rowOff>293688</xdr:rowOff>
    </xdr:to>
    <xdr:pic>
      <xdr:nvPicPr>
        <xdr:cNvPr id="157" name="Picture 53139">
          <a:extLst>
            <a:ext uri="{FF2B5EF4-FFF2-40B4-BE49-F238E27FC236}">
              <a16:creationId xmlns:a16="http://schemas.microsoft.com/office/drawing/2014/main" id="{3C90FA8D-8CF2-8046-92C7-08B5383E2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2071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10</xdr:row>
      <xdr:rowOff>39688</xdr:rowOff>
    </xdr:from>
    <xdr:to>
      <xdr:col>111</xdr:col>
      <xdr:colOff>460375</xdr:colOff>
      <xdr:row>10</xdr:row>
      <xdr:rowOff>293688</xdr:rowOff>
    </xdr:to>
    <xdr:pic>
      <xdr:nvPicPr>
        <xdr:cNvPr id="158" name="Picture 53142">
          <a:extLst>
            <a:ext uri="{FF2B5EF4-FFF2-40B4-BE49-F238E27FC236}">
              <a16:creationId xmlns:a16="http://schemas.microsoft.com/office/drawing/2014/main" id="{59B58758-DBF0-A243-AA0C-404FED330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2071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10</xdr:row>
      <xdr:rowOff>39688</xdr:rowOff>
    </xdr:from>
    <xdr:to>
      <xdr:col>75</xdr:col>
      <xdr:colOff>460375</xdr:colOff>
      <xdr:row>10</xdr:row>
      <xdr:rowOff>293688</xdr:rowOff>
    </xdr:to>
    <xdr:pic>
      <xdr:nvPicPr>
        <xdr:cNvPr id="159" name="Picture 53145">
          <a:extLst>
            <a:ext uri="{FF2B5EF4-FFF2-40B4-BE49-F238E27FC236}">
              <a16:creationId xmlns:a16="http://schemas.microsoft.com/office/drawing/2014/main" id="{3C437CC4-EE65-0047-A236-A5BD57CC1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20716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223050</xdr:colOff>
      <xdr:row>10</xdr:row>
      <xdr:rowOff>39688</xdr:rowOff>
    </xdr:from>
    <xdr:to>
      <xdr:col>135</xdr:col>
      <xdr:colOff>443706</xdr:colOff>
      <xdr:row>10</xdr:row>
      <xdr:rowOff>293688</xdr:rowOff>
    </xdr:to>
    <xdr:pic>
      <xdr:nvPicPr>
        <xdr:cNvPr id="160" name="Picture 53148">
          <a:extLst>
            <a:ext uri="{FF2B5EF4-FFF2-40B4-BE49-F238E27FC236}">
              <a16:creationId xmlns:a16="http://schemas.microsoft.com/office/drawing/2014/main" id="{333C693E-A000-474F-B49B-5B5797460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93050" y="20716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205426</xdr:colOff>
      <xdr:row>10</xdr:row>
      <xdr:rowOff>39688</xdr:rowOff>
    </xdr:from>
    <xdr:to>
      <xdr:col>63</xdr:col>
      <xdr:colOff>461322</xdr:colOff>
      <xdr:row>10</xdr:row>
      <xdr:rowOff>293688</xdr:rowOff>
    </xdr:to>
    <xdr:pic>
      <xdr:nvPicPr>
        <xdr:cNvPr id="161" name="Picture 53151">
          <a:extLst>
            <a:ext uri="{FF2B5EF4-FFF2-40B4-BE49-F238E27FC236}">
              <a16:creationId xmlns:a16="http://schemas.microsoft.com/office/drawing/2014/main" id="{76E18F68-2509-4F41-88EC-4EAA21D25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1426" y="20716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11</xdr:row>
      <xdr:rowOff>39688</xdr:rowOff>
    </xdr:from>
    <xdr:to>
      <xdr:col>135</xdr:col>
      <xdr:colOff>460375</xdr:colOff>
      <xdr:row>11</xdr:row>
      <xdr:rowOff>293688</xdr:rowOff>
    </xdr:to>
    <xdr:pic>
      <xdr:nvPicPr>
        <xdr:cNvPr id="162" name="Picture 53154">
          <a:extLst>
            <a:ext uri="{FF2B5EF4-FFF2-40B4-BE49-F238E27FC236}">
              <a16:creationId xmlns:a16="http://schemas.microsoft.com/office/drawing/2014/main" id="{5B8CF097-E8C2-664A-936A-AC8468746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205432</xdr:colOff>
      <xdr:row>11</xdr:row>
      <xdr:rowOff>39688</xdr:rowOff>
    </xdr:from>
    <xdr:to>
      <xdr:col>207</xdr:col>
      <xdr:colOff>461328</xdr:colOff>
      <xdr:row>11</xdr:row>
      <xdr:rowOff>293688</xdr:rowOff>
    </xdr:to>
    <xdr:pic>
      <xdr:nvPicPr>
        <xdr:cNvPr id="163" name="Picture 53157">
          <a:extLst>
            <a:ext uri="{FF2B5EF4-FFF2-40B4-BE49-F238E27FC236}">
              <a16:creationId xmlns:a16="http://schemas.microsoft.com/office/drawing/2014/main" id="{231A0A1E-6244-4243-B374-101327835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39432" y="2274888"/>
          <a:ext cx="25589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11</xdr:row>
      <xdr:rowOff>39688</xdr:rowOff>
    </xdr:from>
    <xdr:to>
      <xdr:col>63</xdr:col>
      <xdr:colOff>460375</xdr:colOff>
      <xdr:row>11</xdr:row>
      <xdr:rowOff>293688</xdr:rowOff>
    </xdr:to>
    <xdr:pic>
      <xdr:nvPicPr>
        <xdr:cNvPr id="164" name="Picture 53160">
          <a:extLst>
            <a:ext uri="{FF2B5EF4-FFF2-40B4-BE49-F238E27FC236}">
              <a16:creationId xmlns:a16="http://schemas.microsoft.com/office/drawing/2014/main" id="{E439CD94-8278-744B-8E0C-E23E77250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223047</xdr:colOff>
      <xdr:row>11</xdr:row>
      <xdr:rowOff>39688</xdr:rowOff>
    </xdr:from>
    <xdr:to>
      <xdr:col>75</xdr:col>
      <xdr:colOff>443703</xdr:colOff>
      <xdr:row>11</xdr:row>
      <xdr:rowOff>293688</xdr:rowOff>
    </xdr:to>
    <xdr:pic>
      <xdr:nvPicPr>
        <xdr:cNvPr id="165" name="Picture 53163">
          <a:extLst>
            <a:ext uri="{FF2B5EF4-FFF2-40B4-BE49-F238E27FC236}">
              <a16:creationId xmlns:a16="http://schemas.microsoft.com/office/drawing/2014/main" id="{53B2FE5A-FFC3-E24B-8AA2-143728314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3047" y="2274888"/>
          <a:ext cx="220656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11</xdr:row>
      <xdr:rowOff>39688</xdr:rowOff>
    </xdr:from>
    <xdr:to>
      <xdr:col>99</xdr:col>
      <xdr:colOff>460375</xdr:colOff>
      <xdr:row>11</xdr:row>
      <xdr:rowOff>293688</xdr:rowOff>
    </xdr:to>
    <xdr:pic>
      <xdr:nvPicPr>
        <xdr:cNvPr id="166" name="Picture 53166">
          <a:extLst>
            <a:ext uri="{FF2B5EF4-FFF2-40B4-BE49-F238E27FC236}">
              <a16:creationId xmlns:a16="http://schemas.microsoft.com/office/drawing/2014/main" id="{C5914363-3A51-CC44-99A4-3418B5C0F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11</xdr:row>
      <xdr:rowOff>39688</xdr:rowOff>
    </xdr:from>
    <xdr:to>
      <xdr:col>27</xdr:col>
      <xdr:colOff>460375</xdr:colOff>
      <xdr:row>11</xdr:row>
      <xdr:rowOff>293688</xdr:rowOff>
    </xdr:to>
    <xdr:pic>
      <xdr:nvPicPr>
        <xdr:cNvPr id="167" name="Picture 53169">
          <a:extLst>
            <a:ext uri="{FF2B5EF4-FFF2-40B4-BE49-F238E27FC236}">
              <a16:creationId xmlns:a16="http://schemas.microsoft.com/office/drawing/2014/main" id="{89766CFF-42DF-6B46-A20F-BD6052C0B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11</xdr:row>
      <xdr:rowOff>39688</xdr:rowOff>
    </xdr:from>
    <xdr:to>
      <xdr:col>111</xdr:col>
      <xdr:colOff>460375</xdr:colOff>
      <xdr:row>11</xdr:row>
      <xdr:rowOff>293688</xdr:rowOff>
    </xdr:to>
    <xdr:pic>
      <xdr:nvPicPr>
        <xdr:cNvPr id="168" name="Picture 53172">
          <a:extLst>
            <a:ext uri="{FF2B5EF4-FFF2-40B4-BE49-F238E27FC236}">
              <a16:creationId xmlns:a16="http://schemas.microsoft.com/office/drawing/2014/main" id="{276D0A98-032E-7B4C-9318-B69736D5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11</xdr:row>
      <xdr:rowOff>39688</xdr:rowOff>
    </xdr:from>
    <xdr:to>
      <xdr:col>195</xdr:col>
      <xdr:colOff>460375</xdr:colOff>
      <xdr:row>11</xdr:row>
      <xdr:rowOff>293688</xdr:rowOff>
    </xdr:to>
    <xdr:pic>
      <xdr:nvPicPr>
        <xdr:cNvPr id="169" name="Picture 53175">
          <a:extLst>
            <a:ext uri="{FF2B5EF4-FFF2-40B4-BE49-F238E27FC236}">
              <a16:creationId xmlns:a16="http://schemas.microsoft.com/office/drawing/2014/main" id="{4618F35B-C30E-DD4F-B632-23067AE39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11</xdr:row>
      <xdr:rowOff>39688</xdr:rowOff>
    </xdr:from>
    <xdr:to>
      <xdr:col>159</xdr:col>
      <xdr:colOff>460375</xdr:colOff>
      <xdr:row>11</xdr:row>
      <xdr:rowOff>293688</xdr:rowOff>
    </xdr:to>
    <xdr:pic>
      <xdr:nvPicPr>
        <xdr:cNvPr id="170" name="Picture 53178">
          <a:extLst>
            <a:ext uri="{FF2B5EF4-FFF2-40B4-BE49-F238E27FC236}">
              <a16:creationId xmlns:a16="http://schemas.microsoft.com/office/drawing/2014/main" id="{ED09F7FF-10CD-F541-958C-D610B2B9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11</xdr:row>
      <xdr:rowOff>39688</xdr:rowOff>
    </xdr:from>
    <xdr:to>
      <xdr:col>39</xdr:col>
      <xdr:colOff>460375</xdr:colOff>
      <xdr:row>11</xdr:row>
      <xdr:rowOff>293688</xdr:rowOff>
    </xdr:to>
    <xdr:pic>
      <xdr:nvPicPr>
        <xdr:cNvPr id="171" name="Picture 53181">
          <a:extLst>
            <a:ext uri="{FF2B5EF4-FFF2-40B4-BE49-F238E27FC236}">
              <a16:creationId xmlns:a16="http://schemas.microsoft.com/office/drawing/2014/main" id="{65AE652B-9B31-1B4A-A8C5-A1AA6D090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11</xdr:row>
      <xdr:rowOff>39688</xdr:rowOff>
    </xdr:from>
    <xdr:to>
      <xdr:col>87</xdr:col>
      <xdr:colOff>460375</xdr:colOff>
      <xdr:row>11</xdr:row>
      <xdr:rowOff>293688</xdr:rowOff>
    </xdr:to>
    <xdr:pic>
      <xdr:nvPicPr>
        <xdr:cNvPr id="172" name="Picture 53184">
          <a:extLst>
            <a:ext uri="{FF2B5EF4-FFF2-40B4-BE49-F238E27FC236}">
              <a16:creationId xmlns:a16="http://schemas.microsoft.com/office/drawing/2014/main" id="{C5E04D5D-841C-AF49-90B9-7E382BD96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11</xdr:row>
      <xdr:rowOff>39688</xdr:rowOff>
    </xdr:from>
    <xdr:to>
      <xdr:col>183</xdr:col>
      <xdr:colOff>460375</xdr:colOff>
      <xdr:row>11</xdr:row>
      <xdr:rowOff>293688</xdr:rowOff>
    </xdr:to>
    <xdr:pic>
      <xdr:nvPicPr>
        <xdr:cNvPr id="173" name="Picture 53187">
          <a:extLst>
            <a:ext uri="{FF2B5EF4-FFF2-40B4-BE49-F238E27FC236}">
              <a16:creationId xmlns:a16="http://schemas.microsoft.com/office/drawing/2014/main" id="{F5706099-E69A-8D4D-AB92-5BFD14ED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11</xdr:row>
      <xdr:rowOff>39688</xdr:rowOff>
    </xdr:from>
    <xdr:to>
      <xdr:col>51</xdr:col>
      <xdr:colOff>460375</xdr:colOff>
      <xdr:row>11</xdr:row>
      <xdr:rowOff>293688</xdr:rowOff>
    </xdr:to>
    <xdr:pic>
      <xdr:nvPicPr>
        <xdr:cNvPr id="174" name="Picture 53190">
          <a:extLst>
            <a:ext uri="{FF2B5EF4-FFF2-40B4-BE49-F238E27FC236}">
              <a16:creationId xmlns:a16="http://schemas.microsoft.com/office/drawing/2014/main" id="{3A8BE997-A530-004F-9DDD-146284C19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11</xdr:row>
      <xdr:rowOff>39688</xdr:rowOff>
    </xdr:from>
    <xdr:to>
      <xdr:col>123</xdr:col>
      <xdr:colOff>460375</xdr:colOff>
      <xdr:row>11</xdr:row>
      <xdr:rowOff>293688</xdr:rowOff>
    </xdr:to>
    <xdr:pic>
      <xdr:nvPicPr>
        <xdr:cNvPr id="175" name="Picture 53193">
          <a:extLst>
            <a:ext uri="{FF2B5EF4-FFF2-40B4-BE49-F238E27FC236}">
              <a16:creationId xmlns:a16="http://schemas.microsoft.com/office/drawing/2014/main" id="{B29C98BE-7FA6-4C4A-BA9C-AF613CBB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11</xdr:row>
      <xdr:rowOff>39688</xdr:rowOff>
    </xdr:from>
    <xdr:to>
      <xdr:col>219</xdr:col>
      <xdr:colOff>460375</xdr:colOff>
      <xdr:row>11</xdr:row>
      <xdr:rowOff>293688</xdr:rowOff>
    </xdr:to>
    <xdr:pic>
      <xdr:nvPicPr>
        <xdr:cNvPr id="176" name="Picture 53196">
          <a:extLst>
            <a:ext uri="{FF2B5EF4-FFF2-40B4-BE49-F238E27FC236}">
              <a16:creationId xmlns:a16="http://schemas.microsoft.com/office/drawing/2014/main" id="{E8AEF2D3-E69B-8449-B30D-2279BDFE3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11</xdr:row>
      <xdr:rowOff>39688</xdr:rowOff>
    </xdr:from>
    <xdr:to>
      <xdr:col>171</xdr:col>
      <xdr:colOff>460375</xdr:colOff>
      <xdr:row>11</xdr:row>
      <xdr:rowOff>293688</xdr:rowOff>
    </xdr:to>
    <xdr:pic>
      <xdr:nvPicPr>
        <xdr:cNvPr id="177" name="Picture 53199">
          <a:extLst>
            <a:ext uri="{FF2B5EF4-FFF2-40B4-BE49-F238E27FC236}">
              <a16:creationId xmlns:a16="http://schemas.microsoft.com/office/drawing/2014/main" id="{BED51CD9-A6FA-C149-9064-3C2150D0F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11</xdr:row>
      <xdr:rowOff>39688</xdr:rowOff>
    </xdr:from>
    <xdr:to>
      <xdr:col>231</xdr:col>
      <xdr:colOff>460375</xdr:colOff>
      <xdr:row>11</xdr:row>
      <xdr:rowOff>293688</xdr:rowOff>
    </xdr:to>
    <xdr:pic>
      <xdr:nvPicPr>
        <xdr:cNvPr id="178" name="Picture 53202">
          <a:extLst>
            <a:ext uri="{FF2B5EF4-FFF2-40B4-BE49-F238E27FC236}">
              <a16:creationId xmlns:a16="http://schemas.microsoft.com/office/drawing/2014/main" id="{31F3B0FF-EFA0-994F-9061-0FCAB1818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11</xdr:row>
      <xdr:rowOff>39688</xdr:rowOff>
    </xdr:from>
    <xdr:to>
      <xdr:col>15</xdr:col>
      <xdr:colOff>460375</xdr:colOff>
      <xdr:row>11</xdr:row>
      <xdr:rowOff>293688</xdr:rowOff>
    </xdr:to>
    <xdr:pic>
      <xdr:nvPicPr>
        <xdr:cNvPr id="179" name="Picture 53205">
          <a:extLst>
            <a:ext uri="{FF2B5EF4-FFF2-40B4-BE49-F238E27FC236}">
              <a16:creationId xmlns:a16="http://schemas.microsoft.com/office/drawing/2014/main" id="{ACC30A4B-086D-6046-8C3E-91A1C63E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11</xdr:row>
      <xdr:rowOff>39688</xdr:rowOff>
    </xdr:from>
    <xdr:to>
      <xdr:col>3</xdr:col>
      <xdr:colOff>460375</xdr:colOff>
      <xdr:row>11</xdr:row>
      <xdr:rowOff>293688</xdr:rowOff>
    </xdr:to>
    <xdr:pic>
      <xdr:nvPicPr>
        <xdr:cNvPr id="180" name="Picture 53208">
          <a:extLst>
            <a:ext uri="{FF2B5EF4-FFF2-40B4-BE49-F238E27FC236}">
              <a16:creationId xmlns:a16="http://schemas.microsoft.com/office/drawing/2014/main" id="{BCE62D8B-6208-BF4E-9873-306182144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11</xdr:row>
      <xdr:rowOff>39688</xdr:rowOff>
    </xdr:from>
    <xdr:to>
      <xdr:col>147</xdr:col>
      <xdr:colOff>460375</xdr:colOff>
      <xdr:row>11</xdr:row>
      <xdr:rowOff>293688</xdr:rowOff>
    </xdr:to>
    <xdr:pic>
      <xdr:nvPicPr>
        <xdr:cNvPr id="181" name="Picture 53211">
          <a:extLst>
            <a:ext uri="{FF2B5EF4-FFF2-40B4-BE49-F238E27FC236}">
              <a16:creationId xmlns:a16="http://schemas.microsoft.com/office/drawing/2014/main" id="{14B667A2-F963-C246-8B05-2B18C95DC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2274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12</xdr:row>
      <xdr:rowOff>39688</xdr:rowOff>
    </xdr:from>
    <xdr:to>
      <xdr:col>123</xdr:col>
      <xdr:colOff>460375</xdr:colOff>
      <xdr:row>12</xdr:row>
      <xdr:rowOff>293688</xdr:rowOff>
    </xdr:to>
    <xdr:pic>
      <xdr:nvPicPr>
        <xdr:cNvPr id="182" name="Picture 53214">
          <a:extLst>
            <a:ext uri="{FF2B5EF4-FFF2-40B4-BE49-F238E27FC236}">
              <a16:creationId xmlns:a16="http://schemas.microsoft.com/office/drawing/2014/main" id="{C332E7AF-CD6F-4B47-931D-AA069F25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12</xdr:row>
      <xdr:rowOff>39688</xdr:rowOff>
    </xdr:from>
    <xdr:to>
      <xdr:col>99</xdr:col>
      <xdr:colOff>460375</xdr:colOff>
      <xdr:row>12</xdr:row>
      <xdr:rowOff>293688</xdr:rowOff>
    </xdr:to>
    <xdr:pic>
      <xdr:nvPicPr>
        <xdr:cNvPr id="183" name="Picture 53217">
          <a:extLst>
            <a:ext uri="{FF2B5EF4-FFF2-40B4-BE49-F238E27FC236}">
              <a16:creationId xmlns:a16="http://schemas.microsoft.com/office/drawing/2014/main" id="{4F75EF34-0D59-2A48-B830-631550046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12</xdr:row>
      <xdr:rowOff>39688</xdr:rowOff>
    </xdr:from>
    <xdr:to>
      <xdr:col>27</xdr:col>
      <xdr:colOff>460375</xdr:colOff>
      <xdr:row>12</xdr:row>
      <xdr:rowOff>293688</xdr:rowOff>
    </xdr:to>
    <xdr:pic>
      <xdr:nvPicPr>
        <xdr:cNvPr id="184" name="Picture 53220">
          <a:extLst>
            <a:ext uri="{FF2B5EF4-FFF2-40B4-BE49-F238E27FC236}">
              <a16:creationId xmlns:a16="http://schemas.microsoft.com/office/drawing/2014/main" id="{EFEB8110-E944-7146-B150-87A47A4F3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12</xdr:row>
      <xdr:rowOff>39688</xdr:rowOff>
    </xdr:from>
    <xdr:to>
      <xdr:col>231</xdr:col>
      <xdr:colOff>460375</xdr:colOff>
      <xdr:row>12</xdr:row>
      <xdr:rowOff>293688</xdr:rowOff>
    </xdr:to>
    <xdr:pic>
      <xdr:nvPicPr>
        <xdr:cNvPr id="185" name="Picture 53223">
          <a:extLst>
            <a:ext uri="{FF2B5EF4-FFF2-40B4-BE49-F238E27FC236}">
              <a16:creationId xmlns:a16="http://schemas.microsoft.com/office/drawing/2014/main" id="{C49B2C58-5AB4-4A47-BE2E-D0689C5B8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223047</xdr:colOff>
      <xdr:row>12</xdr:row>
      <xdr:rowOff>39688</xdr:rowOff>
    </xdr:from>
    <xdr:to>
      <xdr:col>39</xdr:col>
      <xdr:colOff>443703</xdr:colOff>
      <xdr:row>12</xdr:row>
      <xdr:rowOff>293688</xdr:rowOff>
    </xdr:to>
    <xdr:pic>
      <xdr:nvPicPr>
        <xdr:cNvPr id="186" name="Picture 53226">
          <a:extLst>
            <a:ext uri="{FF2B5EF4-FFF2-40B4-BE49-F238E27FC236}">
              <a16:creationId xmlns:a16="http://schemas.microsoft.com/office/drawing/2014/main" id="{F30CD27E-F568-2441-B9AB-1EA1C10B3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1047" y="24780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12</xdr:row>
      <xdr:rowOff>39688</xdr:rowOff>
    </xdr:from>
    <xdr:to>
      <xdr:col>63</xdr:col>
      <xdr:colOff>460375</xdr:colOff>
      <xdr:row>12</xdr:row>
      <xdr:rowOff>293688</xdr:rowOff>
    </xdr:to>
    <xdr:pic>
      <xdr:nvPicPr>
        <xdr:cNvPr id="187" name="Picture 53229">
          <a:extLst>
            <a:ext uri="{FF2B5EF4-FFF2-40B4-BE49-F238E27FC236}">
              <a16:creationId xmlns:a16="http://schemas.microsoft.com/office/drawing/2014/main" id="{15699E92-9254-9848-A6AE-4D5BFF370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12</xdr:row>
      <xdr:rowOff>39688</xdr:rowOff>
    </xdr:from>
    <xdr:to>
      <xdr:col>147</xdr:col>
      <xdr:colOff>460375</xdr:colOff>
      <xdr:row>12</xdr:row>
      <xdr:rowOff>293688</xdr:rowOff>
    </xdr:to>
    <xdr:pic>
      <xdr:nvPicPr>
        <xdr:cNvPr id="188" name="Picture 53232">
          <a:extLst>
            <a:ext uri="{FF2B5EF4-FFF2-40B4-BE49-F238E27FC236}">
              <a16:creationId xmlns:a16="http://schemas.microsoft.com/office/drawing/2014/main" id="{99593143-CA21-DD40-A9E0-309D8872D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12</xdr:row>
      <xdr:rowOff>39688</xdr:rowOff>
    </xdr:from>
    <xdr:to>
      <xdr:col>51</xdr:col>
      <xdr:colOff>460375</xdr:colOff>
      <xdr:row>12</xdr:row>
      <xdr:rowOff>293688</xdr:rowOff>
    </xdr:to>
    <xdr:pic>
      <xdr:nvPicPr>
        <xdr:cNvPr id="189" name="Picture 53235">
          <a:extLst>
            <a:ext uri="{FF2B5EF4-FFF2-40B4-BE49-F238E27FC236}">
              <a16:creationId xmlns:a16="http://schemas.microsoft.com/office/drawing/2014/main" id="{4E9C7A07-C06A-8E44-8825-7D9E82C62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12</xdr:row>
      <xdr:rowOff>39688</xdr:rowOff>
    </xdr:from>
    <xdr:to>
      <xdr:col>171</xdr:col>
      <xdr:colOff>460375</xdr:colOff>
      <xdr:row>12</xdr:row>
      <xdr:rowOff>293688</xdr:rowOff>
    </xdr:to>
    <xdr:pic>
      <xdr:nvPicPr>
        <xdr:cNvPr id="190" name="Picture 53238">
          <a:extLst>
            <a:ext uri="{FF2B5EF4-FFF2-40B4-BE49-F238E27FC236}">
              <a16:creationId xmlns:a16="http://schemas.microsoft.com/office/drawing/2014/main" id="{E87C333A-8E0B-D849-82CF-2CDCBCA8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12</xdr:row>
      <xdr:rowOff>39688</xdr:rowOff>
    </xdr:from>
    <xdr:to>
      <xdr:col>87</xdr:col>
      <xdr:colOff>460375</xdr:colOff>
      <xdr:row>12</xdr:row>
      <xdr:rowOff>293688</xdr:rowOff>
    </xdr:to>
    <xdr:pic>
      <xdr:nvPicPr>
        <xdr:cNvPr id="191" name="Picture 53241">
          <a:extLst>
            <a:ext uri="{FF2B5EF4-FFF2-40B4-BE49-F238E27FC236}">
              <a16:creationId xmlns:a16="http://schemas.microsoft.com/office/drawing/2014/main" id="{2928974E-F2E2-3240-8AD8-922D6E33D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205432</xdr:colOff>
      <xdr:row>12</xdr:row>
      <xdr:rowOff>39688</xdr:rowOff>
    </xdr:from>
    <xdr:to>
      <xdr:col>183</xdr:col>
      <xdr:colOff>461328</xdr:colOff>
      <xdr:row>12</xdr:row>
      <xdr:rowOff>293688</xdr:rowOff>
    </xdr:to>
    <xdr:pic>
      <xdr:nvPicPr>
        <xdr:cNvPr id="192" name="Picture 53244">
          <a:extLst>
            <a:ext uri="{FF2B5EF4-FFF2-40B4-BE49-F238E27FC236}">
              <a16:creationId xmlns:a16="http://schemas.microsoft.com/office/drawing/2014/main" id="{CBD9D8A0-AB3C-D043-8C65-8ECBAAEE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1432" y="24780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12</xdr:row>
      <xdr:rowOff>39688</xdr:rowOff>
    </xdr:from>
    <xdr:to>
      <xdr:col>135</xdr:col>
      <xdr:colOff>460375</xdr:colOff>
      <xdr:row>12</xdr:row>
      <xdr:rowOff>293688</xdr:rowOff>
    </xdr:to>
    <xdr:pic>
      <xdr:nvPicPr>
        <xdr:cNvPr id="193" name="Picture 53247">
          <a:extLst>
            <a:ext uri="{FF2B5EF4-FFF2-40B4-BE49-F238E27FC236}">
              <a16:creationId xmlns:a16="http://schemas.microsoft.com/office/drawing/2014/main" id="{D3555EF7-5503-0142-9F1B-9367B7CCD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12</xdr:row>
      <xdr:rowOff>39688</xdr:rowOff>
    </xdr:from>
    <xdr:to>
      <xdr:col>75</xdr:col>
      <xdr:colOff>460375</xdr:colOff>
      <xdr:row>12</xdr:row>
      <xdr:rowOff>293688</xdr:rowOff>
    </xdr:to>
    <xdr:pic>
      <xdr:nvPicPr>
        <xdr:cNvPr id="194" name="Picture 53250">
          <a:extLst>
            <a:ext uri="{FF2B5EF4-FFF2-40B4-BE49-F238E27FC236}">
              <a16:creationId xmlns:a16="http://schemas.microsoft.com/office/drawing/2014/main" id="{A9ECA996-B8F6-ED44-8032-F8F0BBC29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12</xdr:row>
      <xdr:rowOff>39688</xdr:rowOff>
    </xdr:from>
    <xdr:to>
      <xdr:col>3</xdr:col>
      <xdr:colOff>460375</xdr:colOff>
      <xdr:row>12</xdr:row>
      <xdr:rowOff>293688</xdr:rowOff>
    </xdr:to>
    <xdr:pic>
      <xdr:nvPicPr>
        <xdr:cNvPr id="195" name="Picture 53253">
          <a:extLst>
            <a:ext uri="{FF2B5EF4-FFF2-40B4-BE49-F238E27FC236}">
              <a16:creationId xmlns:a16="http://schemas.microsoft.com/office/drawing/2014/main" id="{71388048-EE5B-8A4B-82C1-CA547CAA1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12</xdr:row>
      <xdr:rowOff>39688</xdr:rowOff>
    </xdr:from>
    <xdr:to>
      <xdr:col>195</xdr:col>
      <xdr:colOff>460375</xdr:colOff>
      <xdr:row>12</xdr:row>
      <xdr:rowOff>293688</xdr:rowOff>
    </xdr:to>
    <xdr:pic>
      <xdr:nvPicPr>
        <xdr:cNvPr id="196" name="Picture 53256">
          <a:extLst>
            <a:ext uri="{FF2B5EF4-FFF2-40B4-BE49-F238E27FC236}">
              <a16:creationId xmlns:a16="http://schemas.microsoft.com/office/drawing/2014/main" id="{52F03360-4005-E04E-9900-C88C838C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12</xdr:row>
      <xdr:rowOff>39688</xdr:rowOff>
    </xdr:from>
    <xdr:to>
      <xdr:col>159</xdr:col>
      <xdr:colOff>460375</xdr:colOff>
      <xdr:row>12</xdr:row>
      <xdr:rowOff>293688</xdr:rowOff>
    </xdr:to>
    <xdr:pic>
      <xdr:nvPicPr>
        <xdr:cNvPr id="197" name="Picture 53259">
          <a:extLst>
            <a:ext uri="{FF2B5EF4-FFF2-40B4-BE49-F238E27FC236}">
              <a16:creationId xmlns:a16="http://schemas.microsoft.com/office/drawing/2014/main" id="{7826D67D-C09A-5940-BF42-C058CDFCE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12</xdr:row>
      <xdr:rowOff>39688</xdr:rowOff>
    </xdr:from>
    <xdr:to>
      <xdr:col>15</xdr:col>
      <xdr:colOff>460375</xdr:colOff>
      <xdr:row>12</xdr:row>
      <xdr:rowOff>293688</xdr:rowOff>
    </xdr:to>
    <xdr:pic>
      <xdr:nvPicPr>
        <xdr:cNvPr id="198" name="Picture 53262">
          <a:extLst>
            <a:ext uri="{FF2B5EF4-FFF2-40B4-BE49-F238E27FC236}">
              <a16:creationId xmlns:a16="http://schemas.microsoft.com/office/drawing/2014/main" id="{3D8F49BC-EC18-994C-BFF6-3FC01C6ED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12</xdr:row>
      <xdr:rowOff>39688</xdr:rowOff>
    </xdr:from>
    <xdr:to>
      <xdr:col>219</xdr:col>
      <xdr:colOff>460375</xdr:colOff>
      <xdr:row>12</xdr:row>
      <xdr:rowOff>293688</xdr:rowOff>
    </xdr:to>
    <xdr:pic>
      <xdr:nvPicPr>
        <xdr:cNvPr id="199" name="Picture 53265">
          <a:extLst>
            <a:ext uri="{FF2B5EF4-FFF2-40B4-BE49-F238E27FC236}">
              <a16:creationId xmlns:a16="http://schemas.microsoft.com/office/drawing/2014/main" id="{5D2A67AB-6ABC-DB47-AE18-DB26F7FF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12</xdr:row>
      <xdr:rowOff>39688</xdr:rowOff>
    </xdr:from>
    <xdr:to>
      <xdr:col>207</xdr:col>
      <xdr:colOff>460375</xdr:colOff>
      <xdr:row>12</xdr:row>
      <xdr:rowOff>293688</xdr:rowOff>
    </xdr:to>
    <xdr:pic>
      <xdr:nvPicPr>
        <xdr:cNvPr id="200" name="Picture 53268">
          <a:extLst>
            <a:ext uri="{FF2B5EF4-FFF2-40B4-BE49-F238E27FC236}">
              <a16:creationId xmlns:a16="http://schemas.microsoft.com/office/drawing/2014/main" id="{05DD9DA9-0CB7-2445-AE2C-856C1BE01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12</xdr:row>
      <xdr:rowOff>39688</xdr:rowOff>
    </xdr:from>
    <xdr:to>
      <xdr:col>111</xdr:col>
      <xdr:colOff>460375</xdr:colOff>
      <xdr:row>12</xdr:row>
      <xdr:rowOff>293688</xdr:rowOff>
    </xdr:to>
    <xdr:pic>
      <xdr:nvPicPr>
        <xdr:cNvPr id="201" name="Picture 53271">
          <a:extLst>
            <a:ext uri="{FF2B5EF4-FFF2-40B4-BE49-F238E27FC236}">
              <a16:creationId xmlns:a16="http://schemas.microsoft.com/office/drawing/2014/main" id="{51A47781-3941-4042-85CD-71422BBFD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2478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13</xdr:row>
      <xdr:rowOff>39688</xdr:rowOff>
    </xdr:from>
    <xdr:to>
      <xdr:col>87</xdr:col>
      <xdr:colOff>460375</xdr:colOff>
      <xdr:row>13</xdr:row>
      <xdr:rowOff>293688</xdr:rowOff>
    </xdr:to>
    <xdr:pic>
      <xdr:nvPicPr>
        <xdr:cNvPr id="202" name="Picture 53274">
          <a:extLst>
            <a:ext uri="{FF2B5EF4-FFF2-40B4-BE49-F238E27FC236}">
              <a16:creationId xmlns:a16="http://schemas.microsoft.com/office/drawing/2014/main" id="{4E969EA9-F271-2E48-B8F7-D2B0EB904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13</xdr:row>
      <xdr:rowOff>39688</xdr:rowOff>
    </xdr:from>
    <xdr:to>
      <xdr:col>207</xdr:col>
      <xdr:colOff>460375</xdr:colOff>
      <xdr:row>13</xdr:row>
      <xdr:rowOff>293688</xdr:rowOff>
    </xdr:to>
    <xdr:pic>
      <xdr:nvPicPr>
        <xdr:cNvPr id="203" name="Picture 53277">
          <a:extLst>
            <a:ext uri="{FF2B5EF4-FFF2-40B4-BE49-F238E27FC236}">
              <a16:creationId xmlns:a16="http://schemas.microsoft.com/office/drawing/2014/main" id="{571E1EE9-5BF0-9741-803D-D797F9EA5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13</xdr:row>
      <xdr:rowOff>39688</xdr:rowOff>
    </xdr:from>
    <xdr:to>
      <xdr:col>75</xdr:col>
      <xdr:colOff>460375</xdr:colOff>
      <xdr:row>13</xdr:row>
      <xdr:rowOff>293688</xdr:rowOff>
    </xdr:to>
    <xdr:pic>
      <xdr:nvPicPr>
        <xdr:cNvPr id="204" name="Picture 53280">
          <a:extLst>
            <a:ext uri="{FF2B5EF4-FFF2-40B4-BE49-F238E27FC236}">
              <a16:creationId xmlns:a16="http://schemas.microsoft.com/office/drawing/2014/main" id="{6DA1EBB7-DFB3-B748-A1BE-51799C495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13</xdr:row>
      <xdr:rowOff>39688</xdr:rowOff>
    </xdr:from>
    <xdr:to>
      <xdr:col>39</xdr:col>
      <xdr:colOff>460375</xdr:colOff>
      <xdr:row>13</xdr:row>
      <xdr:rowOff>293688</xdr:rowOff>
    </xdr:to>
    <xdr:pic>
      <xdr:nvPicPr>
        <xdr:cNvPr id="205" name="Picture 53283">
          <a:extLst>
            <a:ext uri="{FF2B5EF4-FFF2-40B4-BE49-F238E27FC236}">
              <a16:creationId xmlns:a16="http://schemas.microsoft.com/office/drawing/2014/main" id="{17C59AF4-C217-9649-A8E8-54ED719F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13</xdr:row>
      <xdr:rowOff>39688</xdr:rowOff>
    </xdr:from>
    <xdr:to>
      <xdr:col>3</xdr:col>
      <xdr:colOff>460375</xdr:colOff>
      <xdr:row>13</xdr:row>
      <xdr:rowOff>293688</xdr:rowOff>
    </xdr:to>
    <xdr:pic>
      <xdr:nvPicPr>
        <xdr:cNvPr id="206" name="Picture 53286">
          <a:extLst>
            <a:ext uri="{FF2B5EF4-FFF2-40B4-BE49-F238E27FC236}">
              <a16:creationId xmlns:a16="http://schemas.microsoft.com/office/drawing/2014/main" id="{5E130B0C-B432-4E4B-A1C0-9E7F7C33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13</xdr:row>
      <xdr:rowOff>39688</xdr:rowOff>
    </xdr:from>
    <xdr:to>
      <xdr:col>195</xdr:col>
      <xdr:colOff>460375</xdr:colOff>
      <xdr:row>13</xdr:row>
      <xdr:rowOff>293688</xdr:rowOff>
    </xdr:to>
    <xdr:pic>
      <xdr:nvPicPr>
        <xdr:cNvPr id="207" name="Picture 53289">
          <a:extLst>
            <a:ext uri="{FF2B5EF4-FFF2-40B4-BE49-F238E27FC236}">
              <a16:creationId xmlns:a16="http://schemas.microsoft.com/office/drawing/2014/main" id="{162B7D70-29FC-DE44-B592-D399F722E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223047</xdr:colOff>
      <xdr:row>13</xdr:row>
      <xdr:rowOff>39688</xdr:rowOff>
    </xdr:from>
    <xdr:to>
      <xdr:col>27</xdr:col>
      <xdr:colOff>443703</xdr:colOff>
      <xdr:row>13</xdr:row>
      <xdr:rowOff>293688</xdr:rowOff>
    </xdr:to>
    <xdr:pic>
      <xdr:nvPicPr>
        <xdr:cNvPr id="208" name="Picture 53292">
          <a:extLst>
            <a:ext uri="{FF2B5EF4-FFF2-40B4-BE49-F238E27FC236}">
              <a16:creationId xmlns:a16="http://schemas.microsoft.com/office/drawing/2014/main" id="{D35394E6-09EA-C449-83DE-5D5DD8DD1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7047" y="26812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13</xdr:row>
      <xdr:rowOff>39688</xdr:rowOff>
    </xdr:from>
    <xdr:to>
      <xdr:col>63</xdr:col>
      <xdr:colOff>460375</xdr:colOff>
      <xdr:row>13</xdr:row>
      <xdr:rowOff>293688</xdr:rowOff>
    </xdr:to>
    <xdr:pic>
      <xdr:nvPicPr>
        <xdr:cNvPr id="209" name="Picture 53295">
          <a:extLst>
            <a:ext uri="{FF2B5EF4-FFF2-40B4-BE49-F238E27FC236}">
              <a16:creationId xmlns:a16="http://schemas.microsoft.com/office/drawing/2014/main" id="{2DD83344-2EAC-0E43-B65F-157ECFE76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13</xdr:row>
      <xdr:rowOff>39688</xdr:rowOff>
    </xdr:from>
    <xdr:to>
      <xdr:col>231</xdr:col>
      <xdr:colOff>460375</xdr:colOff>
      <xdr:row>13</xdr:row>
      <xdr:rowOff>293688</xdr:rowOff>
    </xdr:to>
    <xdr:pic>
      <xdr:nvPicPr>
        <xdr:cNvPr id="210" name="Picture 53298">
          <a:extLst>
            <a:ext uri="{FF2B5EF4-FFF2-40B4-BE49-F238E27FC236}">
              <a16:creationId xmlns:a16="http://schemas.microsoft.com/office/drawing/2014/main" id="{C9202F11-ADC8-D640-8D3D-7559F89AB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13</xdr:row>
      <xdr:rowOff>39688</xdr:rowOff>
    </xdr:from>
    <xdr:to>
      <xdr:col>171</xdr:col>
      <xdr:colOff>460375</xdr:colOff>
      <xdr:row>13</xdr:row>
      <xdr:rowOff>293688</xdr:rowOff>
    </xdr:to>
    <xdr:pic>
      <xdr:nvPicPr>
        <xdr:cNvPr id="211" name="Picture 53301">
          <a:extLst>
            <a:ext uri="{FF2B5EF4-FFF2-40B4-BE49-F238E27FC236}">
              <a16:creationId xmlns:a16="http://schemas.microsoft.com/office/drawing/2014/main" id="{D1B98B8E-E3F7-504C-99E2-1577A62D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13</xdr:row>
      <xdr:rowOff>39688</xdr:rowOff>
    </xdr:from>
    <xdr:to>
      <xdr:col>219</xdr:col>
      <xdr:colOff>460375</xdr:colOff>
      <xdr:row>13</xdr:row>
      <xdr:rowOff>293688</xdr:rowOff>
    </xdr:to>
    <xdr:pic>
      <xdr:nvPicPr>
        <xdr:cNvPr id="212" name="Picture 53304">
          <a:extLst>
            <a:ext uri="{FF2B5EF4-FFF2-40B4-BE49-F238E27FC236}">
              <a16:creationId xmlns:a16="http://schemas.microsoft.com/office/drawing/2014/main" id="{4AE9A0E4-B4E7-434B-89AC-2AD45BAFA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13</xdr:row>
      <xdr:rowOff>39688</xdr:rowOff>
    </xdr:from>
    <xdr:to>
      <xdr:col>99</xdr:col>
      <xdr:colOff>460375</xdr:colOff>
      <xdr:row>13</xdr:row>
      <xdr:rowOff>293688</xdr:rowOff>
    </xdr:to>
    <xdr:pic>
      <xdr:nvPicPr>
        <xdr:cNvPr id="213" name="Picture 53307">
          <a:extLst>
            <a:ext uri="{FF2B5EF4-FFF2-40B4-BE49-F238E27FC236}">
              <a16:creationId xmlns:a16="http://schemas.microsoft.com/office/drawing/2014/main" id="{D11A382A-422E-7F47-A732-D8D380B82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205427</xdr:colOff>
      <xdr:row>13</xdr:row>
      <xdr:rowOff>39688</xdr:rowOff>
    </xdr:from>
    <xdr:to>
      <xdr:col>15</xdr:col>
      <xdr:colOff>461323</xdr:colOff>
      <xdr:row>13</xdr:row>
      <xdr:rowOff>293688</xdr:rowOff>
    </xdr:to>
    <xdr:pic>
      <xdr:nvPicPr>
        <xdr:cNvPr id="214" name="Picture 53310">
          <a:extLst>
            <a:ext uri="{FF2B5EF4-FFF2-40B4-BE49-F238E27FC236}">
              <a16:creationId xmlns:a16="http://schemas.microsoft.com/office/drawing/2014/main" id="{679FDC2A-C513-AA40-ADB0-599835746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5427" y="26812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13</xdr:row>
      <xdr:rowOff>39688</xdr:rowOff>
    </xdr:from>
    <xdr:to>
      <xdr:col>135</xdr:col>
      <xdr:colOff>460375</xdr:colOff>
      <xdr:row>13</xdr:row>
      <xdr:rowOff>293688</xdr:rowOff>
    </xdr:to>
    <xdr:pic>
      <xdr:nvPicPr>
        <xdr:cNvPr id="215" name="Picture 53313">
          <a:extLst>
            <a:ext uri="{FF2B5EF4-FFF2-40B4-BE49-F238E27FC236}">
              <a16:creationId xmlns:a16="http://schemas.microsoft.com/office/drawing/2014/main" id="{1970D8D8-1271-8948-BEF3-F6DFD3400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13</xdr:row>
      <xdr:rowOff>39688</xdr:rowOff>
    </xdr:from>
    <xdr:to>
      <xdr:col>51</xdr:col>
      <xdr:colOff>460375</xdr:colOff>
      <xdr:row>13</xdr:row>
      <xdr:rowOff>293688</xdr:rowOff>
    </xdr:to>
    <xdr:pic>
      <xdr:nvPicPr>
        <xdr:cNvPr id="216" name="Picture 53316">
          <a:extLst>
            <a:ext uri="{FF2B5EF4-FFF2-40B4-BE49-F238E27FC236}">
              <a16:creationId xmlns:a16="http://schemas.microsoft.com/office/drawing/2014/main" id="{091A593C-FC55-614B-AF18-534E715A8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13</xdr:row>
      <xdr:rowOff>39688</xdr:rowOff>
    </xdr:from>
    <xdr:to>
      <xdr:col>111</xdr:col>
      <xdr:colOff>460375</xdr:colOff>
      <xdr:row>13</xdr:row>
      <xdr:rowOff>293688</xdr:rowOff>
    </xdr:to>
    <xdr:pic>
      <xdr:nvPicPr>
        <xdr:cNvPr id="217" name="Picture 53319">
          <a:extLst>
            <a:ext uri="{FF2B5EF4-FFF2-40B4-BE49-F238E27FC236}">
              <a16:creationId xmlns:a16="http://schemas.microsoft.com/office/drawing/2014/main" id="{1912A6E8-978D-194A-BD19-2EE0599EA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13</xdr:row>
      <xdr:rowOff>39688</xdr:rowOff>
    </xdr:from>
    <xdr:to>
      <xdr:col>123</xdr:col>
      <xdr:colOff>460375</xdr:colOff>
      <xdr:row>13</xdr:row>
      <xdr:rowOff>293688</xdr:rowOff>
    </xdr:to>
    <xdr:pic>
      <xdr:nvPicPr>
        <xdr:cNvPr id="218" name="Picture 53322">
          <a:extLst>
            <a:ext uri="{FF2B5EF4-FFF2-40B4-BE49-F238E27FC236}">
              <a16:creationId xmlns:a16="http://schemas.microsoft.com/office/drawing/2014/main" id="{9A838990-5455-9E44-8FFA-62EAE2B24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13</xdr:row>
      <xdr:rowOff>39688</xdr:rowOff>
    </xdr:from>
    <xdr:to>
      <xdr:col>183</xdr:col>
      <xdr:colOff>460375</xdr:colOff>
      <xdr:row>13</xdr:row>
      <xdr:rowOff>293688</xdr:rowOff>
    </xdr:to>
    <xdr:pic>
      <xdr:nvPicPr>
        <xdr:cNvPr id="219" name="Picture 53325">
          <a:extLst>
            <a:ext uri="{FF2B5EF4-FFF2-40B4-BE49-F238E27FC236}">
              <a16:creationId xmlns:a16="http://schemas.microsoft.com/office/drawing/2014/main" id="{3BC9FBBD-FFD2-2E4E-B3F0-4C94218DE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13</xdr:row>
      <xdr:rowOff>39688</xdr:rowOff>
    </xdr:from>
    <xdr:to>
      <xdr:col>159</xdr:col>
      <xdr:colOff>460375</xdr:colOff>
      <xdr:row>13</xdr:row>
      <xdr:rowOff>293688</xdr:rowOff>
    </xdr:to>
    <xdr:pic>
      <xdr:nvPicPr>
        <xdr:cNvPr id="220" name="Picture 53328">
          <a:extLst>
            <a:ext uri="{FF2B5EF4-FFF2-40B4-BE49-F238E27FC236}">
              <a16:creationId xmlns:a16="http://schemas.microsoft.com/office/drawing/2014/main" id="{E08DC511-D48F-0345-8FDF-BDF770649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13</xdr:row>
      <xdr:rowOff>39688</xdr:rowOff>
    </xdr:from>
    <xdr:to>
      <xdr:col>147</xdr:col>
      <xdr:colOff>460375</xdr:colOff>
      <xdr:row>13</xdr:row>
      <xdr:rowOff>293688</xdr:rowOff>
    </xdr:to>
    <xdr:pic>
      <xdr:nvPicPr>
        <xdr:cNvPr id="221" name="Picture 53331">
          <a:extLst>
            <a:ext uri="{FF2B5EF4-FFF2-40B4-BE49-F238E27FC236}">
              <a16:creationId xmlns:a16="http://schemas.microsoft.com/office/drawing/2014/main" id="{9C8A9795-A21F-C84A-83C4-60AC21985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2681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15</xdr:row>
      <xdr:rowOff>39688</xdr:rowOff>
    </xdr:from>
    <xdr:to>
      <xdr:col>111</xdr:col>
      <xdr:colOff>460375</xdr:colOff>
      <xdr:row>15</xdr:row>
      <xdr:rowOff>293688</xdr:rowOff>
    </xdr:to>
    <xdr:pic>
      <xdr:nvPicPr>
        <xdr:cNvPr id="222" name="Picture 53334">
          <a:extLst>
            <a:ext uri="{FF2B5EF4-FFF2-40B4-BE49-F238E27FC236}">
              <a16:creationId xmlns:a16="http://schemas.microsoft.com/office/drawing/2014/main" id="{14A89F83-79E9-D54F-BE5E-C176AA977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15</xdr:row>
      <xdr:rowOff>39688</xdr:rowOff>
    </xdr:from>
    <xdr:to>
      <xdr:col>159</xdr:col>
      <xdr:colOff>460375</xdr:colOff>
      <xdr:row>15</xdr:row>
      <xdr:rowOff>293688</xdr:rowOff>
    </xdr:to>
    <xdr:pic>
      <xdr:nvPicPr>
        <xdr:cNvPr id="223" name="Picture 53337">
          <a:extLst>
            <a:ext uri="{FF2B5EF4-FFF2-40B4-BE49-F238E27FC236}">
              <a16:creationId xmlns:a16="http://schemas.microsoft.com/office/drawing/2014/main" id="{F0E7D158-AA4B-B340-AAD7-80F4C3E58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15</xdr:row>
      <xdr:rowOff>39688</xdr:rowOff>
    </xdr:from>
    <xdr:to>
      <xdr:col>39</xdr:col>
      <xdr:colOff>460375</xdr:colOff>
      <xdr:row>15</xdr:row>
      <xdr:rowOff>293688</xdr:rowOff>
    </xdr:to>
    <xdr:pic>
      <xdr:nvPicPr>
        <xdr:cNvPr id="224" name="Picture 53340">
          <a:extLst>
            <a:ext uri="{FF2B5EF4-FFF2-40B4-BE49-F238E27FC236}">
              <a16:creationId xmlns:a16="http://schemas.microsoft.com/office/drawing/2014/main" id="{D5061DC3-C60D-4E42-AD92-81573DA22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15</xdr:row>
      <xdr:rowOff>39688</xdr:rowOff>
    </xdr:from>
    <xdr:to>
      <xdr:col>219</xdr:col>
      <xdr:colOff>460375</xdr:colOff>
      <xdr:row>15</xdr:row>
      <xdr:rowOff>293688</xdr:rowOff>
    </xdr:to>
    <xdr:pic>
      <xdr:nvPicPr>
        <xdr:cNvPr id="225" name="Picture 53343">
          <a:extLst>
            <a:ext uri="{FF2B5EF4-FFF2-40B4-BE49-F238E27FC236}">
              <a16:creationId xmlns:a16="http://schemas.microsoft.com/office/drawing/2014/main" id="{7F00918C-C202-7D4F-A98C-41D967FA9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15</xdr:row>
      <xdr:rowOff>39688</xdr:rowOff>
    </xdr:from>
    <xdr:to>
      <xdr:col>63</xdr:col>
      <xdr:colOff>460375</xdr:colOff>
      <xdr:row>15</xdr:row>
      <xdr:rowOff>293688</xdr:rowOff>
    </xdr:to>
    <xdr:pic>
      <xdr:nvPicPr>
        <xdr:cNvPr id="226" name="Picture 53346">
          <a:extLst>
            <a:ext uri="{FF2B5EF4-FFF2-40B4-BE49-F238E27FC236}">
              <a16:creationId xmlns:a16="http://schemas.microsoft.com/office/drawing/2014/main" id="{12DA599F-9A24-AE42-A475-099A1114C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223050</xdr:colOff>
      <xdr:row>15</xdr:row>
      <xdr:rowOff>39688</xdr:rowOff>
    </xdr:from>
    <xdr:to>
      <xdr:col>87</xdr:col>
      <xdr:colOff>443706</xdr:colOff>
      <xdr:row>15</xdr:row>
      <xdr:rowOff>293688</xdr:rowOff>
    </xdr:to>
    <xdr:pic>
      <xdr:nvPicPr>
        <xdr:cNvPr id="227" name="Picture 53349">
          <a:extLst>
            <a:ext uri="{FF2B5EF4-FFF2-40B4-BE49-F238E27FC236}">
              <a16:creationId xmlns:a16="http://schemas.microsoft.com/office/drawing/2014/main" id="{62BB97AB-C4AC-BB42-89DF-F969E91C3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7050" y="3087688"/>
          <a:ext cx="220656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15</xdr:row>
      <xdr:rowOff>39688</xdr:rowOff>
    </xdr:from>
    <xdr:to>
      <xdr:col>99</xdr:col>
      <xdr:colOff>460375</xdr:colOff>
      <xdr:row>15</xdr:row>
      <xdr:rowOff>293688</xdr:rowOff>
    </xdr:to>
    <xdr:pic>
      <xdr:nvPicPr>
        <xdr:cNvPr id="228" name="Picture 53352">
          <a:extLst>
            <a:ext uri="{FF2B5EF4-FFF2-40B4-BE49-F238E27FC236}">
              <a16:creationId xmlns:a16="http://schemas.microsoft.com/office/drawing/2014/main" id="{7659A52F-6C15-B14C-8DBC-355D81AA4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15</xdr:row>
      <xdr:rowOff>39688</xdr:rowOff>
    </xdr:from>
    <xdr:to>
      <xdr:col>51</xdr:col>
      <xdr:colOff>460375</xdr:colOff>
      <xdr:row>15</xdr:row>
      <xdr:rowOff>293688</xdr:rowOff>
    </xdr:to>
    <xdr:pic>
      <xdr:nvPicPr>
        <xdr:cNvPr id="229" name="Picture 53355">
          <a:extLst>
            <a:ext uri="{FF2B5EF4-FFF2-40B4-BE49-F238E27FC236}">
              <a16:creationId xmlns:a16="http://schemas.microsoft.com/office/drawing/2014/main" id="{3E8D5A58-F21E-014F-A8E1-D00877869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15</xdr:row>
      <xdr:rowOff>39688</xdr:rowOff>
    </xdr:from>
    <xdr:to>
      <xdr:col>147</xdr:col>
      <xdr:colOff>460375</xdr:colOff>
      <xdr:row>15</xdr:row>
      <xdr:rowOff>293688</xdr:rowOff>
    </xdr:to>
    <xdr:pic>
      <xdr:nvPicPr>
        <xdr:cNvPr id="230" name="Picture 53358">
          <a:extLst>
            <a:ext uri="{FF2B5EF4-FFF2-40B4-BE49-F238E27FC236}">
              <a16:creationId xmlns:a16="http://schemas.microsoft.com/office/drawing/2014/main" id="{48079857-8532-3B43-8AA3-754630E6F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15</xdr:row>
      <xdr:rowOff>39688</xdr:rowOff>
    </xdr:from>
    <xdr:to>
      <xdr:col>27</xdr:col>
      <xdr:colOff>460375</xdr:colOff>
      <xdr:row>15</xdr:row>
      <xdr:rowOff>293688</xdr:rowOff>
    </xdr:to>
    <xdr:pic>
      <xdr:nvPicPr>
        <xdr:cNvPr id="231" name="Picture 53361">
          <a:extLst>
            <a:ext uri="{FF2B5EF4-FFF2-40B4-BE49-F238E27FC236}">
              <a16:creationId xmlns:a16="http://schemas.microsoft.com/office/drawing/2014/main" id="{96C07470-EE88-8949-A1D7-DD7DA899C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15</xdr:row>
      <xdr:rowOff>39688</xdr:rowOff>
    </xdr:from>
    <xdr:to>
      <xdr:col>195</xdr:col>
      <xdr:colOff>460375</xdr:colOff>
      <xdr:row>15</xdr:row>
      <xdr:rowOff>293688</xdr:rowOff>
    </xdr:to>
    <xdr:pic>
      <xdr:nvPicPr>
        <xdr:cNvPr id="232" name="Picture 53364">
          <a:extLst>
            <a:ext uri="{FF2B5EF4-FFF2-40B4-BE49-F238E27FC236}">
              <a16:creationId xmlns:a16="http://schemas.microsoft.com/office/drawing/2014/main" id="{4BE1D16B-E657-0E4D-ABCC-12000FB38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15</xdr:row>
      <xdr:rowOff>39688</xdr:rowOff>
    </xdr:from>
    <xdr:to>
      <xdr:col>231</xdr:col>
      <xdr:colOff>460375</xdr:colOff>
      <xdr:row>15</xdr:row>
      <xdr:rowOff>293688</xdr:rowOff>
    </xdr:to>
    <xdr:pic>
      <xdr:nvPicPr>
        <xdr:cNvPr id="233" name="Picture 53367">
          <a:extLst>
            <a:ext uri="{FF2B5EF4-FFF2-40B4-BE49-F238E27FC236}">
              <a16:creationId xmlns:a16="http://schemas.microsoft.com/office/drawing/2014/main" id="{F40C5BBC-ED35-2E47-9C2C-1EE7C47AA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15</xdr:row>
      <xdr:rowOff>39688</xdr:rowOff>
    </xdr:from>
    <xdr:to>
      <xdr:col>171</xdr:col>
      <xdr:colOff>460375</xdr:colOff>
      <xdr:row>15</xdr:row>
      <xdr:rowOff>293688</xdr:rowOff>
    </xdr:to>
    <xdr:pic>
      <xdr:nvPicPr>
        <xdr:cNvPr id="234" name="Picture 53370">
          <a:extLst>
            <a:ext uri="{FF2B5EF4-FFF2-40B4-BE49-F238E27FC236}">
              <a16:creationId xmlns:a16="http://schemas.microsoft.com/office/drawing/2014/main" id="{48D11F6F-C2FA-7740-B0A5-DDBF73BC6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15</xdr:row>
      <xdr:rowOff>39688</xdr:rowOff>
    </xdr:from>
    <xdr:to>
      <xdr:col>3</xdr:col>
      <xdr:colOff>460375</xdr:colOff>
      <xdr:row>15</xdr:row>
      <xdr:rowOff>293688</xdr:rowOff>
    </xdr:to>
    <xdr:pic>
      <xdr:nvPicPr>
        <xdr:cNvPr id="235" name="Picture 53373">
          <a:extLst>
            <a:ext uri="{FF2B5EF4-FFF2-40B4-BE49-F238E27FC236}">
              <a16:creationId xmlns:a16="http://schemas.microsoft.com/office/drawing/2014/main" id="{D40AC0D3-B4DE-1947-86F3-060A16205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15</xdr:row>
      <xdr:rowOff>39688</xdr:rowOff>
    </xdr:from>
    <xdr:to>
      <xdr:col>183</xdr:col>
      <xdr:colOff>460375</xdr:colOff>
      <xdr:row>15</xdr:row>
      <xdr:rowOff>293688</xdr:rowOff>
    </xdr:to>
    <xdr:pic>
      <xdr:nvPicPr>
        <xdr:cNvPr id="236" name="Picture 53376">
          <a:extLst>
            <a:ext uri="{FF2B5EF4-FFF2-40B4-BE49-F238E27FC236}">
              <a16:creationId xmlns:a16="http://schemas.microsoft.com/office/drawing/2014/main" id="{CFA8E28F-AF9C-2748-ADAF-D48CB39F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15</xdr:row>
      <xdr:rowOff>39688</xdr:rowOff>
    </xdr:from>
    <xdr:to>
      <xdr:col>15</xdr:col>
      <xdr:colOff>460375</xdr:colOff>
      <xdr:row>15</xdr:row>
      <xdr:rowOff>293688</xdr:rowOff>
    </xdr:to>
    <xdr:pic>
      <xdr:nvPicPr>
        <xdr:cNvPr id="237" name="Picture 53379">
          <a:extLst>
            <a:ext uri="{FF2B5EF4-FFF2-40B4-BE49-F238E27FC236}">
              <a16:creationId xmlns:a16="http://schemas.microsoft.com/office/drawing/2014/main" id="{D585E640-1C71-174D-B973-F98AB5969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15</xdr:row>
      <xdr:rowOff>39688</xdr:rowOff>
    </xdr:from>
    <xdr:to>
      <xdr:col>135</xdr:col>
      <xdr:colOff>460375</xdr:colOff>
      <xdr:row>15</xdr:row>
      <xdr:rowOff>293688</xdr:rowOff>
    </xdr:to>
    <xdr:pic>
      <xdr:nvPicPr>
        <xdr:cNvPr id="238" name="Picture 53382">
          <a:extLst>
            <a:ext uri="{FF2B5EF4-FFF2-40B4-BE49-F238E27FC236}">
              <a16:creationId xmlns:a16="http://schemas.microsoft.com/office/drawing/2014/main" id="{099EEFBC-48B1-1442-B5E7-467EDCC7D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205426</xdr:colOff>
      <xdr:row>15</xdr:row>
      <xdr:rowOff>39688</xdr:rowOff>
    </xdr:from>
    <xdr:to>
      <xdr:col>123</xdr:col>
      <xdr:colOff>461322</xdr:colOff>
      <xdr:row>15</xdr:row>
      <xdr:rowOff>293688</xdr:rowOff>
    </xdr:to>
    <xdr:pic>
      <xdr:nvPicPr>
        <xdr:cNvPr id="239" name="Picture 53385">
          <a:extLst>
            <a:ext uri="{FF2B5EF4-FFF2-40B4-BE49-F238E27FC236}">
              <a16:creationId xmlns:a16="http://schemas.microsoft.com/office/drawing/2014/main" id="{4AE90E43-0077-604B-BC12-7E7B7DF1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1426" y="3087688"/>
          <a:ext cx="255896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15</xdr:row>
      <xdr:rowOff>39688</xdr:rowOff>
    </xdr:from>
    <xdr:to>
      <xdr:col>207</xdr:col>
      <xdr:colOff>460375</xdr:colOff>
      <xdr:row>15</xdr:row>
      <xdr:rowOff>293688</xdr:rowOff>
    </xdr:to>
    <xdr:pic>
      <xdr:nvPicPr>
        <xdr:cNvPr id="240" name="Picture 53388">
          <a:extLst>
            <a:ext uri="{FF2B5EF4-FFF2-40B4-BE49-F238E27FC236}">
              <a16:creationId xmlns:a16="http://schemas.microsoft.com/office/drawing/2014/main" id="{5D6B3048-F178-A34C-8D2C-5FA389FA3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15</xdr:row>
      <xdr:rowOff>39688</xdr:rowOff>
    </xdr:from>
    <xdr:to>
      <xdr:col>75</xdr:col>
      <xdr:colOff>460375</xdr:colOff>
      <xdr:row>15</xdr:row>
      <xdr:rowOff>293688</xdr:rowOff>
    </xdr:to>
    <xdr:pic>
      <xdr:nvPicPr>
        <xdr:cNvPr id="241" name="Picture 53391">
          <a:extLst>
            <a:ext uri="{FF2B5EF4-FFF2-40B4-BE49-F238E27FC236}">
              <a16:creationId xmlns:a16="http://schemas.microsoft.com/office/drawing/2014/main" id="{8A5BDF18-6AAB-224B-8E15-328CE70FC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3087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16</xdr:row>
      <xdr:rowOff>39688</xdr:rowOff>
    </xdr:from>
    <xdr:to>
      <xdr:col>231</xdr:col>
      <xdr:colOff>460375</xdr:colOff>
      <xdr:row>16</xdr:row>
      <xdr:rowOff>293688</xdr:rowOff>
    </xdr:to>
    <xdr:pic>
      <xdr:nvPicPr>
        <xdr:cNvPr id="242" name="Picture 53394">
          <a:extLst>
            <a:ext uri="{FF2B5EF4-FFF2-40B4-BE49-F238E27FC236}">
              <a16:creationId xmlns:a16="http://schemas.microsoft.com/office/drawing/2014/main" id="{3B37BFAE-8007-544E-9F78-AC80A7557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16</xdr:row>
      <xdr:rowOff>39688</xdr:rowOff>
    </xdr:from>
    <xdr:to>
      <xdr:col>207</xdr:col>
      <xdr:colOff>460375</xdr:colOff>
      <xdr:row>16</xdr:row>
      <xdr:rowOff>293688</xdr:rowOff>
    </xdr:to>
    <xdr:pic>
      <xdr:nvPicPr>
        <xdr:cNvPr id="243" name="Picture 53397">
          <a:extLst>
            <a:ext uri="{FF2B5EF4-FFF2-40B4-BE49-F238E27FC236}">
              <a16:creationId xmlns:a16="http://schemas.microsoft.com/office/drawing/2014/main" id="{E27925A2-039F-FC44-B618-672BA988C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223047</xdr:colOff>
      <xdr:row>16</xdr:row>
      <xdr:rowOff>39688</xdr:rowOff>
    </xdr:from>
    <xdr:to>
      <xdr:col>3</xdr:col>
      <xdr:colOff>443703</xdr:colOff>
      <xdr:row>16</xdr:row>
      <xdr:rowOff>293688</xdr:rowOff>
    </xdr:to>
    <xdr:pic>
      <xdr:nvPicPr>
        <xdr:cNvPr id="244" name="Picture 53400">
          <a:extLst>
            <a:ext uri="{FF2B5EF4-FFF2-40B4-BE49-F238E27FC236}">
              <a16:creationId xmlns:a16="http://schemas.microsoft.com/office/drawing/2014/main" id="{43E7C6AF-23FB-D046-AD97-21C8F5A47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047" y="3290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16</xdr:row>
      <xdr:rowOff>39688</xdr:rowOff>
    </xdr:from>
    <xdr:to>
      <xdr:col>63</xdr:col>
      <xdr:colOff>460375</xdr:colOff>
      <xdr:row>16</xdr:row>
      <xdr:rowOff>293688</xdr:rowOff>
    </xdr:to>
    <xdr:pic>
      <xdr:nvPicPr>
        <xdr:cNvPr id="245" name="Picture 53403">
          <a:extLst>
            <a:ext uri="{FF2B5EF4-FFF2-40B4-BE49-F238E27FC236}">
              <a16:creationId xmlns:a16="http://schemas.microsoft.com/office/drawing/2014/main" id="{712E1E5E-D609-934A-BA9A-1C9D7D78E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16</xdr:row>
      <xdr:rowOff>39688</xdr:rowOff>
    </xdr:from>
    <xdr:to>
      <xdr:col>87</xdr:col>
      <xdr:colOff>460375</xdr:colOff>
      <xdr:row>16</xdr:row>
      <xdr:rowOff>293688</xdr:rowOff>
    </xdr:to>
    <xdr:pic>
      <xdr:nvPicPr>
        <xdr:cNvPr id="246" name="Picture 53406">
          <a:extLst>
            <a:ext uri="{FF2B5EF4-FFF2-40B4-BE49-F238E27FC236}">
              <a16:creationId xmlns:a16="http://schemas.microsoft.com/office/drawing/2014/main" id="{FE72D4B7-4757-F545-B3C9-8F31D36E0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16</xdr:row>
      <xdr:rowOff>39688</xdr:rowOff>
    </xdr:from>
    <xdr:to>
      <xdr:col>99</xdr:col>
      <xdr:colOff>460375</xdr:colOff>
      <xdr:row>16</xdr:row>
      <xdr:rowOff>293688</xdr:rowOff>
    </xdr:to>
    <xdr:pic>
      <xdr:nvPicPr>
        <xdr:cNvPr id="247" name="Picture 53409">
          <a:extLst>
            <a:ext uri="{FF2B5EF4-FFF2-40B4-BE49-F238E27FC236}">
              <a16:creationId xmlns:a16="http://schemas.microsoft.com/office/drawing/2014/main" id="{8738025B-12A1-AC47-9D85-B54A4223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205426</xdr:colOff>
      <xdr:row>16</xdr:row>
      <xdr:rowOff>39688</xdr:rowOff>
    </xdr:from>
    <xdr:to>
      <xdr:col>159</xdr:col>
      <xdr:colOff>461322</xdr:colOff>
      <xdr:row>16</xdr:row>
      <xdr:rowOff>293688</xdr:rowOff>
    </xdr:to>
    <xdr:pic>
      <xdr:nvPicPr>
        <xdr:cNvPr id="248" name="Picture 53412">
          <a:extLst>
            <a:ext uri="{FF2B5EF4-FFF2-40B4-BE49-F238E27FC236}">
              <a16:creationId xmlns:a16="http://schemas.microsoft.com/office/drawing/2014/main" id="{EFFF9485-21FA-BE41-A315-ADB32343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3426" y="32908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16</xdr:row>
      <xdr:rowOff>39688</xdr:rowOff>
    </xdr:from>
    <xdr:to>
      <xdr:col>135</xdr:col>
      <xdr:colOff>460375</xdr:colOff>
      <xdr:row>16</xdr:row>
      <xdr:rowOff>293688</xdr:rowOff>
    </xdr:to>
    <xdr:pic>
      <xdr:nvPicPr>
        <xdr:cNvPr id="249" name="Picture 53415">
          <a:extLst>
            <a:ext uri="{FF2B5EF4-FFF2-40B4-BE49-F238E27FC236}">
              <a16:creationId xmlns:a16="http://schemas.microsoft.com/office/drawing/2014/main" id="{49F4385D-20D3-6044-8302-987F367C7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16</xdr:row>
      <xdr:rowOff>39688</xdr:rowOff>
    </xdr:from>
    <xdr:to>
      <xdr:col>27</xdr:col>
      <xdr:colOff>460375</xdr:colOff>
      <xdr:row>16</xdr:row>
      <xdr:rowOff>293688</xdr:rowOff>
    </xdr:to>
    <xdr:pic>
      <xdr:nvPicPr>
        <xdr:cNvPr id="250" name="Picture 53418">
          <a:extLst>
            <a:ext uri="{FF2B5EF4-FFF2-40B4-BE49-F238E27FC236}">
              <a16:creationId xmlns:a16="http://schemas.microsoft.com/office/drawing/2014/main" id="{0BA8B03E-2FF5-9347-BB3D-0BAB108B0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16</xdr:row>
      <xdr:rowOff>39688</xdr:rowOff>
    </xdr:from>
    <xdr:to>
      <xdr:col>171</xdr:col>
      <xdr:colOff>460375</xdr:colOff>
      <xdr:row>16</xdr:row>
      <xdr:rowOff>293688</xdr:rowOff>
    </xdr:to>
    <xdr:pic>
      <xdr:nvPicPr>
        <xdr:cNvPr id="251" name="Picture 53421">
          <a:extLst>
            <a:ext uri="{FF2B5EF4-FFF2-40B4-BE49-F238E27FC236}">
              <a16:creationId xmlns:a16="http://schemas.microsoft.com/office/drawing/2014/main" id="{FC9CE952-2906-9C4A-8965-C5BBEBFF8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16</xdr:row>
      <xdr:rowOff>39688</xdr:rowOff>
    </xdr:from>
    <xdr:to>
      <xdr:col>15</xdr:col>
      <xdr:colOff>460375</xdr:colOff>
      <xdr:row>16</xdr:row>
      <xdr:rowOff>293688</xdr:rowOff>
    </xdr:to>
    <xdr:pic>
      <xdr:nvPicPr>
        <xdr:cNvPr id="252" name="Picture 53424">
          <a:extLst>
            <a:ext uri="{FF2B5EF4-FFF2-40B4-BE49-F238E27FC236}">
              <a16:creationId xmlns:a16="http://schemas.microsoft.com/office/drawing/2014/main" id="{75BD1034-777F-B643-9FE6-E6FAD9D4A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16</xdr:row>
      <xdr:rowOff>39688</xdr:rowOff>
    </xdr:from>
    <xdr:to>
      <xdr:col>111</xdr:col>
      <xdr:colOff>460375</xdr:colOff>
      <xdr:row>16</xdr:row>
      <xdr:rowOff>293688</xdr:rowOff>
    </xdr:to>
    <xdr:pic>
      <xdr:nvPicPr>
        <xdr:cNvPr id="253" name="Picture 53427">
          <a:extLst>
            <a:ext uri="{FF2B5EF4-FFF2-40B4-BE49-F238E27FC236}">
              <a16:creationId xmlns:a16="http://schemas.microsoft.com/office/drawing/2014/main" id="{77C1D73D-0063-344E-AE0B-EC8D74F19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16</xdr:row>
      <xdr:rowOff>39688</xdr:rowOff>
    </xdr:from>
    <xdr:to>
      <xdr:col>51</xdr:col>
      <xdr:colOff>460375</xdr:colOff>
      <xdr:row>16</xdr:row>
      <xdr:rowOff>293688</xdr:rowOff>
    </xdr:to>
    <xdr:pic>
      <xdr:nvPicPr>
        <xdr:cNvPr id="254" name="Picture 53430">
          <a:extLst>
            <a:ext uri="{FF2B5EF4-FFF2-40B4-BE49-F238E27FC236}">
              <a16:creationId xmlns:a16="http://schemas.microsoft.com/office/drawing/2014/main" id="{328528C0-738B-5344-8CD9-64EA458F9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16</xdr:row>
      <xdr:rowOff>39688</xdr:rowOff>
    </xdr:from>
    <xdr:to>
      <xdr:col>195</xdr:col>
      <xdr:colOff>460375</xdr:colOff>
      <xdr:row>16</xdr:row>
      <xdr:rowOff>293688</xdr:rowOff>
    </xdr:to>
    <xdr:pic>
      <xdr:nvPicPr>
        <xdr:cNvPr id="255" name="Picture 53433">
          <a:extLst>
            <a:ext uri="{FF2B5EF4-FFF2-40B4-BE49-F238E27FC236}">
              <a16:creationId xmlns:a16="http://schemas.microsoft.com/office/drawing/2014/main" id="{3E1363F0-9BBD-A744-8405-8925DBE6E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16</xdr:row>
      <xdr:rowOff>39688</xdr:rowOff>
    </xdr:from>
    <xdr:to>
      <xdr:col>123</xdr:col>
      <xdr:colOff>460375</xdr:colOff>
      <xdr:row>16</xdr:row>
      <xdr:rowOff>293688</xdr:rowOff>
    </xdr:to>
    <xdr:pic>
      <xdr:nvPicPr>
        <xdr:cNvPr id="256" name="Picture 53436">
          <a:extLst>
            <a:ext uri="{FF2B5EF4-FFF2-40B4-BE49-F238E27FC236}">
              <a16:creationId xmlns:a16="http://schemas.microsoft.com/office/drawing/2014/main" id="{E86AD7EB-F743-DF4A-9B27-E4549C2B3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16</xdr:row>
      <xdr:rowOff>39688</xdr:rowOff>
    </xdr:from>
    <xdr:to>
      <xdr:col>39</xdr:col>
      <xdr:colOff>460375</xdr:colOff>
      <xdr:row>16</xdr:row>
      <xdr:rowOff>293688</xdr:rowOff>
    </xdr:to>
    <xdr:pic>
      <xdr:nvPicPr>
        <xdr:cNvPr id="257" name="Picture 53439">
          <a:extLst>
            <a:ext uri="{FF2B5EF4-FFF2-40B4-BE49-F238E27FC236}">
              <a16:creationId xmlns:a16="http://schemas.microsoft.com/office/drawing/2014/main" id="{BF699B2D-3F73-AF43-A340-1294B2524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16</xdr:row>
      <xdr:rowOff>39688</xdr:rowOff>
    </xdr:from>
    <xdr:to>
      <xdr:col>219</xdr:col>
      <xdr:colOff>460375</xdr:colOff>
      <xdr:row>16</xdr:row>
      <xdr:rowOff>293688</xdr:rowOff>
    </xdr:to>
    <xdr:pic>
      <xdr:nvPicPr>
        <xdr:cNvPr id="258" name="Picture 53442">
          <a:extLst>
            <a:ext uri="{FF2B5EF4-FFF2-40B4-BE49-F238E27FC236}">
              <a16:creationId xmlns:a16="http://schemas.microsoft.com/office/drawing/2014/main" id="{D7D13EE6-0477-D04F-8064-9EC269BAF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16</xdr:row>
      <xdr:rowOff>39688</xdr:rowOff>
    </xdr:from>
    <xdr:to>
      <xdr:col>183</xdr:col>
      <xdr:colOff>460375</xdr:colOff>
      <xdr:row>16</xdr:row>
      <xdr:rowOff>293688</xdr:rowOff>
    </xdr:to>
    <xdr:pic>
      <xdr:nvPicPr>
        <xdr:cNvPr id="259" name="Picture 53445">
          <a:extLst>
            <a:ext uri="{FF2B5EF4-FFF2-40B4-BE49-F238E27FC236}">
              <a16:creationId xmlns:a16="http://schemas.microsoft.com/office/drawing/2014/main" id="{D6CD13DB-CD63-234C-B763-D5A5FAAA5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16</xdr:row>
      <xdr:rowOff>39688</xdr:rowOff>
    </xdr:from>
    <xdr:to>
      <xdr:col>75</xdr:col>
      <xdr:colOff>460375</xdr:colOff>
      <xdr:row>16</xdr:row>
      <xdr:rowOff>293688</xdr:rowOff>
    </xdr:to>
    <xdr:pic>
      <xdr:nvPicPr>
        <xdr:cNvPr id="260" name="Picture 53448">
          <a:extLst>
            <a:ext uri="{FF2B5EF4-FFF2-40B4-BE49-F238E27FC236}">
              <a16:creationId xmlns:a16="http://schemas.microsoft.com/office/drawing/2014/main" id="{8CD4E56E-F004-194A-9748-E62361472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16</xdr:row>
      <xdr:rowOff>39688</xdr:rowOff>
    </xdr:from>
    <xdr:to>
      <xdr:col>147</xdr:col>
      <xdr:colOff>460375</xdr:colOff>
      <xdr:row>16</xdr:row>
      <xdr:rowOff>293688</xdr:rowOff>
    </xdr:to>
    <xdr:pic>
      <xdr:nvPicPr>
        <xdr:cNvPr id="261" name="Picture 53451">
          <a:extLst>
            <a:ext uri="{FF2B5EF4-FFF2-40B4-BE49-F238E27FC236}">
              <a16:creationId xmlns:a16="http://schemas.microsoft.com/office/drawing/2014/main" id="{B2885CEC-C0FC-8049-A3C3-838B25563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3290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17</xdr:row>
      <xdr:rowOff>39688</xdr:rowOff>
    </xdr:from>
    <xdr:to>
      <xdr:col>147</xdr:col>
      <xdr:colOff>460375</xdr:colOff>
      <xdr:row>17</xdr:row>
      <xdr:rowOff>293688</xdr:rowOff>
    </xdr:to>
    <xdr:pic>
      <xdr:nvPicPr>
        <xdr:cNvPr id="262" name="Picture 53454">
          <a:extLst>
            <a:ext uri="{FF2B5EF4-FFF2-40B4-BE49-F238E27FC236}">
              <a16:creationId xmlns:a16="http://schemas.microsoft.com/office/drawing/2014/main" id="{CD5C85FD-4ED4-0644-847A-C266D239D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17</xdr:row>
      <xdr:rowOff>39688</xdr:rowOff>
    </xdr:from>
    <xdr:to>
      <xdr:col>123</xdr:col>
      <xdr:colOff>460375</xdr:colOff>
      <xdr:row>17</xdr:row>
      <xdr:rowOff>293688</xdr:rowOff>
    </xdr:to>
    <xdr:pic>
      <xdr:nvPicPr>
        <xdr:cNvPr id="263" name="Picture 53457">
          <a:extLst>
            <a:ext uri="{FF2B5EF4-FFF2-40B4-BE49-F238E27FC236}">
              <a16:creationId xmlns:a16="http://schemas.microsoft.com/office/drawing/2014/main" id="{6A4E875F-5EB1-6B49-8C23-3DAD9AF5D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17</xdr:row>
      <xdr:rowOff>39688</xdr:rowOff>
    </xdr:from>
    <xdr:to>
      <xdr:col>63</xdr:col>
      <xdr:colOff>460375</xdr:colOff>
      <xdr:row>17</xdr:row>
      <xdr:rowOff>293688</xdr:rowOff>
    </xdr:to>
    <xdr:pic>
      <xdr:nvPicPr>
        <xdr:cNvPr id="264" name="Picture 53460">
          <a:extLst>
            <a:ext uri="{FF2B5EF4-FFF2-40B4-BE49-F238E27FC236}">
              <a16:creationId xmlns:a16="http://schemas.microsoft.com/office/drawing/2014/main" id="{91653907-7C95-9046-965D-A258DF6C5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223044</xdr:colOff>
      <xdr:row>17</xdr:row>
      <xdr:rowOff>39688</xdr:rowOff>
    </xdr:from>
    <xdr:to>
      <xdr:col>219</xdr:col>
      <xdr:colOff>443700</xdr:colOff>
      <xdr:row>17</xdr:row>
      <xdr:rowOff>293688</xdr:rowOff>
    </xdr:to>
    <xdr:pic>
      <xdr:nvPicPr>
        <xdr:cNvPr id="265" name="Picture 53463">
          <a:extLst>
            <a:ext uri="{FF2B5EF4-FFF2-40B4-BE49-F238E27FC236}">
              <a16:creationId xmlns:a16="http://schemas.microsoft.com/office/drawing/2014/main" id="{11F991D4-0285-8248-B3E6-FDD441F0C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01044" y="3494088"/>
          <a:ext cx="22065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17</xdr:row>
      <xdr:rowOff>39688</xdr:rowOff>
    </xdr:from>
    <xdr:to>
      <xdr:col>135</xdr:col>
      <xdr:colOff>460375</xdr:colOff>
      <xdr:row>17</xdr:row>
      <xdr:rowOff>293688</xdr:rowOff>
    </xdr:to>
    <xdr:pic>
      <xdr:nvPicPr>
        <xdr:cNvPr id="266" name="Picture 53466">
          <a:extLst>
            <a:ext uri="{FF2B5EF4-FFF2-40B4-BE49-F238E27FC236}">
              <a16:creationId xmlns:a16="http://schemas.microsoft.com/office/drawing/2014/main" id="{95FA71C1-63D9-5D43-B6B7-1959063C3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205426</xdr:colOff>
      <xdr:row>17</xdr:row>
      <xdr:rowOff>39688</xdr:rowOff>
    </xdr:from>
    <xdr:to>
      <xdr:col>87</xdr:col>
      <xdr:colOff>461322</xdr:colOff>
      <xdr:row>17</xdr:row>
      <xdr:rowOff>293688</xdr:rowOff>
    </xdr:to>
    <xdr:pic>
      <xdr:nvPicPr>
        <xdr:cNvPr id="267" name="Picture 53469">
          <a:extLst>
            <a:ext uri="{FF2B5EF4-FFF2-40B4-BE49-F238E27FC236}">
              <a16:creationId xmlns:a16="http://schemas.microsoft.com/office/drawing/2014/main" id="{3AA9B01A-A4BC-6B42-9A0A-F005FC30C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99426" y="3494088"/>
          <a:ext cx="255896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17</xdr:row>
      <xdr:rowOff>39688</xdr:rowOff>
    </xdr:from>
    <xdr:to>
      <xdr:col>171</xdr:col>
      <xdr:colOff>460375</xdr:colOff>
      <xdr:row>17</xdr:row>
      <xdr:rowOff>293688</xdr:rowOff>
    </xdr:to>
    <xdr:pic>
      <xdr:nvPicPr>
        <xdr:cNvPr id="268" name="Picture 53472">
          <a:extLst>
            <a:ext uri="{FF2B5EF4-FFF2-40B4-BE49-F238E27FC236}">
              <a16:creationId xmlns:a16="http://schemas.microsoft.com/office/drawing/2014/main" id="{91F79EAF-3E21-1A4E-BB16-04B11F85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17</xdr:row>
      <xdr:rowOff>39688</xdr:rowOff>
    </xdr:from>
    <xdr:to>
      <xdr:col>75</xdr:col>
      <xdr:colOff>460375</xdr:colOff>
      <xdr:row>17</xdr:row>
      <xdr:rowOff>293688</xdr:rowOff>
    </xdr:to>
    <xdr:pic>
      <xdr:nvPicPr>
        <xdr:cNvPr id="269" name="Picture 53475">
          <a:extLst>
            <a:ext uri="{FF2B5EF4-FFF2-40B4-BE49-F238E27FC236}">
              <a16:creationId xmlns:a16="http://schemas.microsoft.com/office/drawing/2014/main" id="{60E6921C-B297-CB4D-8FD0-EDCD36793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17</xdr:row>
      <xdr:rowOff>39688</xdr:rowOff>
    </xdr:from>
    <xdr:to>
      <xdr:col>183</xdr:col>
      <xdr:colOff>460375</xdr:colOff>
      <xdr:row>17</xdr:row>
      <xdr:rowOff>293688</xdr:rowOff>
    </xdr:to>
    <xdr:pic>
      <xdr:nvPicPr>
        <xdr:cNvPr id="270" name="Picture 53478">
          <a:extLst>
            <a:ext uri="{FF2B5EF4-FFF2-40B4-BE49-F238E27FC236}">
              <a16:creationId xmlns:a16="http://schemas.microsoft.com/office/drawing/2014/main" id="{456EAFF3-C081-304F-8FAF-DC0DCD7F7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17</xdr:row>
      <xdr:rowOff>39688</xdr:rowOff>
    </xdr:from>
    <xdr:to>
      <xdr:col>51</xdr:col>
      <xdr:colOff>460375</xdr:colOff>
      <xdr:row>17</xdr:row>
      <xdr:rowOff>293688</xdr:rowOff>
    </xdr:to>
    <xdr:pic>
      <xdr:nvPicPr>
        <xdr:cNvPr id="271" name="Picture 53481">
          <a:extLst>
            <a:ext uri="{FF2B5EF4-FFF2-40B4-BE49-F238E27FC236}">
              <a16:creationId xmlns:a16="http://schemas.microsoft.com/office/drawing/2014/main" id="{F8081801-2498-3748-85C3-D164A0A8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17</xdr:row>
      <xdr:rowOff>39688</xdr:rowOff>
    </xdr:from>
    <xdr:to>
      <xdr:col>195</xdr:col>
      <xdr:colOff>460375</xdr:colOff>
      <xdr:row>17</xdr:row>
      <xdr:rowOff>293688</xdr:rowOff>
    </xdr:to>
    <xdr:pic>
      <xdr:nvPicPr>
        <xdr:cNvPr id="272" name="Picture 53484">
          <a:extLst>
            <a:ext uri="{FF2B5EF4-FFF2-40B4-BE49-F238E27FC236}">
              <a16:creationId xmlns:a16="http://schemas.microsoft.com/office/drawing/2014/main" id="{F8282AAF-96A0-854F-A6F2-8E59D8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17</xdr:row>
      <xdr:rowOff>39688</xdr:rowOff>
    </xdr:from>
    <xdr:to>
      <xdr:col>27</xdr:col>
      <xdr:colOff>460375</xdr:colOff>
      <xdr:row>17</xdr:row>
      <xdr:rowOff>293688</xdr:rowOff>
    </xdr:to>
    <xdr:pic>
      <xdr:nvPicPr>
        <xdr:cNvPr id="273" name="Picture 53487">
          <a:extLst>
            <a:ext uri="{FF2B5EF4-FFF2-40B4-BE49-F238E27FC236}">
              <a16:creationId xmlns:a16="http://schemas.microsoft.com/office/drawing/2014/main" id="{304EF896-16EE-F54F-BAED-2004FEA82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17</xdr:row>
      <xdr:rowOff>39688</xdr:rowOff>
    </xdr:from>
    <xdr:to>
      <xdr:col>39</xdr:col>
      <xdr:colOff>460375</xdr:colOff>
      <xdr:row>17</xdr:row>
      <xdr:rowOff>293688</xdr:rowOff>
    </xdr:to>
    <xdr:pic>
      <xdr:nvPicPr>
        <xdr:cNvPr id="274" name="Picture 53490">
          <a:extLst>
            <a:ext uri="{FF2B5EF4-FFF2-40B4-BE49-F238E27FC236}">
              <a16:creationId xmlns:a16="http://schemas.microsoft.com/office/drawing/2014/main" id="{2C5AF146-0588-7543-938C-6BC9FC4B2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17</xdr:row>
      <xdr:rowOff>39688</xdr:rowOff>
    </xdr:from>
    <xdr:to>
      <xdr:col>3</xdr:col>
      <xdr:colOff>460375</xdr:colOff>
      <xdr:row>17</xdr:row>
      <xdr:rowOff>293688</xdr:rowOff>
    </xdr:to>
    <xdr:pic>
      <xdr:nvPicPr>
        <xdr:cNvPr id="275" name="Picture 53493">
          <a:extLst>
            <a:ext uri="{FF2B5EF4-FFF2-40B4-BE49-F238E27FC236}">
              <a16:creationId xmlns:a16="http://schemas.microsoft.com/office/drawing/2014/main" id="{2083DC43-EF2E-4849-8FC0-12E00EADB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17</xdr:row>
      <xdr:rowOff>39688</xdr:rowOff>
    </xdr:from>
    <xdr:to>
      <xdr:col>207</xdr:col>
      <xdr:colOff>460375</xdr:colOff>
      <xdr:row>17</xdr:row>
      <xdr:rowOff>293688</xdr:rowOff>
    </xdr:to>
    <xdr:pic>
      <xdr:nvPicPr>
        <xdr:cNvPr id="276" name="Picture 53496">
          <a:extLst>
            <a:ext uri="{FF2B5EF4-FFF2-40B4-BE49-F238E27FC236}">
              <a16:creationId xmlns:a16="http://schemas.microsoft.com/office/drawing/2014/main" id="{5F29986E-D9E5-0448-AE50-85A35D07D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17</xdr:row>
      <xdr:rowOff>39688</xdr:rowOff>
    </xdr:from>
    <xdr:to>
      <xdr:col>15</xdr:col>
      <xdr:colOff>460375</xdr:colOff>
      <xdr:row>17</xdr:row>
      <xdr:rowOff>293688</xdr:rowOff>
    </xdr:to>
    <xdr:pic>
      <xdr:nvPicPr>
        <xdr:cNvPr id="277" name="Picture 53499">
          <a:extLst>
            <a:ext uri="{FF2B5EF4-FFF2-40B4-BE49-F238E27FC236}">
              <a16:creationId xmlns:a16="http://schemas.microsoft.com/office/drawing/2014/main" id="{5996E4B5-AE48-D54E-A183-AE31DD73E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17</xdr:row>
      <xdr:rowOff>39688</xdr:rowOff>
    </xdr:from>
    <xdr:to>
      <xdr:col>99</xdr:col>
      <xdr:colOff>460375</xdr:colOff>
      <xdr:row>17</xdr:row>
      <xdr:rowOff>293688</xdr:rowOff>
    </xdr:to>
    <xdr:pic>
      <xdr:nvPicPr>
        <xdr:cNvPr id="278" name="Picture 53502">
          <a:extLst>
            <a:ext uri="{FF2B5EF4-FFF2-40B4-BE49-F238E27FC236}">
              <a16:creationId xmlns:a16="http://schemas.microsoft.com/office/drawing/2014/main" id="{C04CEFFD-1D68-E748-B382-3D992AD2A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17</xdr:row>
      <xdr:rowOff>39688</xdr:rowOff>
    </xdr:from>
    <xdr:to>
      <xdr:col>159</xdr:col>
      <xdr:colOff>460375</xdr:colOff>
      <xdr:row>17</xdr:row>
      <xdr:rowOff>293688</xdr:rowOff>
    </xdr:to>
    <xdr:pic>
      <xdr:nvPicPr>
        <xdr:cNvPr id="279" name="Picture 53505">
          <a:extLst>
            <a:ext uri="{FF2B5EF4-FFF2-40B4-BE49-F238E27FC236}">
              <a16:creationId xmlns:a16="http://schemas.microsoft.com/office/drawing/2014/main" id="{BE280655-8934-3941-997E-54130AA84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17</xdr:row>
      <xdr:rowOff>39688</xdr:rowOff>
    </xdr:from>
    <xdr:to>
      <xdr:col>111</xdr:col>
      <xdr:colOff>460375</xdr:colOff>
      <xdr:row>17</xdr:row>
      <xdr:rowOff>293688</xdr:rowOff>
    </xdr:to>
    <xdr:pic>
      <xdr:nvPicPr>
        <xdr:cNvPr id="280" name="Picture 53508">
          <a:extLst>
            <a:ext uri="{FF2B5EF4-FFF2-40B4-BE49-F238E27FC236}">
              <a16:creationId xmlns:a16="http://schemas.microsoft.com/office/drawing/2014/main" id="{565C2380-E8FE-6E45-BA73-D9874B7CB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17</xdr:row>
      <xdr:rowOff>39688</xdr:rowOff>
    </xdr:from>
    <xdr:to>
      <xdr:col>231</xdr:col>
      <xdr:colOff>460375</xdr:colOff>
      <xdr:row>17</xdr:row>
      <xdr:rowOff>293688</xdr:rowOff>
    </xdr:to>
    <xdr:pic>
      <xdr:nvPicPr>
        <xdr:cNvPr id="281" name="Picture 53511">
          <a:extLst>
            <a:ext uri="{FF2B5EF4-FFF2-40B4-BE49-F238E27FC236}">
              <a16:creationId xmlns:a16="http://schemas.microsoft.com/office/drawing/2014/main" id="{CD8A8046-D4DA-3F43-AE68-C7EFBD44C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349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19</xdr:row>
      <xdr:rowOff>39688</xdr:rowOff>
    </xdr:from>
    <xdr:to>
      <xdr:col>3</xdr:col>
      <xdr:colOff>460375</xdr:colOff>
      <xdr:row>19</xdr:row>
      <xdr:rowOff>293688</xdr:rowOff>
    </xdr:to>
    <xdr:pic>
      <xdr:nvPicPr>
        <xdr:cNvPr id="282" name="Picture 53514">
          <a:extLst>
            <a:ext uri="{FF2B5EF4-FFF2-40B4-BE49-F238E27FC236}">
              <a16:creationId xmlns:a16="http://schemas.microsoft.com/office/drawing/2014/main" id="{7D41F5E6-2EE5-474D-89D7-79876BDCF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19</xdr:row>
      <xdr:rowOff>39688</xdr:rowOff>
    </xdr:from>
    <xdr:to>
      <xdr:col>231</xdr:col>
      <xdr:colOff>460375</xdr:colOff>
      <xdr:row>19</xdr:row>
      <xdr:rowOff>293688</xdr:rowOff>
    </xdr:to>
    <xdr:pic>
      <xdr:nvPicPr>
        <xdr:cNvPr id="283" name="Picture 53517">
          <a:extLst>
            <a:ext uri="{FF2B5EF4-FFF2-40B4-BE49-F238E27FC236}">
              <a16:creationId xmlns:a16="http://schemas.microsoft.com/office/drawing/2014/main" id="{B5427737-AD7C-8E4E-922A-2A01C3BBE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205426</xdr:colOff>
      <xdr:row>19</xdr:row>
      <xdr:rowOff>39688</xdr:rowOff>
    </xdr:from>
    <xdr:to>
      <xdr:col>39</xdr:col>
      <xdr:colOff>461322</xdr:colOff>
      <xdr:row>19</xdr:row>
      <xdr:rowOff>293688</xdr:rowOff>
    </xdr:to>
    <xdr:pic>
      <xdr:nvPicPr>
        <xdr:cNvPr id="284" name="Picture 53520">
          <a:extLst>
            <a:ext uri="{FF2B5EF4-FFF2-40B4-BE49-F238E27FC236}">
              <a16:creationId xmlns:a16="http://schemas.microsoft.com/office/drawing/2014/main" id="{C2F7F1BB-A01E-A344-A256-19C098B8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3426" y="3900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19</xdr:row>
      <xdr:rowOff>39688</xdr:rowOff>
    </xdr:from>
    <xdr:to>
      <xdr:col>135</xdr:col>
      <xdr:colOff>460375</xdr:colOff>
      <xdr:row>19</xdr:row>
      <xdr:rowOff>293688</xdr:rowOff>
    </xdr:to>
    <xdr:pic>
      <xdr:nvPicPr>
        <xdr:cNvPr id="285" name="Picture 53523">
          <a:extLst>
            <a:ext uri="{FF2B5EF4-FFF2-40B4-BE49-F238E27FC236}">
              <a16:creationId xmlns:a16="http://schemas.microsoft.com/office/drawing/2014/main" id="{5C475175-91D4-FF4F-BC30-94152368C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19</xdr:row>
      <xdr:rowOff>39688</xdr:rowOff>
    </xdr:from>
    <xdr:to>
      <xdr:col>63</xdr:col>
      <xdr:colOff>460375</xdr:colOff>
      <xdr:row>19</xdr:row>
      <xdr:rowOff>293688</xdr:rowOff>
    </xdr:to>
    <xdr:pic>
      <xdr:nvPicPr>
        <xdr:cNvPr id="286" name="Picture 53526">
          <a:extLst>
            <a:ext uri="{FF2B5EF4-FFF2-40B4-BE49-F238E27FC236}">
              <a16:creationId xmlns:a16="http://schemas.microsoft.com/office/drawing/2014/main" id="{C3A6D299-1070-8A4A-9145-3DDF55C9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223044</xdr:colOff>
      <xdr:row>19</xdr:row>
      <xdr:rowOff>39688</xdr:rowOff>
    </xdr:from>
    <xdr:to>
      <xdr:col>195</xdr:col>
      <xdr:colOff>443700</xdr:colOff>
      <xdr:row>19</xdr:row>
      <xdr:rowOff>293688</xdr:rowOff>
    </xdr:to>
    <xdr:pic>
      <xdr:nvPicPr>
        <xdr:cNvPr id="287" name="Picture 53529">
          <a:extLst>
            <a:ext uri="{FF2B5EF4-FFF2-40B4-BE49-F238E27FC236}">
              <a16:creationId xmlns:a16="http://schemas.microsoft.com/office/drawing/2014/main" id="{D97E34ED-F720-CF45-B3A4-51F7A276D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13044" y="3900488"/>
          <a:ext cx="220656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19</xdr:row>
      <xdr:rowOff>39688</xdr:rowOff>
    </xdr:from>
    <xdr:to>
      <xdr:col>183</xdr:col>
      <xdr:colOff>460375</xdr:colOff>
      <xdr:row>19</xdr:row>
      <xdr:rowOff>293688</xdr:rowOff>
    </xdr:to>
    <xdr:pic>
      <xdr:nvPicPr>
        <xdr:cNvPr id="288" name="Picture 53532">
          <a:extLst>
            <a:ext uri="{FF2B5EF4-FFF2-40B4-BE49-F238E27FC236}">
              <a16:creationId xmlns:a16="http://schemas.microsoft.com/office/drawing/2014/main" id="{2048F4D1-7AD2-5144-A5A2-613D756B9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19</xdr:row>
      <xdr:rowOff>39688</xdr:rowOff>
    </xdr:from>
    <xdr:to>
      <xdr:col>99</xdr:col>
      <xdr:colOff>460375</xdr:colOff>
      <xdr:row>19</xdr:row>
      <xdr:rowOff>293688</xdr:rowOff>
    </xdr:to>
    <xdr:pic>
      <xdr:nvPicPr>
        <xdr:cNvPr id="289" name="Picture 53535">
          <a:extLst>
            <a:ext uri="{FF2B5EF4-FFF2-40B4-BE49-F238E27FC236}">
              <a16:creationId xmlns:a16="http://schemas.microsoft.com/office/drawing/2014/main" id="{28014594-AFBC-3146-AED4-8ECB6B1E6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19</xdr:row>
      <xdr:rowOff>39688</xdr:rowOff>
    </xdr:from>
    <xdr:to>
      <xdr:col>171</xdr:col>
      <xdr:colOff>460375</xdr:colOff>
      <xdr:row>19</xdr:row>
      <xdr:rowOff>293688</xdr:rowOff>
    </xdr:to>
    <xdr:pic>
      <xdr:nvPicPr>
        <xdr:cNvPr id="290" name="Picture 53538">
          <a:extLst>
            <a:ext uri="{FF2B5EF4-FFF2-40B4-BE49-F238E27FC236}">
              <a16:creationId xmlns:a16="http://schemas.microsoft.com/office/drawing/2014/main" id="{1B24B057-69B3-6A4C-B1D8-050A16356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19</xdr:row>
      <xdr:rowOff>39688</xdr:rowOff>
    </xdr:from>
    <xdr:to>
      <xdr:col>159</xdr:col>
      <xdr:colOff>460375</xdr:colOff>
      <xdr:row>19</xdr:row>
      <xdr:rowOff>293688</xdr:rowOff>
    </xdr:to>
    <xdr:pic>
      <xdr:nvPicPr>
        <xdr:cNvPr id="291" name="Picture 53541">
          <a:extLst>
            <a:ext uri="{FF2B5EF4-FFF2-40B4-BE49-F238E27FC236}">
              <a16:creationId xmlns:a16="http://schemas.microsoft.com/office/drawing/2014/main" id="{285FA347-2B0D-6A4A-95B6-FD5C69E4D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19</xdr:row>
      <xdr:rowOff>39688</xdr:rowOff>
    </xdr:from>
    <xdr:to>
      <xdr:col>27</xdr:col>
      <xdr:colOff>460375</xdr:colOff>
      <xdr:row>19</xdr:row>
      <xdr:rowOff>293688</xdr:rowOff>
    </xdr:to>
    <xdr:pic>
      <xdr:nvPicPr>
        <xdr:cNvPr id="292" name="Picture 53544">
          <a:extLst>
            <a:ext uri="{FF2B5EF4-FFF2-40B4-BE49-F238E27FC236}">
              <a16:creationId xmlns:a16="http://schemas.microsoft.com/office/drawing/2014/main" id="{66D67C19-E4C8-D542-9E64-467178717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19</xdr:row>
      <xdr:rowOff>39688</xdr:rowOff>
    </xdr:from>
    <xdr:to>
      <xdr:col>15</xdr:col>
      <xdr:colOff>460375</xdr:colOff>
      <xdr:row>19</xdr:row>
      <xdr:rowOff>293688</xdr:rowOff>
    </xdr:to>
    <xdr:pic>
      <xdr:nvPicPr>
        <xdr:cNvPr id="293" name="Picture 53547">
          <a:extLst>
            <a:ext uri="{FF2B5EF4-FFF2-40B4-BE49-F238E27FC236}">
              <a16:creationId xmlns:a16="http://schemas.microsoft.com/office/drawing/2014/main" id="{A5BAF074-BE93-0D48-91C3-ADE2FAD5D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19</xdr:row>
      <xdr:rowOff>39688</xdr:rowOff>
    </xdr:from>
    <xdr:to>
      <xdr:col>75</xdr:col>
      <xdr:colOff>460375</xdr:colOff>
      <xdr:row>19</xdr:row>
      <xdr:rowOff>293688</xdr:rowOff>
    </xdr:to>
    <xdr:pic>
      <xdr:nvPicPr>
        <xdr:cNvPr id="294" name="Picture 53550">
          <a:extLst>
            <a:ext uri="{FF2B5EF4-FFF2-40B4-BE49-F238E27FC236}">
              <a16:creationId xmlns:a16="http://schemas.microsoft.com/office/drawing/2014/main" id="{15ED46FC-CC42-0942-BEA0-E70F348C4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19</xdr:row>
      <xdr:rowOff>39688</xdr:rowOff>
    </xdr:from>
    <xdr:to>
      <xdr:col>51</xdr:col>
      <xdr:colOff>460375</xdr:colOff>
      <xdr:row>19</xdr:row>
      <xdr:rowOff>293688</xdr:rowOff>
    </xdr:to>
    <xdr:pic>
      <xdr:nvPicPr>
        <xdr:cNvPr id="295" name="Picture 53553">
          <a:extLst>
            <a:ext uri="{FF2B5EF4-FFF2-40B4-BE49-F238E27FC236}">
              <a16:creationId xmlns:a16="http://schemas.microsoft.com/office/drawing/2014/main" id="{E4AA043A-A645-3440-9694-D46601931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19</xdr:row>
      <xdr:rowOff>39688</xdr:rowOff>
    </xdr:from>
    <xdr:to>
      <xdr:col>123</xdr:col>
      <xdr:colOff>460375</xdr:colOff>
      <xdr:row>19</xdr:row>
      <xdr:rowOff>293688</xdr:rowOff>
    </xdr:to>
    <xdr:pic>
      <xdr:nvPicPr>
        <xdr:cNvPr id="296" name="Picture 53556">
          <a:extLst>
            <a:ext uri="{FF2B5EF4-FFF2-40B4-BE49-F238E27FC236}">
              <a16:creationId xmlns:a16="http://schemas.microsoft.com/office/drawing/2014/main" id="{E67F4254-613B-414B-BD58-9A686AEE3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19</xdr:row>
      <xdr:rowOff>39688</xdr:rowOff>
    </xdr:from>
    <xdr:to>
      <xdr:col>111</xdr:col>
      <xdr:colOff>460375</xdr:colOff>
      <xdr:row>19</xdr:row>
      <xdr:rowOff>293688</xdr:rowOff>
    </xdr:to>
    <xdr:pic>
      <xdr:nvPicPr>
        <xdr:cNvPr id="297" name="Picture 53559">
          <a:extLst>
            <a:ext uri="{FF2B5EF4-FFF2-40B4-BE49-F238E27FC236}">
              <a16:creationId xmlns:a16="http://schemas.microsoft.com/office/drawing/2014/main" id="{9E1FE1FA-CB88-DA41-B64F-E2801A0A7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19</xdr:row>
      <xdr:rowOff>39688</xdr:rowOff>
    </xdr:from>
    <xdr:to>
      <xdr:col>219</xdr:col>
      <xdr:colOff>460375</xdr:colOff>
      <xdr:row>19</xdr:row>
      <xdr:rowOff>293688</xdr:rowOff>
    </xdr:to>
    <xdr:pic>
      <xdr:nvPicPr>
        <xdr:cNvPr id="298" name="Picture 53562">
          <a:extLst>
            <a:ext uri="{FF2B5EF4-FFF2-40B4-BE49-F238E27FC236}">
              <a16:creationId xmlns:a16="http://schemas.microsoft.com/office/drawing/2014/main" id="{7588C493-25DD-3C4F-BA10-7591E963C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19</xdr:row>
      <xdr:rowOff>39688</xdr:rowOff>
    </xdr:from>
    <xdr:to>
      <xdr:col>87</xdr:col>
      <xdr:colOff>460375</xdr:colOff>
      <xdr:row>19</xdr:row>
      <xdr:rowOff>293688</xdr:rowOff>
    </xdr:to>
    <xdr:pic>
      <xdr:nvPicPr>
        <xdr:cNvPr id="299" name="Picture 53565">
          <a:extLst>
            <a:ext uri="{FF2B5EF4-FFF2-40B4-BE49-F238E27FC236}">
              <a16:creationId xmlns:a16="http://schemas.microsoft.com/office/drawing/2014/main" id="{DE709D58-DED3-4C4D-B0A8-376DB15B5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19</xdr:row>
      <xdr:rowOff>39688</xdr:rowOff>
    </xdr:from>
    <xdr:to>
      <xdr:col>147</xdr:col>
      <xdr:colOff>460375</xdr:colOff>
      <xdr:row>19</xdr:row>
      <xdr:rowOff>293688</xdr:rowOff>
    </xdr:to>
    <xdr:pic>
      <xdr:nvPicPr>
        <xdr:cNvPr id="300" name="Picture 53568">
          <a:extLst>
            <a:ext uri="{FF2B5EF4-FFF2-40B4-BE49-F238E27FC236}">
              <a16:creationId xmlns:a16="http://schemas.microsoft.com/office/drawing/2014/main" id="{A6DA1E27-B5F4-F441-85D8-4291F7D72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19</xdr:row>
      <xdr:rowOff>39688</xdr:rowOff>
    </xdr:from>
    <xdr:to>
      <xdr:col>207</xdr:col>
      <xdr:colOff>460375</xdr:colOff>
      <xdr:row>19</xdr:row>
      <xdr:rowOff>293688</xdr:rowOff>
    </xdr:to>
    <xdr:pic>
      <xdr:nvPicPr>
        <xdr:cNvPr id="301" name="Picture 53571">
          <a:extLst>
            <a:ext uri="{FF2B5EF4-FFF2-40B4-BE49-F238E27FC236}">
              <a16:creationId xmlns:a16="http://schemas.microsoft.com/office/drawing/2014/main" id="{9820E720-F41C-A04A-98C7-F0DB1E913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39004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223044</xdr:colOff>
      <xdr:row>20</xdr:row>
      <xdr:rowOff>39688</xdr:rowOff>
    </xdr:from>
    <xdr:to>
      <xdr:col>231</xdr:col>
      <xdr:colOff>443700</xdr:colOff>
      <xdr:row>20</xdr:row>
      <xdr:rowOff>293688</xdr:rowOff>
    </xdr:to>
    <xdr:pic>
      <xdr:nvPicPr>
        <xdr:cNvPr id="302" name="Picture 53574">
          <a:extLst>
            <a:ext uri="{FF2B5EF4-FFF2-40B4-BE49-F238E27FC236}">
              <a16:creationId xmlns:a16="http://schemas.microsoft.com/office/drawing/2014/main" id="{B138390C-9D87-DE41-AF15-34D6A99C1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45044" y="41036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20</xdr:row>
      <xdr:rowOff>39688</xdr:rowOff>
    </xdr:from>
    <xdr:to>
      <xdr:col>63</xdr:col>
      <xdr:colOff>460375</xdr:colOff>
      <xdr:row>20</xdr:row>
      <xdr:rowOff>293688</xdr:rowOff>
    </xdr:to>
    <xdr:pic>
      <xdr:nvPicPr>
        <xdr:cNvPr id="303" name="Picture 53577">
          <a:extLst>
            <a:ext uri="{FF2B5EF4-FFF2-40B4-BE49-F238E27FC236}">
              <a16:creationId xmlns:a16="http://schemas.microsoft.com/office/drawing/2014/main" id="{C7AB4B3A-F12A-F941-AA16-842A0042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20</xdr:row>
      <xdr:rowOff>39688</xdr:rowOff>
    </xdr:from>
    <xdr:to>
      <xdr:col>135</xdr:col>
      <xdr:colOff>460375</xdr:colOff>
      <xdr:row>20</xdr:row>
      <xdr:rowOff>293688</xdr:rowOff>
    </xdr:to>
    <xdr:pic>
      <xdr:nvPicPr>
        <xdr:cNvPr id="304" name="Picture 53580">
          <a:extLst>
            <a:ext uri="{FF2B5EF4-FFF2-40B4-BE49-F238E27FC236}">
              <a16:creationId xmlns:a16="http://schemas.microsoft.com/office/drawing/2014/main" id="{B226466A-4E16-DC41-A6E1-4A88945B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205427</xdr:colOff>
      <xdr:row>20</xdr:row>
      <xdr:rowOff>39688</xdr:rowOff>
    </xdr:from>
    <xdr:to>
      <xdr:col>3</xdr:col>
      <xdr:colOff>461323</xdr:colOff>
      <xdr:row>20</xdr:row>
      <xdr:rowOff>293688</xdr:rowOff>
    </xdr:to>
    <xdr:pic>
      <xdr:nvPicPr>
        <xdr:cNvPr id="305" name="Picture 53583">
          <a:extLst>
            <a:ext uri="{FF2B5EF4-FFF2-40B4-BE49-F238E27FC236}">
              <a16:creationId xmlns:a16="http://schemas.microsoft.com/office/drawing/2014/main" id="{5BF267F3-1C53-1A43-8BB2-F33A1528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427" y="4103688"/>
          <a:ext cx="255896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20</xdr:row>
      <xdr:rowOff>39688</xdr:rowOff>
    </xdr:from>
    <xdr:to>
      <xdr:col>51</xdr:col>
      <xdr:colOff>460375</xdr:colOff>
      <xdr:row>20</xdr:row>
      <xdr:rowOff>293688</xdr:rowOff>
    </xdr:to>
    <xdr:pic>
      <xdr:nvPicPr>
        <xdr:cNvPr id="306" name="Picture 53586">
          <a:extLst>
            <a:ext uri="{FF2B5EF4-FFF2-40B4-BE49-F238E27FC236}">
              <a16:creationId xmlns:a16="http://schemas.microsoft.com/office/drawing/2014/main" id="{681A3B4F-8F90-0342-A9F3-EE432925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20</xdr:row>
      <xdr:rowOff>39688</xdr:rowOff>
    </xdr:from>
    <xdr:to>
      <xdr:col>39</xdr:col>
      <xdr:colOff>460375</xdr:colOff>
      <xdr:row>20</xdr:row>
      <xdr:rowOff>293688</xdr:rowOff>
    </xdr:to>
    <xdr:pic>
      <xdr:nvPicPr>
        <xdr:cNvPr id="307" name="Picture 53589">
          <a:extLst>
            <a:ext uri="{FF2B5EF4-FFF2-40B4-BE49-F238E27FC236}">
              <a16:creationId xmlns:a16="http://schemas.microsoft.com/office/drawing/2014/main" id="{757AFCED-FB51-BF4D-9524-14BE526CF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20</xdr:row>
      <xdr:rowOff>39688</xdr:rowOff>
    </xdr:from>
    <xdr:to>
      <xdr:col>87</xdr:col>
      <xdr:colOff>460375</xdr:colOff>
      <xdr:row>20</xdr:row>
      <xdr:rowOff>293688</xdr:rowOff>
    </xdr:to>
    <xdr:pic>
      <xdr:nvPicPr>
        <xdr:cNvPr id="308" name="Picture 53592">
          <a:extLst>
            <a:ext uri="{FF2B5EF4-FFF2-40B4-BE49-F238E27FC236}">
              <a16:creationId xmlns:a16="http://schemas.microsoft.com/office/drawing/2014/main" id="{EE7E3D06-B87C-004A-AA76-144F1664F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20</xdr:row>
      <xdr:rowOff>39688</xdr:rowOff>
    </xdr:from>
    <xdr:to>
      <xdr:col>27</xdr:col>
      <xdr:colOff>460375</xdr:colOff>
      <xdr:row>20</xdr:row>
      <xdr:rowOff>293688</xdr:rowOff>
    </xdr:to>
    <xdr:pic>
      <xdr:nvPicPr>
        <xdr:cNvPr id="309" name="Picture 53595">
          <a:extLst>
            <a:ext uri="{FF2B5EF4-FFF2-40B4-BE49-F238E27FC236}">
              <a16:creationId xmlns:a16="http://schemas.microsoft.com/office/drawing/2014/main" id="{459DC994-3AE1-2446-8839-F6473FB41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20</xdr:row>
      <xdr:rowOff>39688</xdr:rowOff>
    </xdr:from>
    <xdr:to>
      <xdr:col>111</xdr:col>
      <xdr:colOff>460375</xdr:colOff>
      <xdr:row>20</xdr:row>
      <xdr:rowOff>293688</xdr:rowOff>
    </xdr:to>
    <xdr:pic>
      <xdr:nvPicPr>
        <xdr:cNvPr id="310" name="Picture 53598">
          <a:extLst>
            <a:ext uri="{FF2B5EF4-FFF2-40B4-BE49-F238E27FC236}">
              <a16:creationId xmlns:a16="http://schemas.microsoft.com/office/drawing/2014/main" id="{D662A2F4-FC6D-4E40-A3E9-517254A65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20</xdr:row>
      <xdr:rowOff>39688</xdr:rowOff>
    </xdr:from>
    <xdr:to>
      <xdr:col>183</xdr:col>
      <xdr:colOff>460375</xdr:colOff>
      <xdr:row>20</xdr:row>
      <xdr:rowOff>293688</xdr:rowOff>
    </xdr:to>
    <xdr:pic>
      <xdr:nvPicPr>
        <xdr:cNvPr id="311" name="Picture 53601">
          <a:extLst>
            <a:ext uri="{FF2B5EF4-FFF2-40B4-BE49-F238E27FC236}">
              <a16:creationId xmlns:a16="http://schemas.microsoft.com/office/drawing/2014/main" id="{AF119092-C7F6-E544-B4E1-D00EB2757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20</xdr:row>
      <xdr:rowOff>39688</xdr:rowOff>
    </xdr:from>
    <xdr:to>
      <xdr:col>195</xdr:col>
      <xdr:colOff>460375</xdr:colOff>
      <xdr:row>20</xdr:row>
      <xdr:rowOff>293688</xdr:rowOff>
    </xdr:to>
    <xdr:pic>
      <xdr:nvPicPr>
        <xdr:cNvPr id="312" name="Picture 53604">
          <a:extLst>
            <a:ext uri="{FF2B5EF4-FFF2-40B4-BE49-F238E27FC236}">
              <a16:creationId xmlns:a16="http://schemas.microsoft.com/office/drawing/2014/main" id="{6A055E07-633E-0D4D-86CA-697EC4469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20</xdr:row>
      <xdr:rowOff>39688</xdr:rowOff>
    </xdr:from>
    <xdr:to>
      <xdr:col>123</xdr:col>
      <xdr:colOff>460375</xdr:colOff>
      <xdr:row>20</xdr:row>
      <xdr:rowOff>293688</xdr:rowOff>
    </xdr:to>
    <xdr:pic>
      <xdr:nvPicPr>
        <xdr:cNvPr id="313" name="Picture 53607">
          <a:extLst>
            <a:ext uri="{FF2B5EF4-FFF2-40B4-BE49-F238E27FC236}">
              <a16:creationId xmlns:a16="http://schemas.microsoft.com/office/drawing/2014/main" id="{F8720214-13A4-934A-9F0C-3D767882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20</xdr:row>
      <xdr:rowOff>39688</xdr:rowOff>
    </xdr:from>
    <xdr:to>
      <xdr:col>15</xdr:col>
      <xdr:colOff>460375</xdr:colOff>
      <xdr:row>20</xdr:row>
      <xdr:rowOff>293688</xdr:rowOff>
    </xdr:to>
    <xdr:pic>
      <xdr:nvPicPr>
        <xdr:cNvPr id="314" name="Picture 53610">
          <a:extLst>
            <a:ext uri="{FF2B5EF4-FFF2-40B4-BE49-F238E27FC236}">
              <a16:creationId xmlns:a16="http://schemas.microsoft.com/office/drawing/2014/main" id="{21D6E9F9-87BA-BD4A-92BD-F6FA5AF3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20</xdr:row>
      <xdr:rowOff>39688</xdr:rowOff>
    </xdr:from>
    <xdr:to>
      <xdr:col>147</xdr:col>
      <xdr:colOff>460375</xdr:colOff>
      <xdr:row>20</xdr:row>
      <xdr:rowOff>293688</xdr:rowOff>
    </xdr:to>
    <xdr:pic>
      <xdr:nvPicPr>
        <xdr:cNvPr id="315" name="Picture 53613">
          <a:extLst>
            <a:ext uri="{FF2B5EF4-FFF2-40B4-BE49-F238E27FC236}">
              <a16:creationId xmlns:a16="http://schemas.microsoft.com/office/drawing/2014/main" id="{BE1EA1C1-F609-0E4C-B934-9DAE67C1A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20</xdr:row>
      <xdr:rowOff>39688</xdr:rowOff>
    </xdr:from>
    <xdr:to>
      <xdr:col>159</xdr:col>
      <xdr:colOff>460375</xdr:colOff>
      <xdr:row>20</xdr:row>
      <xdr:rowOff>293688</xdr:rowOff>
    </xdr:to>
    <xdr:pic>
      <xdr:nvPicPr>
        <xdr:cNvPr id="316" name="Picture 53616">
          <a:extLst>
            <a:ext uri="{FF2B5EF4-FFF2-40B4-BE49-F238E27FC236}">
              <a16:creationId xmlns:a16="http://schemas.microsoft.com/office/drawing/2014/main" id="{3AA21DCE-95CE-0E4B-AB76-65B799B6F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20</xdr:row>
      <xdr:rowOff>39688</xdr:rowOff>
    </xdr:from>
    <xdr:to>
      <xdr:col>75</xdr:col>
      <xdr:colOff>460375</xdr:colOff>
      <xdr:row>20</xdr:row>
      <xdr:rowOff>293688</xdr:rowOff>
    </xdr:to>
    <xdr:pic>
      <xdr:nvPicPr>
        <xdr:cNvPr id="317" name="Picture 53619">
          <a:extLst>
            <a:ext uri="{FF2B5EF4-FFF2-40B4-BE49-F238E27FC236}">
              <a16:creationId xmlns:a16="http://schemas.microsoft.com/office/drawing/2014/main" id="{0D5CA944-4DBA-9A46-A27B-A335B61D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20</xdr:row>
      <xdr:rowOff>39688</xdr:rowOff>
    </xdr:from>
    <xdr:to>
      <xdr:col>99</xdr:col>
      <xdr:colOff>460375</xdr:colOff>
      <xdr:row>20</xdr:row>
      <xdr:rowOff>293688</xdr:rowOff>
    </xdr:to>
    <xdr:pic>
      <xdr:nvPicPr>
        <xdr:cNvPr id="318" name="Picture 53622">
          <a:extLst>
            <a:ext uri="{FF2B5EF4-FFF2-40B4-BE49-F238E27FC236}">
              <a16:creationId xmlns:a16="http://schemas.microsoft.com/office/drawing/2014/main" id="{9482E0DE-DFA4-5F41-AFD1-76909A2B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20</xdr:row>
      <xdr:rowOff>39688</xdr:rowOff>
    </xdr:from>
    <xdr:to>
      <xdr:col>171</xdr:col>
      <xdr:colOff>460375</xdr:colOff>
      <xdr:row>20</xdr:row>
      <xdr:rowOff>293688</xdr:rowOff>
    </xdr:to>
    <xdr:pic>
      <xdr:nvPicPr>
        <xdr:cNvPr id="319" name="Picture 53625">
          <a:extLst>
            <a:ext uri="{FF2B5EF4-FFF2-40B4-BE49-F238E27FC236}">
              <a16:creationId xmlns:a16="http://schemas.microsoft.com/office/drawing/2014/main" id="{6D036817-C823-2948-ACE3-8A279A69F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20</xdr:row>
      <xdr:rowOff>39688</xdr:rowOff>
    </xdr:from>
    <xdr:to>
      <xdr:col>207</xdr:col>
      <xdr:colOff>460375</xdr:colOff>
      <xdr:row>20</xdr:row>
      <xdr:rowOff>293688</xdr:rowOff>
    </xdr:to>
    <xdr:pic>
      <xdr:nvPicPr>
        <xdr:cNvPr id="320" name="Picture 53628">
          <a:extLst>
            <a:ext uri="{FF2B5EF4-FFF2-40B4-BE49-F238E27FC236}">
              <a16:creationId xmlns:a16="http://schemas.microsoft.com/office/drawing/2014/main" id="{FDEC02ED-3571-D140-84E6-192075673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20</xdr:row>
      <xdr:rowOff>39688</xdr:rowOff>
    </xdr:from>
    <xdr:to>
      <xdr:col>219</xdr:col>
      <xdr:colOff>460375</xdr:colOff>
      <xdr:row>20</xdr:row>
      <xdr:rowOff>293688</xdr:rowOff>
    </xdr:to>
    <xdr:pic>
      <xdr:nvPicPr>
        <xdr:cNvPr id="321" name="Picture 53631">
          <a:extLst>
            <a:ext uri="{FF2B5EF4-FFF2-40B4-BE49-F238E27FC236}">
              <a16:creationId xmlns:a16="http://schemas.microsoft.com/office/drawing/2014/main" id="{E74E0690-4F57-A04F-8BA9-756DD8E37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103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21</xdr:row>
      <xdr:rowOff>39688</xdr:rowOff>
    </xdr:from>
    <xdr:to>
      <xdr:col>87</xdr:col>
      <xdr:colOff>460375</xdr:colOff>
      <xdr:row>21</xdr:row>
      <xdr:rowOff>293688</xdr:rowOff>
    </xdr:to>
    <xdr:pic>
      <xdr:nvPicPr>
        <xdr:cNvPr id="322" name="Picture 53634">
          <a:extLst>
            <a:ext uri="{FF2B5EF4-FFF2-40B4-BE49-F238E27FC236}">
              <a16:creationId xmlns:a16="http://schemas.microsoft.com/office/drawing/2014/main" id="{FD15B794-92D9-F044-A360-B5F1B60E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21</xdr:row>
      <xdr:rowOff>39688</xdr:rowOff>
    </xdr:from>
    <xdr:to>
      <xdr:col>123</xdr:col>
      <xdr:colOff>460375</xdr:colOff>
      <xdr:row>21</xdr:row>
      <xdr:rowOff>293688</xdr:rowOff>
    </xdr:to>
    <xdr:pic>
      <xdr:nvPicPr>
        <xdr:cNvPr id="323" name="Picture 53637">
          <a:extLst>
            <a:ext uri="{FF2B5EF4-FFF2-40B4-BE49-F238E27FC236}">
              <a16:creationId xmlns:a16="http://schemas.microsoft.com/office/drawing/2014/main" id="{50BB9A67-003F-9B4A-A33D-DEA899B5D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223047</xdr:colOff>
      <xdr:row>21</xdr:row>
      <xdr:rowOff>39688</xdr:rowOff>
    </xdr:from>
    <xdr:to>
      <xdr:col>51</xdr:col>
      <xdr:colOff>443703</xdr:colOff>
      <xdr:row>21</xdr:row>
      <xdr:rowOff>293688</xdr:rowOff>
    </xdr:to>
    <xdr:pic>
      <xdr:nvPicPr>
        <xdr:cNvPr id="324" name="Picture 53640">
          <a:extLst>
            <a:ext uri="{FF2B5EF4-FFF2-40B4-BE49-F238E27FC236}">
              <a16:creationId xmlns:a16="http://schemas.microsoft.com/office/drawing/2014/main" id="{EA7E4582-A3C9-4948-94CC-88462E0D9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85047" y="4306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21</xdr:row>
      <xdr:rowOff>39688</xdr:rowOff>
    </xdr:from>
    <xdr:to>
      <xdr:col>63</xdr:col>
      <xdr:colOff>460375</xdr:colOff>
      <xdr:row>21</xdr:row>
      <xdr:rowOff>293688</xdr:rowOff>
    </xdr:to>
    <xdr:pic>
      <xdr:nvPicPr>
        <xdr:cNvPr id="325" name="Picture 53643">
          <a:extLst>
            <a:ext uri="{FF2B5EF4-FFF2-40B4-BE49-F238E27FC236}">
              <a16:creationId xmlns:a16="http://schemas.microsoft.com/office/drawing/2014/main" id="{80237266-4BBD-D34B-8B82-4F9EA8A2A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21</xdr:row>
      <xdr:rowOff>39688</xdr:rowOff>
    </xdr:from>
    <xdr:to>
      <xdr:col>159</xdr:col>
      <xdr:colOff>460375</xdr:colOff>
      <xdr:row>21</xdr:row>
      <xdr:rowOff>293688</xdr:rowOff>
    </xdr:to>
    <xdr:pic>
      <xdr:nvPicPr>
        <xdr:cNvPr id="326" name="Picture 53646">
          <a:extLst>
            <a:ext uri="{FF2B5EF4-FFF2-40B4-BE49-F238E27FC236}">
              <a16:creationId xmlns:a16="http://schemas.microsoft.com/office/drawing/2014/main" id="{8CAA8D72-8D6B-E94E-8EF2-FD6785A44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21</xdr:row>
      <xdr:rowOff>39688</xdr:rowOff>
    </xdr:from>
    <xdr:to>
      <xdr:col>27</xdr:col>
      <xdr:colOff>460375</xdr:colOff>
      <xdr:row>21</xdr:row>
      <xdr:rowOff>293688</xdr:rowOff>
    </xdr:to>
    <xdr:pic>
      <xdr:nvPicPr>
        <xdr:cNvPr id="327" name="Picture 53649">
          <a:extLst>
            <a:ext uri="{FF2B5EF4-FFF2-40B4-BE49-F238E27FC236}">
              <a16:creationId xmlns:a16="http://schemas.microsoft.com/office/drawing/2014/main" id="{F8829853-F601-D544-A9E6-FE5C3899A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21</xdr:row>
      <xdr:rowOff>39688</xdr:rowOff>
    </xdr:from>
    <xdr:to>
      <xdr:col>195</xdr:col>
      <xdr:colOff>460375</xdr:colOff>
      <xdr:row>21</xdr:row>
      <xdr:rowOff>293688</xdr:rowOff>
    </xdr:to>
    <xdr:pic>
      <xdr:nvPicPr>
        <xdr:cNvPr id="328" name="Picture 53652">
          <a:extLst>
            <a:ext uri="{FF2B5EF4-FFF2-40B4-BE49-F238E27FC236}">
              <a16:creationId xmlns:a16="http://schemas.microsoft.com/office/drawing/2014/main" id="{736C99F0-B030-4546-9075-02C3D01D9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21</xdr:row>
      <xdr:rowOff>39688</xdr:rowOff>
    </xdr:from>
    <xdr:to>
      <xdr:col>39</xdr:col>
      <xdr:colOff>460375</xdr:colOff>
      <xdr:row>21</xdr:row>
      <xdr:rowOff>293688</xdr:rowOff>
    </xdr:to>
    <xdr:pic>
      <xdr:nvPicPr>
        <xdr:cNvPr id="329" name="Picture 53655">
          <a:extLst>
            <a:ext uri="{FF2B5EF4-FFF2-40B4-BE49-F238E27FC236}">
              <a16:creationId xmlns:a16="http://schemas.microsoft.com/office/drawing/2014/main" id="{C630CDBD-DF5C-AB46-BCE0-1E3F84CF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21</xdr:row>
      <xdr:rowOff>39688</xdr:rowOff>
    </xdr:from>
    <xdr:to>
      <xdr:col>231</xdr:col>
      <xdr:colOff>460375</xdr:colOff>
      <xdr:row>21</xdr:row>
      <xdr:rowOff>293688</xdr:rowOff>
    </xdr:to>
    <xdr:pic>
      <xdr:nvPicPr>
        <xdr:cNvPr id="330" name="Picture 53658">
          <a:extLst>
            <a:ext uri="{FF2B5EF4-FFF2-40B4-BE49-F238E27FC236}">
              <a16:creationId xmlns:a16="http://schemas.microsoft.com/office/drawing/2014/main" id="{96574183-68CB-7047-8CFE-FCA201C23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21</xdr:row>
      <xdr:rowOff>39688</xdr:rowOff>
    </xdr:from>
    <xdr:to>
      <xdr:col>183</xdr:col>
      <xdr:colOff>460375</xdr:colOff>
      <xdr:row>21</xdr:row>
      <xdr:rowOff>293688</xdr:rowOff>
    </xdr:to>
    <xdr:pic>
      <xdr:nvPicPr>
        <xdr:cNvPr id="331" name="Picture 53661">
          <a:extLst>
            <a:ext uri="{FF2B5EF4-FFF2-40B4-BE49-F238E27FC236}">
              <a16:creationId xmlns:a16="http://schemas.microsoft.com/office/drawing/2014/main" id="{FF466227-B9D1-AB4D-A4AA-431B0835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21</xdr:row>
      <xdr:rowOff>39688</xdr:rowOff>
    </xdr:from>
    <xdr:to>
      <xdr:col>15</xdr:col>
      <xdr:colOff>460375</xdr:colOff>
      <xdr:row>21</xdr:row>
      <xdr:rowOff>293688</xdr:rowOff>
    </xdr:to>
    <xdr:pic>
      <xdr:nvPicPr>
        <xdr:cNvPr id="332" name="Picture 53664">
          <a:extLst>
            <a:ext uri="{FF2B5EF4-FFF2-40B4-BE49-F238E27FC236}">
              <a16:creationId xmlns:a16="http://schemas.microsoft.com/office/drawing/2014/main" id="{BDD61A45-09CE-7F4F-9585-738595933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21</xdr:row>
      <xdr:rowOff>39688</xdr:rowOff>
    </xdr:from>
    <xdr:to>
      <xdr:col>3</xdr:col>
      <xdr:colOff>460375</xdr:colOff>
      <xdr:row>21</xdr:row>
      <xdr:rowOff>293688</xdr:rowOff>
    </xdr:to>
    <xdr:pic>
      <xdr:nvPicPr>
        <xdr:cNvPr id="333" name="Picture 53667">
          <a:extLst>
            <a:ext uri="{FF2B5EF4-FFF2-40B4-BE49-F238E27FC236}">
              <a16:creationId xmlns:a16="http://schemas.microsoft.com/office/drawing/2014/main" id="{91083EC8-B958-B14D-B2F6-9455D44F3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21</xdr:row>
      <xdr:rowOff>39688</xdr:rowOff>
    </xdr:from>
    <xdr:to>
      <xdr:col>99</xdr:col>
      <xdr:colOff>460375</xdr:colOff>
      <xdr:row>21</xdr:row>
      <xdr:rowOff>293688</xdr:rowOff>
    </xdr:to>
    <xdr:pic>
      <xdr:nvPicPr>
        <xdr:cNvPr id="334" name="Picture 53670">
          <a:extLst>
            <a:ext uri="{FF2B5EF4-FFF2-40B4-BE49-F238E27FC236}">
              <a16:creationId xmlns:a16="http://schemas.microsoft.com/office/drawing/2014/main" id="{0D211D31-EB35-4646-96D9-D2B7CC0A9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21</xdr:row>
      <xdr:rowOff>39688</xdr:rowOff>
    </xdr:from>
    <xdr:to>
      <xdr:col>75</xdr:col>
      <xdr:colOff>460375</xdr:colOff>
      <xdr:row>21</xdr:row>
      <xdr:rowOff>293688</xdr:rowOff>
    </xdr:to>
    <xdr:pic>
      <xdr:nvPicPr>
        <xdr:cNvPr id="335" name="Picture 53673">
          <a:extLst>
            <a:ext uri="{FF2B5EF4-FFF2-40B4-BE49-F238E27FC236}">
              <a16:creationId xmlns:a16="http://schemas.microsoft.com/office/drawing/2014/main" id="{FFAA50E2-CB1F-DE4D-AC39-C307E77F6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21</xdr:row>
      <xdr:rowOff>39688</xdr:rowOff>
    </xdr:from>
    <xdr:to>
      <xdr:col>111</xdr:col>
      <xdr:colOff>460375</xdr:colOff>
      <xdr:row>21</xdr:row>
      <xdr:rowOff>293688</xdr:rowOff>
    </xdr:to>
    <xdr:pic>
      <xdr:nvPicPr>
        <xdr:cNvPr id="336" name="Picture 53676">
          <a:extLst>
            <a:ext uri="{FF2B5EF4-FFF2-40B4-BE49-F238E27FC236}">
              <a16:creationId xmlns:a16="http://schemas.microsoft.com/office/drawing/2014/main" id="{146F5D3F-F702-BC4A-A0AC-18E354E5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21</xdr:row>
      <xdr:rowOff>39688</xdr:rowOff>
    </xdr:from>
    <xdr:to>
      <xdr:col>219</xdr:col>
      <xdr:colOff>460375</xdr:colOff>
      <xdr:row>21</xdr:row>
      <xdr:rowOff>293688</xdr:rowOff>
    </xdr:to>
    <xdr:pic>
      <xdr:nvPicPr>
        <xdr:cNvPr id="337" name="Picture 53679">
          <a:extLst>
            <a:ext uri="{FF2B5EF4-FFF2-40B4-BE49-F238E27FC236}">
              <a16:creationId xmlns:a16="http://schemas.microsoft.com/office/drawing/2014/main" id="{966735B4-D5CB-114E-870F-88087DA6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21</xdr:row>
      <xdr:rowOff>39688</xdr:rowOff>
    </xdr:from>
    <xdr:to>
      <xdr:col>135</xdr:col>
      <xdr:colOff>460375</xdr:colOff>
      <xdr:row>21</xdr:row>
      <xdr:rowOff>293688</xdr:rowOff>
    </xdr:to>
    <xdr:pic>
      <xdr:nvPicPr>
        <xdr:cNvPr id="338" name="Picture 53682">
          <a:extLst>
            <a:ext uri="{FF2B5EF4-FFF2-40B4-BE49-F238E27FC236}">
              <a16:creationId xmlns:a16="http://schemas.microsoft.com/office/drawing/2014/main" id="{EF760E3B-32C8-6147-A12D-6ACFB8FDB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205426</xdr:colOff>
      <xdr:row>21</xdr:row>
      <xdr:rowOff>39688</xdr:rowOff>
    </xdr:from>
    <xdr:to>
      <xdr:col>147</xdr:col>
      <xdr:colOff>461322</xdr:colOff>
      <xdr:row>21</xdr:row>
      <xdr:rowOff>293688</xdr:rowOff>
    </xdr:to>
    <xdr:pic>
      <xdr:nvPicPr>
        <xdr:cNvPr id="339" name="Picture 53685">
          <a:extLst>
            <a:ext uri="{FF2B5EF4-FFF2-40B4-BE49-F238E27FC236}">
              <a16:creationId xmlns:a16="http://schemas.microsoft.com/office/drawing/2014/main" id="{94A070DF-3257-BC43-AC46-87619D5B2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9426" y="4306888"/>
          <a:ext cx="255896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21</xdr:row>
      <xdr:rowOff>39688</xdr:rowOff>
    </xdr:from>
    <xdr:to>
      <xdr:col>207</xdr:col>
      <xdr:colOff>460375</xdr:colOff>
      <xdr:row>21</xdr:row>
      <xdr:rowOff>293688</xdr:rowOff>
    </xdr:to>
    <xdr:pic>
      <xdr:nvPicPr>
        <xdr:cNvPr id="340" name="Picture 53688">
          <a:extLst>
            <a:ext uri="{FF2B5EF4-FFF2-40B4-BE49-F238E27FC236}">
              <a16:creationId xmlns:a16="http://schemas.microsoft.com/office/drawing/2014/main" id="{A0752C82-E981-7946-BF34-7B0F03621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21</xdr:row>
      <xdr:rowOff>39688</xdr:rowOff>
    </xdr:from>
    <xdr:to>
      <xdr:col>171</xdr:col>
      <xdr:colOff>460375</xdr:colOff>
      <xdr:row>21</xdr:row>
      <xdr:rowOff>293688</xdr:rowOff>
    </xdr:to>
    <xdr:pic>
      <xdr:nvPicPr>
        <xdr:cNvPr id="341" name="Picture 53691">
          <a:extLst>
            <a:ext uri="{FF2B5EF4-FFF2-40B4-BE49-F238E27FC236}">
              <a16:creationId xmlns:a16="http://schemas.microsoft.com/office/drawing/2014/main" id="{CB9C035C-C1E1-6C4D-9FE0-45714EC8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4306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22</xdr:row>
      <xdr:rowOff>39688</xdr:rowOff>
    </xdr:from>
    <xdr:to>
      <xdr:col>183</xdr:col>
      <xdr:colOff>460375</xdr:colOff>
      <xdr:row>22</xdr:row>
      <xdr:rowOff>293688</xdr:rowOff>
    </xdr:to>
    <xdr:pic>
      <xdr:nvPicPr>
        <xdr:cNvPr id="342" name="Picture 53694">
          <a:extLst>
            <a:ext uri="{FF2B5EF4-FFF2-40B4-BE49-F238E27FC236}">
              <a16:creationId xmlns:a16="http://schemas.microsoft.com/office/drawing/2014/main" id="{E5A436CF-4116-EF4B-ACAC-4B6C49A9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22</xdr:row>
      <xdr:rowOff>39688</xdr:rowOff>
    </xdr:from>
    <xdr:to>
      <xdr:col>207</xdr:col>
      <xdr:colOff>460375</xdr:colOff>
      <xdr:row>22</xdr:row>
      <xdr:rowOff>293688</xdr:rowOff>
    </xdr:to>
    <xdr:pic>
      <xdr:nvPicPr>
        <xdr:cNvPr id="343" name="Picture 53697">
          <a:extLst>
            <a:ext uri="{FF2B5EF4-FFF2-40B4-BE49-F238E27FC236}">
              <a16:creationId xmlns:a16="http://schemas.microsoft.com/office/drawing/2014/main" id="{F40F399C-69FD-5140-BCDA-3A4A50CA4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22</xdr:row>
      <xdr:rowOff>39688</xdr:rowOff>
    </xdr:from>
    <xdr:to>
      <xdr:col>75</xdr:col>
      <xdr:colOff>460375</xdr:colOff>
      <xdr:row>22</xdr:row>
      <xdr:rowOff>293688</xdr:rowOff>
    </xdr:to>
    <xdr:pic>
      <xdr:nvPicPr>
        <xdr:cNvPr id="344" name="Picture 53700">
          <a:extLst>
            <a:ext uri="{FF2B5EF4-FFF2-40B4-BE49-F238E27FC236}">
              <a16:creationId xmlns:a16="http://schemas.microsoft.com/office/drawing/2014/main" id="{6A338044-1948-6742-9FD2-A8BA92B8E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22</xdr:row>
      <xdr:rowOff>39688</xdr:rowOff>
    </xdr:from>
    <xdr:to>
      <xdr:col>195</xdr:col>
      <xdr:colOff>460375</xdr:colOff>
      <xdr:row>22</xdr:row>
      <xdr:rowOff>293688</xdr:rowOff>
    </xdr:to>
    <xdr:pic>
      <xdr:nvPicPr>
        <xdr:cNvPr id="345" name="Picture 53703">
          <a:extLst>
            <a:ext uri="{FF2B5EF4-FFF2-40B4-BE49-F238E27FC236}">
              <a16:creationId xmlns:a16="http://schemas.microsoft.com/office/drawing/2014/main" id="{8D5360BC-DF52-EC42-BFC7-DC1C15609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22</xdr:row>
      <xdr:rowOff>39688</xdr:rowOff>
    </xdr:from>
    <xdr:to>
      <xdr:col>147</xdr:col>
      <xdr:colOff>460375</xdr:colOff>
      <xdr:row>22</xdr:row>
      <xdr:rowOff>293688</xdr:rowOff>
    </xdr:to>
    <xdr:pic>
      <xdr:nvPicPr>
        <xdr:cNvPr id="346" name="Picture 53706">
          <a:extLst>
            <a:ext uri="{FF2B5EF4-FFF2-40B4-BE49-F238E27FC236}">
              <a16:creationId xmlns:a16="http://schemas.microsoft.com/office/drawing/2014/main" id="{20E11297-12C4-7F4A-AAE8-704FBDE8C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22</xdr:row>
      <xdr:rowOff>39688</xdr:rowOff>
    </xdr:from>
    <xdr:to>
      <xdr:col>87</xdr:col>
      <xdr:colOff>460375</xdr:colOff>
      <xdr:row>22</xdr:row>
      <xdr:rowOff>293688</xdr:rowOff>
    </xdr:to>
    <xdr:pic>
      <xdr:nvPicPr>
        <xdr:cNvPr id="347" name="Picture 53709">
          <a:extLst>
            <a:ext uri="{FF2B5EF4-FFF2-40B4-BE49-F238E27FC236}">
              <a16:creationId xmlns:a16="http://schemas.microsoft.com/office/drawing/2014/main" id="{8D449ACF-FC3E-6C40-8132-A7B6A3E3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22</xdr:row>
      <xdr:rowOff>39688</xdr:rowOff>
    </xdr:from>
    <xdr:to>
      <xdr:col>171</xdr:col>
      <xdr:colOff>460375</xdr:colOff>
      <xdr:row>22</xdr:row>
      <xdr:rowOff>293688</xdr:rowOff>
    </xdr:to>
    <xdr:pic>
      <xdr:nvPicPr>
        <xdr:cNvPr id="348" name="Picture 53712">
          <a:extLst>
            <a:ext uri="{FF2B5EF4-FFF2-40B4-BE49-F238E27FC236}">
              <a16:creationId xmlns:a16="http://schemas.microsoft.com/office/drawing/2014/main" id="{F14C6603-BA7F-8746-B5B8-F0FEB725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22</xdr:row>
      <xdr:rowOff>39688</xdr:rowOff>
    </xdr:from>
    <xdr:to>
      <xdr:col>111</xdr:col>
      <xdr:colOff>460375</xdr:colOff>
      <xdr:row>22</xdr:row>
      <xdr:rowOff>293688</xdr:rowOff>
    </xdr:to>
    <xdr:pic>
      <xdr:nvPicPr>
        <xdr:cNvPr id="349" name="Picture 53715">
          <a:extLst>
            <a:ext uri="{FF2B5EF4-FFF2-40B4-BE49-F238E27FC236}">
              <a16:creationId xmlns:a16="http://schemas.microsoft.com/office/drawing/2014/main" id="{DF6B83E4-86A6-6A4C-B99F-C9934ABF0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22</xdr:row>
      <xdr:rowOff>39688</xdr:rowOff>
    </xdr:from>
    <xdr:to>
      <xdr:col>63</xdr:col>
      <xdr:colOff>460375</xdr:colOff>
      <xdr:row>22</xdr:row>
      <xdr:rowOff>293688</xdr:rowOff>
    </xdr:to>
    <xdr:pic>
      <xdr:nvPicPr>
        <xdr:cNvPr id="350" name="Picture 53718">
          <a:extLst>
            <a:ext uri="{FF2B5EF4-FFF2-40B4-BE49-F238E27FC236}">
              <a16:creationId xmlns:a16="http://schemas.microsoft.com/office/drawing/2014/main" id="{A7FB8C19-C7FF-3F45-9D37-892E25720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223050</xdr:colOff>
      <xdr:row>22</xdr:row>
      <xdr:rowOff>39688</xdr:rowOff>
    </xdr:from>
    <xdr:to>
      <xdr:col>99</xdr:col>
      <xdr:colOff>443706</xdr:colOff>
      <xdr:row>22</xdr:row>
      <xdr:rowOff>293688</xdr:rowOff>
    </xdr:to>
    <xdr:pic>
      <xdr:nvPicPr>
        <xdr:cNvPr id="351" name="Picture 53721">
          <a:extLst>
            <a:ext uri="{FF2B5EF4-FFF2-40B4-BE49-F238E27FC236}">
              <a16:creationId xmlns:a16="http://schemas.microsoft.com/office/drawing/2014/main" id="{0D5C0D70-9D73-D840-A8C7-0C2F8B46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1050" y="4510088"/>
          <a:ext cx="220656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22</xdr:row>
      <xdr:rowOff>39688</xdr:rowOff>
    </xdr:from>
    <xdr:to>
      <xdr:col>3</xdr:col>
      <xdr:colOff>460375</xdr:colOff>
      <xdr:row>22</xdr:row>
      <xdr:rowOff>293688</xdr:rowOff>
    </xdr:to>
    <xdr:pic>
      <xdr:nvPicPr>
        <xdr:cNvPr id="352" name="Picture 53724">
          <a:extLst>
            <a:ext uri="{FF2B5EF4-FFF2-40B4-BE49-F238E27FC236}">
              <a16:creationId xmlns:a16="http://schemas.microsoft.com/office/drawing/2014/main" id="{A5B857ED-90DF-F142-8080-5C558065C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22</xdr:row>
      <xdr:rowOff>39688</xdr:rowOff>
    </xdr:from>
    <xdr:to>
      <xdr:col>51</xdr:col>
      <xdr:colOff>460375</xdr:colOff>
      <xdr:row>22</xdr:row>
      <xdr:rowOff>293688</xdr:rowOff>
    </xdr:to>
    <xdr:pic>
      <xdr:nvPicPr>
        <xdr:cNvPr id="353" name="Picture 53727">
          <a:extLst>
            <a:ext uri="{FF2B5EF4-FFF2-40B4-BE49-F238E27FC236}">
              <a16:creationId xmlns:a16="http://schemas.microsoft.com/office/drawing/2014/main" id="{B0C8C5AE-6738-3E4F-8F88-043020B0D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22</xdr:row>
      <xdr:rowOff>39688</xdr:rowOff>
    </xdr:from>
    <xdr:to>
      <xdr:col>39</xdr:col>
      <xdr:colOff>460375</xdr:colOff>
      <xdr:row>22</xdr:row>
      <xdr:rowOff>293688</xdr:rowOff>
    </xdr:to>
    <xdr:pic>
      <xdr:nvPicPr>
        <xdr:cNvPr id="354" name="Picture 53730">
          <a:extLst>
            <a:ext uri="{FF2B5EF4-FFF2-40B4-BE49-F238E27FC236}">
              <a16:creationId xmlns:a16="http://schemas.microsoft.com/office/drawing/2014/main" id="{EE8BEB91-2999-5949-8CFF-77C96AC79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22</xdr:row>
      <xdr:rowOff>39688</xdr:rowOff>
    </xdr:from>
    <xdr:to>
      <xdr:col>15</xdr:col>
      <xdr:colOff>460375</xdr:colOff>
      <xdr:row>22</xdr:row>
      <xdr:rowOff>293688</xdr:rowOff>
    </xdr:to>
    <xdr:pic>
      <xdr:nvPicPr>
        <xdr:cNvPr id="355" name="Picture 53733">
          <a:extLst>
            <a:ext uri="{FF2B5EF4-FFF2-40B4-BE49-F238E27FC236}">
              <a16:creationId xmlns:a16="http://schemas.microsoft.com/office/drawing/2014/main" id="{A4D61356-906A-6344-8CDA-7FFAAB1CC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22</xdr:row>
      <xdr:rowOff>39688</xdr:rowOff>
    </xdr:from>
    <xdr:to>
      <xdr:col>219</xdr:col>
      <xdr:colOff>460375</xdr:colOff>
      <xdr:row>22</xdr:row>
      <xdr:rowOff>293688</xdr:rowOff>
    </xdr:to>
    <xdr:pic>
      <xdr:nvPicPr>
        <xdr:cNvPr id="356" name="Picture 53736">
          <a:extLst>
            <a:ext uri="{FF2B5EF4-FFF2-40B4-BE49-F238E27FC236}">
              <a16:creationId xmlns:a16="http://schemas.microsoft.com/office/drawing/2014/main" id="{25143783-3FC7-3545-96B7-82DAB5B64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22</xdr:row>
      <xdr:rowOff>39688</xdr:rowOff>
    </xdr:from>
    <xdr:to>
      <xdr:col>231</xdr:col>
      <xdr:colOff>460375</xdr:colOff>
      <xdr:row>22</xdr:row>
      <xdr:rowOff>293688</xdr:rowOff>
    </xdr:to>
    <xdr:pic>
      <xdr:nvPicPr>
        <xdr:cNvPr id="357" name="Picture 53739">
          <a:extLst>
            <a:ext uri="{FF2B5EF4-FFF2-40B4-BE49-F238E27FC236}">
              <a16:creationId xmlns:a16="http://schemas.microsoft.com/office/drawing/2014/main" id="{0EF6B211-0D3F-F24A-AEF8-E43826E4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22</xdr:row>
      <xdr:rowOff>39688</xdr:rowOff>
    </xdr:from>
    <xdr:to>
      <xdr:col>123</xdr:col>
      <xdr:colOff>460375</xdr:colOff>
      <xdr:row>22</xdr:row>
      <xdr:rowOff>293688</xdr:rowOff>
    </xdr:to>
    <xdr:pic>
      <xdr:nvPicPr>
        <xdr:cNvPr id="358" name="Picture 53742">
          <a:extLst>
            <a:ext uri="{FF2B5EF4-FFF2-40B4-BE49-F238E27FC236}">
              <a16:creationId xmlns:a16="http://schemas.microsoft.com/office/drawing/2014/main" id="{FCA3911D-4846-CF48-98E6-F9829CF49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22</xdr:row>
      <xdr:rowOff>39688</xdr:rowOff>
    </xdr:from>
    <xdr:to>
      <xdr:col>159</xdr:col>
      <xdr:colOff>460375</xdr:colOff>
      <xdr:row>22</xdr:row>
      <xdr:rowOff>293688</xdr:rowOff>
    </xdr:to>
    <xdr:pic>
      <xdr:nvPicPr>
        <xdr:cNvPr id="359" name="Picture 53745">
          <a:extLst>
            <a:ext uri="{FF2B5EF4-FFF2-40B4-BE49-F238E27FC236}">
              <a16:creationId xmlns:a16="http://schemas.microsoft.com/office/drawing/2014/main" id="{320C7DFA-82F3-4344-91F1-649F74BBA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23</xdr:row>
      <xdr:rowOff>39688</xdr:rowOff>
    </xdr:from>
    <xdr:to>
      <xdr:col>87</xdr:col>
      <xdr:colOff>460375</xdr:colOff>
      <xdr:row>23</xdr:row>
      <xdr:rowOff>293688</xdr:rowOff>
    </xdr:to>
    <xdr:pic>
      <xdr:nvPicPr>
        <xdr:cNvPr id="360" name="Picture 53748">
          <a:extLst>
            <a:ext uri="{FF2B5EF4-FFF2-40B4-BE49-F238E27FC236}">
              <a16:creationId xmlns:a16="http://schemas.microsoft.com/office/drawing/2014/main" id="{624F4DF4-494C-DB48-B2D4-CF39629B4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23</xdr:row>
      <xdr:rowOff>39688</xdr:rowOff>
    </xdr:from>
    <xdr:to>
      <xdr:col>51</xdr:col>
      <xdr:colOff>460375</xdr:colOff>
      <xdr:row>23</xdr:row>
      <xdr:rowOff>293688</xdr:rowOff>
    </xdr:to>
    <xdr:pic>
      <xdr:nvPicPr>
        <xdr:cNvPr id="361" name="Picture 53751">
          <a:extLst>
            <a:ext uri="{FF2B5EF4-FFF2-40B4-BE49-F238E27FC236}">
              <a16:creationId xmlns:a16="http://schemas.microsoft.com/office/drawing/2014/main" id="{CA2C7AC6-87AC-6540-945C-BECD29D41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23</xdr:row>
      <xdr:rowOff>39688</xdr:rowOff>
    </xdr:from>
    <xdr:to>
      <xdr:col>15</xdr:col>
      <xdr:colOff>460375</xdr:colOff>
      <xdr:row>23</xdr:row>
      <xdr:rowOff>293688</xdr:rowOff>
    </xdr:to>
    <xdr:pic>
      <xdr:nvPicPr>
        <xdr:cNvPr id="362" name="Picture 53754">
          <a:extLst>
            <a:ext uri="{FF2B5EF4-FFF2-40B4-BE49-F238E27FC236}">
              <a16:creationId xmlns:a16="http://schemas.microsoft.com/office/drawing/2014/main" id="{BF776E2A-9838-5F44-B275-505E149AF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23</xdr:row>
      <xdr:rowOff>39688</xdr:rowOff>
    </xdr:from>
    <xdr:to>
      <xdr:col>195</xdr:col>
      <xdr:colOff>460375</xdr:colOff>
      <xdr:row>23</xdr:row>
      <xdr:rowOff>293688</xdr:rowOff>
    </xdr:to>
    <xdr:pic>
      <xdr:nvPicPr>
        <xdr:cNvPr id="363" name="Picture 53757">
          <a:extLst>
            <a:ext uri="{FF2B5EF4-FFF2-40B4-BE49-F238E27FC236}">
              <a16:creationId xmlns:a16="http://schemas.microsoft.com/office/drawing/2014/main" id="{7FB1616A-AC6B-E945-BA02-EDEAF2C3D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23</xdr:row>
      <xdr:rowOff>39688</xdr:rowOff>
    </xdr:from>
    <xdr:to>
      <xdr:col>219</xdr:col>
      <xdr:colOff>460375</xdr:colOff>
      <xdr:row>23</xdr:row>
      <xdr:rowOff>293688</xdr:rowOff>
    </xdr:to>
    <xdr:pic>
      <xdr:nvPicPr>
        <xdr:cNvPr id="364" name="Picture 53760">
          <a:extLst>
            <a:ext uri="{FF2B5EF4-FFF2-40B4-BE49-F238E27FC236}">
              <a16:creationId xmlns:a16="http://schemas.microsoft.com/office/drawing/2014/main" id="{6642AF41-92C2-FE4F-BF75-BE7A8BF56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23</xdr:row>
      <xdr:rowOff>39688</xdr:rowOff>
    </xdr:from>
    <xdr:to>
      <xdr:col>159</xdr:col>
      <xdr:colOff>460375</xdr:colOff>
      <xdr:row>23</xdr:row>
      <xdr:rowOff>293688</xdr:rowOff>
    </xdr:to>
    <xdr:pic>
      <xdr:nvPicPr>
        <xdr:cNvPr id="365" name="Picture 53763">
          <a:extLst>
            <a:ext uri="{FF2B5EF4-FFF2-40B4-BE49-F238E27FC236}">
              <a16:creationId xmlns:a16="http://schemas.microsoft.com/office/drawing/2014/main" id="{AD68A373-3585-514E-9FDE-922E95B4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223050</xdr:colOff>
      <xdr:row>23</xdr:row>
      <xdr:rowOff>39688</xdr:rowOff>
    </xdr:from>
    <xdr:to>
      <xdr:col>111</xdr:col>
      <xdr:colOff>443706</xdr:colOff>
      <xdr:row>23</xdr:row>
      <xdr:rowOff>293688</xdr:rowOff>
    </xdr:to>
    <xdr:pic>
      <xdr:nvPicPr>
        <xdr:cNvPr id="366" name="Picture 53766">
          <a:extLst>
            <a:ext uri="{FF2B5EF4-FFF2-40B4-BE49-F238E27FC236}">
              <a16:creationId xmlns:a16="http://schemas.microsoft.com/office/drawing/2014/main" id="{1327B471-7DB7-894E-A4A5-90C0B699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5050" y="47132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23</xdr:row>
      <xdr:rowOff>39688</xdr:rowOff>
    </xdr:from>
    <xdr:to>
      <xdr:col>63</xdr:col>
      <xdr:colOff>460375</xdr:colOff>
      <xdr:row>23</xdr:row>
      <xdr:rowOff>293688</xdr:rowOff>
    </xdr:to>
    <xdr:pic>
      <xdr:nvPicPr>
        <xdr:cNvPr id="367" name="Picture 53769">
          <a:extLst>
            <a:ext uri="{FF2B5EF4-FFF2-40B4-BE49-F238E27FC236}">
              <a16:creationId xmlns:a16="http://schemas.microsoft.com/office/drawing/2014/main" id="{D282B003-091C-4443-AD53-67F6FE11B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22</xdr:row>
      <xdr:rowOff>39688</xdr:rowOff>
    </xdr:from>
    <xdr:to>
      <xdr:col>135</xdr:col>
      <xdr:colOff>460375</xdr:colOff>
      <xdr:row>22</xdr:row>
      <xdr:rowOff>293688</xdr:rowOff>
    </xdr:to>
    <xdr:pic>
      <xdr:nvPicPr>
        <xdr:cNvPr id="368" name="Picture 53772">
          <a:extLst>
            <a:ext uri="{FF2B5EF4-FFF2-40B4-BE49-F238E27FC236}">
              <a16:creationId xmlns:a16="http://schemas.microsoft.com/office/drawing/2014/main" id="{12A0D273-DD7A-024D-B1C5-9D0B7F56C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205432</xdr:colOff>
      <xdr:row>23</xdr:row>
      <xdr:rowOff>39688</xdr:rowOff>
    </xdr:from>
    <xdr:to>
      <xdr:col>171</xdr:col>
      <xdr:colOff>461328</xdr:colOff>
      <xdr:row>23</xdr:row>
      <xdr:rowOff>293688</xdr:rowOff>
    </xdr:to>
    <xdr:pic>
      <xdr:nvPicPr>
        <xdr:cNvPr id="369" name="Picture 53775">
          <a:extLst>
            <a:ext uri="{FF2B5EF4-FFF2-40B4-BE49-F238E27FC236}">
              <a16:creationId xmlns:a16="http://schemas.microsoft.com/office/drawing/2014/main" id="{DD0218B9-D825-9749-A35C-5BC95DBE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7432" y="4713288"/>
          <a:ext cx="255896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23</xdr:row>
      <xdr:rowOff>39688</xdr:rowOff>
    </xdr:from>
    <xdr:to>
      <xdr:col>183</xdr:col>
      <xdr:colOff>460375</xdr:colOff>
      <xdr:row>23</xdr:row>
      <xdr:rowOff>293688</xdr:rowOff>
    </xdr:to>
    <xdr:pic>
      <xdr:nvPicPr>
        <xdr:cNvPr id="370" name="Picture 53778">
          <a:extLst>
            <a:ext uri="{FF2B5EF4-FFF2-40B4-BE49-F238E27FC236}">
              <a16:creationId xmlns:a16="http://schemas.microsoft.com/office/drawing/2014/main" id="{CD5293B5-3676-B54F-B6D9-D834128AD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22</xdr:row>
      <xdr:rowOff>39688</xdr:rowOff>
    </xdr:from>
    <xdr:to>
      <xdr:col>27</xdr:col>
      <xdr:colOff>460375</xdr:colOff>
      <xdr:row>22</xdr:row>
      <xdr:rowOff>293688</xdr:rowOff>
    </xdr:to>
    <xdr:pic>
      <xdr:nvPicPr>
        <xdr:cNvPr id="371" name="Picture 53781">
          <a:extLst>
            <a:ext uri="{FF2B5EF4-FFF2-40B4-BE49-F238E27FC236}">
              <a16:creationId xmlns:a16="http://schemas.microsoft.com/office/drawing/2014/main" id="{9F4FAAF8-8C08-3546-A0B7-AADD95F50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510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23</xdr:row>
      <xdr:rowOff>39688</xdr:rowOff>
    </xdr:from>
    <xdr:to>
      <xdr:col>207</xdr:col>
      <xdr:colOff>460375</xdr:colOff>
      <xdr:row>23</xdr:row>
      <xdr:rowOff>293688</xdr:rowOff>
    </xdr:to>
    <xdr:pic>
      <xdr:nvPicPr>
        <xdr:cNvPr id="372" name="Picture 53784">
          <a:extLst>
            <a:ext uri="{FF2B5EF4-FFF2-40B4-BE49-F238E27FC236}">
              <a16:creationId xmlns:a16="http://schemas.microsoft.com/office/drawing/2014/main" id="{DA955440-7B1D-0C43-9613-B445F1BB7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23</xdr:row>
      <xdr:rowOff>39688</xdr:rowOff>
    </xdr:from>
    <xdr:to>
      <xdr:col>99</xdr:col>
      <xdr:colOff>460375</xdr:colOff>
      <xdr:row>23</xdr:row>
      <xdr:rowOff>293688</xdr:rowOff>
    </xdr:to>
    <xdr:pic>
      <xdr:nvPicPr>
        <xdr:cNvPr id="373" name="Picture 53787">
          <a:extLst>
            <a:ext uri="{FF2B5EF4-FFF2-40B4-BE49-F238E27FC236}">
              <a16:creationId xmlns:a16="http://schemas.microsoft.com/office/drawing/2014/main" id="{27A677C2-3EB4-8246-AA95-B47E41E39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23</xdr:row>
      <xdr:rowOff>39688</xdr:rowOff>
    </xdr:from>
    <xdr:to>
      <xdr:col>123</xdr:col>
      <xdr:colOff>460375</xdr:colOff>
      <xdr:row>23</xdr:row>
      <xdr:rowOff>293688</xdr:rowOff>
    </xdr:to>
    <xdr:pic>
      <xdr:nvPicPr>
        <xdr:cNvPr id="374" name="Picture 53790">
          <a:extLst>
            <a:ext uri="{FF2B5EF4-FFF2-40B4-BE49-F238E27FC236}">
              <a16:creationId xmlns:a16="http://schemas.microsoft.com/office/drawing/2014/main" id="{1568286D-1E54-F544-8CA9-7403712F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23</xdr:row>
      <xdr:rowOff>39688</xdr:rowOff>
    </xdr:from>
    <xdr:to>
      <xdr:col>3</xdr:col>
      <xdr:colOff>460375</xdr:colOff>
      <xdr:row>23</xdr:row>
      <xdr:rowOff>293688</xdr:rowOff>
    </xdr:to>
    <xdr:pic>
      <xdr:nvPicPr>
        <xdr:cNvPr id="375" name="Picture 53793">
          <a:extLst>
            <a:ext uri="{FF2B5EF4-FFF2-40B4-BE49-F238E27FC236}">
              <a16:creationId xmlns:a16="http://schemas.microsoft.com/office/drawing/2014/main" id="{F99BE4E2-915D-8346-AD83-2DE6EDF58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23</xdr:row>
      <xdr:rowOff>39688</xdr:rowOff>
    </xdr:from>
    <xdr:to>
      <xdr:col>231</xdr:col>
      <xdr:colOff>460375</xdr:colOff>
      <xdr:row>23</xdr:row>
      <xdr:rowOff>293688</xdr:rowOff>
    </xdr:to>
    <xdr:pic>
      <xdr:nvPicPr>
        <xdr:cNvPr id="376" name="Picture 53796">
          <a:extLst>
            <a:ext uri="{FF2B5EF4-FFF2-40B4-BE49-F238E27FC236}">
              <a16:creationId xmlns:a16="http://schemas.microsoft.com/office/drawing/2014/main" id="{26468E15-2EEF-A24E-B689-4CA6F856D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23</xdr:row>
      <xdr:rowOff>39688</xdr:rowOff>
    </xdr:from>
    <xdr:to>
      <xdr:col>75</xdr:col>
      <xdr:colOff>460375</xdr:colOff>
      <xdr:row>23</xdr:row>
      <xdr:rowOff>293688</xdr:rowOff>
    </xdr:to>
    <xdr:pic>
      <xdr:nvPicPr>
        <xdr:cNvPr id="377" name="Picture 53799">
          <a:extLst>
            <a:ext uri="{FF2B5EF4-FFF2-40B4-BE49-F238E27FC236}">
              <a16:creationId xmlns:a16="http://schemas.microsoft.com/office/drawing/2014/main" id="{E8CF83CF-C269-7947-9BE2-A0EF63AC6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24</xdr:row>
      <xdr:rowOff>39688</xdr:rowOff>
    </xdr:from>
    <xdr:to>
      <xdr:col>171</xdr:col>
      <xdr:colOff>460375</xdr:colOff>
      <xdr:row>24</xdr:row>
      <xdr:rowOff>293688</xdr:rowOff>
    </xdr:to>
    <xdr:pic>
      <xdr:nvPicPr>
        <xdr:cNvPr id="378" name="Picture 53802">
          <a:extLst>
            <a:ext uri="{FF2B5EF4-FFF2-40B4-BE49-F238E27FC236}">
              <a16:creationId xmlns:a16="http://schemas.microsoft.com/office/drawing/2014/main" id="{A7881CC3-A592-B847-B05A-38FAFBB4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24</xdr:row>
      <xdr:rowOff>39688</xdr:rowOff>
    </xdr:from>
    <xdr:to>
      <xdr:col>183</xdr:col>
      <xdr:colOff>460375</xdr:colOff>
      <xdr:row>24</xdr:row>
      <xdr:rowOff>293688</xdr:rowOff>
    </xdr:to>
    <xdr:pic>
      <xdr:nvPicPr>
        <xdr:cNvPr id="379" name="Picture 53805">
          <a:extLst>
            <a:ext uri="{FF2B5EF4-FFF2-40B4-BE49-F238E27FC236}">
              <a16:creationId xmlns:a16="http://schemas.microsoft.com/office/drawing/2014/main" id="{53044533-2E77-944F-A1BD-DE82E8AE0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23</xdr:row>
      <xdr:rowOff>39688</xdr:rowOff>
    </xdr:from>
    <xdr:to>
      <xdr:col>27</xdr:col>
      <xdr:colOff>460375</xdr:colOff>
      <xdr:row>23</xdr:row>
      <xdr:rowOff>293688</xdr:rowOff>
    </xdr:to>
    <xdr:pic>
      <xdr:nvPicPr>
        <xdr:cNvPr id="380" name="Picture 53808">
          <a:extLst>
            <a:ext uri="{FF2B5EF4-FFF2-40B4-BE49-F238E27FC236}">
              <a16:creationId xmlns:a16="http://schemas.microsoft.com/office/drawing/2014/main" id="{70F160A1-64F8-BD41-9803-B1FE2563F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24</xdr:row>
      <xdr:rowOff>39688</xdr:rowOff>
    </xdr:from>
    <xdr:to>
      <xdr:col>111</xdr:col>
      <xdr:colOff>460375</xdr:colOff>
      <xdr:row>24</xdr:row>
      <xdr:rowOff>293688</xdr:rowOff>
    </xdr:to>
    <xdr:pic>
      <xdr:nvPicPr>
        <xdr:cNvPr id="381" name="Picture 53811">
          <a:extLst>
            <a:ext uri="{FF2B5EF4-FFF2-40B4-BE49-F238E27FC236}">
              <a16:creationId xmlns:a16="http://schemas.microsoft.com/office/drawing/2014/main" id="{0FBF0ABF-6381-9542-9A5B-710C76656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205432</xdr:colOff>
      <xdr:row>24</xdr:row>
      <xdr:rowOff>39688</xdr:rowOff>
    </xdr:from>
    <xdr:to>
      <xdr:col>195</xdr:col>
      <xdr:colOff>461328</xdr:colOff>
      <xdr:row>24</xdr:row>
      <xdr:rowOff>293688</xdr:rowOff>
    </xdr:to>
    <xdr:pic>
      <xdr:nvPicPr>
        <xdr:cNvPr id="382" name="Picture 53814">
          <a:extLst>
            <a:ext uri="{FF2B5EF4-FFF2-40B4-BE49-F238E27FC236}">
              <a16:creationId xmlns:a16="http://schemas.microsoft.com/office/drawing/2014/main" id="{ED7448A9-4733-1541-AE91-22BAEBCC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5432" y="4916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23</xdr:row>
      <xdr:rowOff>39688</xdr:rowOff>
    </xdr:from>
    <xdr:to>
      <xdr:col>135</xdr:col>
      <xdr:colOff>460375</xdr:colOff>
      <xdr:row>23</xdr:row>
      <xdr:rowOff>293688</xdr:rowOff>
    </xdr:to>
    <xdr:pic>
      <xdr:nvPicPr>
        <xdr:cNvPr id="383" name="Picture 53817">
          <a:extLst>
            <a:ext uri="{FF2B5EF4-FFF2-40B4-BE49-F238E27FC236}">
              <a16:creationId xmlns:a16="http://schemas.microsoft.com/office/drawing/2014/main" id="{60AF0A2B-1A1B-F849-8BB5-E59A629C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24</xdr:row>
      <xdr:rowOff>39688</xdr:rowOff>
    </xdr:from>
    <xdr:to>
      <xdr:col>63</xdr:col>
      <xdr:colOff>460375</xdr:colOff>
      <xdr:row>24</xdr:row>
      <xdr:rowOff>293688</xdr:rowOff>
    </xdr:to>
    <xdr:pic>
      <xdr:nvPicPr>
        <xdr:cNvPr id="384" name="Picture 53820">
          <a:extLst>
            <a:ext uri="{FF2B5EF4-FFF2-40B4-BE49-F238E27FC236}">
              <a16:creationId xmlns:a16="http://schemas.microsoft.com/office/drawing/2014/main" id="{7996BF2F-0735-154B-A949-4B7B0877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223050</xdr:colOff>
      <xdr:row>24</xdr:row>
      <xdr:rowOff>39688</xdr:rowOff>
    </xdr:from>
    <xdr:to>
      <xdr:col>123</xdr:col>
      <xdr:colOff>443706</xdr:colOff>
      <xdr:row>24</xdr:row>
      <xdr:rowOff>293688</xdr:rowOff>
    </xdr:to>
    <xdr:pic>
      <xdr:nvPicPr>
        <xdr:cNvPr id="385" name="Picture 53823">
          <a:extLst>
            <a:ext uri="{FF2B5EF4-FFF2-40B4-BE49-F238E27FC236}">
              <a16:creationId xmlns:a16="http://schemas.microsoft.com/office/drawing/2014/main" id="{33098C4F-3070-0347-A65E-0DF870F6F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9050" y="4916488"/>
          <a:ext cx="220656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24</xdr:row>
      <xdr:rowOff>39688</xdr:rowOff>
    </xdr:from>
    <xdr:to>
      <xdr:col>159</xdr:col>
      <xdr:colOff>460375</xdr:colOff>
      <xdr:row>24</xdr:row>
      <xdr:rowOff>293688</xdr:rowOff>
    </xdr:to>
    <xdr:pic>
      <xdr:nvPicPr>
        <xdr:cNvPr id="386" name="Picture 53826">
          <a:extLst>
            <a:ext uri="{FF2B5EF4-FFF2-40B4-BE49-F238E27FC236}">
              <a16:creationId xmlns:a16="http://schemas.microsoft.com/office/drawing/2014/main" id="{06EE7D1D-DE2D-A949-9ECD-011B60F37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24</xdr:row>
      <xdr:rowOff>39688</xdr:rowOff>
    </xdr:from>
    <xdr:to>
      <xdr:col>15</xdr:col>
      <xdr:colOff>460375</xdr:colOff>
      <xdr:row>24</xdr:row>
      <xdr:rowOff>293688</xdr:rowOff>
    </xdr:to>
    <xdr:pic>
      <xdr:nvPicPr>
        <xdr:cNvPr id="387" name="Picture 53829">
          <a:extLst>
            <a:ext uri="{FF2B5EF4-FFF2-40B4-BE49-F238E27FC236}">
              <a16:creationId xmlns:a16="http://schemas.microsoft.com/office/drawing/2014/main" id="{0C538CBA-9564-2C4F-BFE9-6E1DB5BB2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23</xdr:row>
      <xdr:rowOff>39688</xdr:rowOff>
    </xdr:from>
    <xdr:to>
      <xdr:col>39</xdr:col>
      <xdr:colOff>460375</xdr:colOff>
      <xdr:row>23</xdr:row>
      <xdr:rowOff>293688</xdr:rowOff>
    </xdr:to>
    <xdr:pic>
      <xdr:nvPicPr>
        <xdr:cNvPr id="388" name="Picture 53832">
          <a:extLst>
            <a:ext uri="{FF2B5EF4-FFF2-40B4-BE49-F238E27FC236}">
              <a16:creationId xmlns:a16="http://schemas.microsoft.com/office/drawing/2014/main" id="{DB953EA8-F925-C24F-BF24-1B49099F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24</xdr:row>
      <xdr:rowOff>39688</xdr:rowOff>
    </xdr:from>
    <xdr:to>
      <xdr:col>231</xdr:col>
      <xdr:colOff>460375</xdr:colOff>
      <xdr:row>24</xdr:row>
      <xdr:rowOff>293688</xdr:rowOff>
    </xdr:to>
    <xdr:pic>
      <xdr:nvPicPr>
        <xdr:cNvPr id="389" name="Picture 53835">
          <a:extLst>
            <a:ext uri="{FF2B5EF4-FFF2-40B4-BE49-F238E27FC236}">
              <a16:creationId xmlns:a16="http://schemas.microsoft.com/office/drawing/2014/main" id="{534CC845-1D83-564E-9709-F31D3FDCE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24</xdr:row>
      <xdr:rowOff>39688</xdr:rowOff>
    </xdr:from>
    <xdr:to>
      <xdr:col>75</xdr:col>
      <xdr:colOff>460375</xdr:colOff>
      <xdr:row>24</xdr:row>
      <xdr:rowOff>293688</xdr:rowOff>
    </xdr:to>
    <xdr:pic>
      <xdr:nvPicPr>
        <xdr:cNvPr id="390" name="Picture 53838">
          <a:extLst>
            <a:ext uri="{FF2B5EF4-FFF2-40B4-BE49-F238E27FC236}">
              <a16:creationId xmlns:a16="http://schemas.microsoft.com/office/drawing/2014/main" id="{63D4D057-FC8B-B34E-9922-91AA33CB9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24</xdr:row>
      <xdr:rowOff>39688</xdr:rowOff>
    </xdr:from>
    <xdr:to>
      <xdr:col>87</xdr:col>
      <xdr:colOff>460375</xdr:colOff>
      <xdr:row>24</xdr:row>
      <xdr:rowOff>293688</xdr:rowOff>
    </xdr:to>
    <xdr:pic>
      <xdr:nvPicPr>
        <xdr:cNvPr id="391" name="Picture 53841">
          <a:extLst>
            <a:ext uri="{FF2B5EF4-FFF2-40B4-BE49-F238E27FC236}">
              <a16:creationId xmlns:a16="http://schemas.microsoft.com/office/drawing/2014/main" id="{8E37E1AC-D016-FA49-AB73-3ECEA46D9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24</xdr:row>
      <xdr:rowOff>39688</xdr:rowOff>
    </xdr:from>
    <xdr:to>
      <xdr:col>99</xdr:col>
      <xdr:colOff>460375</xdr:colOff>
      <xdr:row>24</xdr:row>
      <xdr:rowOff>293688</xdr:rowOff>
    </xdr:to>
    <xdr:pic>
      <xdr:nvPicPr>
        <xdr:cNvPr id="392" name="Picture 53844">
          <a:extLst>
            <a:ext uri="{FF2B5EF4-FFF2-40B4-BE49-F238E27FC236}">
              <a16:creationId xmlns:a16="http://schemas.microsoft.com/office/drawing/2014/main" id="{4D3C580D-4B91-C74E-BB92-F0009FE2D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23</xdr:row>
      <xdr:rowOff>39688</xdr:rowOff>
    </xdr:from>
    <xdr:to>
      <xdr:col>147</xdr:col>
      <xdr:colOff>460375</xdr:colOff>
      <xdr:row>23</xdr:row>
      <xdr:rowOff>293688</xdr:rowOff>
    </xdr:to>
    <xdr:pic>
      <xdr:nvPicPr>
        <xdr:cNvPr id="393" name="Picture 53847">
          <a:extLst>
            <a:ext uri="{FF2B5EF4-FFF2-40B4-BE49-F238E27FC236}">
              <a16:creationId xmlns:a16="http://schemas.microsoft.com/office/drawing/2014/main" id="{75429566-6AF0-BC43-BE4E-B47F5ED66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4713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24</xdr:row>
      <xdr:rowOff>39688</xdr:rowOff>
    </xdr:from>
    <xdr:to>
      <xdr:col>51</xdr:col>
      <xdr:colOff>460375</xdr:colOff>
      <xdr:row>24</xdr:row>
      <xdr:rowOff>293688</xdr:rowOff>
    </xdr:to>
    <xdr:pic>
      <xdr:nvPicPr>
        <xdr:cNvPr id="394" name="Picture 53850">
          <a:extLst>
            <a:ext uri="{FF2B5EF4-FFF2-40B4-BE49-F238E27FC236}">
              <a16:creationId xmlns:a16="http://schemas.microsoft.com/office/drawing/2014/main" id="{EB07A113-319E-254A-9CC1-BEC74F53F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24</xdr:row>
      <xdr:rowOff>39688</xdr:rowOff>
    </xdr:from>
    <xdr:to>
      <xdr:col>207</xdr:col>
      <xdr:colOff>460375</xdr:colOff>
      <xdr:row>24</xdr:row>
      <xdr:rowOff>293688</xdr:rowOff>
    </xdr:to>
    <xdr:pic>
      <xdr:nvPicPr>
        <xdr:cNvPr id="395" name="Picture 53853">
          <a:extLst>
            <a:ext uri="{FF2B5EF4-FFF2-40B4-BE49-F238E27FC236}">
              <a16:creationId xmlns:a16="http://schemas.microsoft.com/office/drawing/2014/main" id="{15ADECD4-8D2B-1544-A2AE-1BD99DAFD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24</xdr:row>
      <xdr:rowOff>39688</xdr:rowOff>
    </xdr:from>
    <xdr:to>
      <xdr:col>3</xdr:col>
      <xdr:colOff>460375</xdr:colOff>
      <xdr:row>24</xdr:row>
      <xdr:rowOff>293688</xdr:rowOff>
    </xdr:to>
    <xdr:pic>
      <xdr:nvPicPr>
        <xdr:cNvPr id="396" name="Picture 53856">
          <a:extLst>
            <a:ext uri="{FF2B5EF4-FFF2-40B4-BE49-F238E27FC236}">
              <a16:creationId xmlns:a16="http://schemas.microsoft.com/office/drawing/2014/main" id="{2CD98F6D-8E19-A04A-ADA4-085B05DE5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24</xdr:row>
      <xdr:rowOff>39688</xdr:rowOff>
    </xdr:from>
    <xdr:to>
      <xdr:col>219</xdr:col>
      <xdr:colOff>460375</xdr:colOff>
      <xdr:row>24</xdr:row>
      <xdr:rowOff>293688</xdr:rowOff>
    </xdr:to>
    <xdr:pic>
      <xdr:nvPicPr>
        <xdr:cNvPr id="397" name="Picture 53859">
          <a:extLst>
            <a:ext uri="{FF2B5EF4-FFF2-40B4-BE49-F238E27FC236}">
              <a16:creationId xmlns:a16="http://schemas.microsoft.com/office/drawing/2014/main" id="{332B04D0-6DFF-CD4D-AE9F-6D14F18B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24</xdr:row>
      <xdr:rowOff>39688</xdr:rowOff>
    </xdr:from>
    <xdr:to>
      <xdr:col>135</xdr:col>
      <xdr:colOff>460375</xdr:colOff>
      <xdr:row>24</xdr:row>
      <xdr:rowOff>293688</xdr:rowOff>
    </xdr:to>
    <xdr:pic>
      <xdr:nvPicPr>
        <xdr:cNvPr id="398" name="Picture 53862">
          <a:extLst>
            <a:ext uri="{FF2B5EF4-FFF2-40B4-BE49-F238E27FC236}">
              <a16:creationId xmlns:a16="http://schemas.microsoft.com/office/drawing/2014/main" id="{53F3E05B-CE6D-A842-90BA-6AD79B1C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205426</xdr:colOff>
      <xdr:row>25</xdr:row>
      <xdr:rowOff>39688</xdr:rowOff>
    </xdr:from>
    <xdr:to>
      <xdr:col>75</xdr:col>
      <xdr:colOff>461322</xdr:colOff>
      <xdr:row>25</xdr:row>
      <xdr:rowOff>293688</xdr:rowOff>
    </xdr:to>
    <xdr:pic>
      <xdr:nvPicPr>
        <xdr:cNvPr id="399" name="Picture 53865">
          <a:extLst>
            <a:ext uri="{FF2B5EF4-FFF2-40B4-BE49-F238E27FC236}">
              <a16:creationId xmlns:a16="http://schemas.microsoft.com/office/drawing/2014/main" id="{73D58E1F-A34E-9A4B-BB9F-6DE960DB4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5426" y="5119688"/>
          <a:ext cx="255896" cy="165100"/>
        </a:xfrm>
        <a:prstGeom prst="rect">
          <a:avLst/>
        </a:prstGeom>
      </xdr:spPr>
    </xdr:pic>
    <xdr:clientData/>
  </xdr:twoCellAnchor>
  <xdr:twoCellAnchor>
    <xdr:from>
      <xdr:col>15</xdr:col>
      <xdr:colOff>223047</xdr:colOff>
      <xdr:row>25</xdr:row>
      <xdr:rowOff>39688</xdr:rowOff>
    </xdr:from>
    <xdr:to>
      <xdr:col>15</xdr:col>
      <xdr:colOff>443703</xdr:colOff>
      <xdr:row>25</xdr:row>
      <xdr:rowOff>293688</xdr:rowOff>
    </xdr:to>
    <xdr:pic>
      <xdr:nvPicPr>
        <xdr:cNvPr id="400" name="Picture 53868">
          <a:extLst>
            <a:ext uri="{FF2B5EF4-FFF2-40B4-BE49-F238E27FC236}">
              <a16:creationId xmlns:a16="http://schemas.microsoft.com/office/drawing/2014/main" id="{59C470CA-CE12-674D-BA58-8B6922FC9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3047" y="51196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25</xdr:row>
      <xdr:rowOff>39688</xdr:rowOff>
    </xdr:from>
    <xdr:to>
      <xdr:col>63</xdr:col>
      <xdr:colOff>460375</xdr:colOff>
      <xdr:row>25</xdr:row>
      <xdr:rowOff>293688</xdr:rowOff>
    </xdr:to>
    <xdr:pic>
      <xdr:nvPicPr>
        <xdr:cNvPr id="401" name="Picture 53871">
          <a:extLst>
            <a:ext uri="{FF2B5EF4-FFF2-40B4-BE49-F238E27FC236}">
              <a16:creationId xmlns:a16="http://schemas.microsoft.com/office/drawing/2014/main" id="{E0046247-2CF0-504E-BD94-C769DEDCE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25</xdr:row>
      <xdr:rowOff>39688</xdr:rowOff>
    </xdr:from>
    <xdr:to>
      <xdr:col>87</xdr:col>
      <xdr:colOff>460375</xdr:colOff>
      <xdr:row>25</xdr:row>
      <xdr:rowOff>293688</xdr:rowOff>
    </xdr:to>
    <xdr:pic>
      <xdr:nvPicPr>
        <xdr:cNvPr id="402" name="Picture 53874">
          <a:extLst>
            <a:ext uri="{FF2B5EF4-FFF2-40B4-BE49-F238E27FC236}">
              <a16:creationId xmlns:a16="http://schemas.microsoft.com/office/drawing/2014/main" id="{9E2AEA94-381D-F84F-9871-CA1704E19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24</xdr:row>
      <xdr:rowOff>39688</xdr:rowOff>
    </xdr:from>
    <xdr:to>
      <xdr:col>39</xdr:col>
      <xdr:colOff>460375</xdr:colOff>
      <xdr:row>24</xdr:row>
      <xdr:rowOff>293688</xdr:rowOff>
    </xdr:to>
    <xdr:pic>
      <xdr:nvPicPr>
        <xdr:cNvPr id="403" name="Picture 53877">
          <a:extLst>
            <a:ext uri="{FF2B5EF4-FFF2-40B4-BE49-F238E27FC236}">
              <a16:creationId xmlns:a16="http://schemas.microsoft.com/office/drawing/2014/main" id="{893E65BE-6C67-084D-A094-04E310B3C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24</xdr:row>
      <xdr:rowOff>39688</xdr:rowOff>
    </xdr:from>
    <xdr:to>
      <xdr:col>147</xdr:col>
      <xdr:colOff>460375</xdr:colOff>
      <xdr:row>24</xdr:row>
      <xdr:rowOff>293688</xdr:rowOff>
    </xdr:to>
    <xdr:pic>
      <xdr:nvPicPr>
        <xdr:cNvPr id="404" name="Picture 53880">
          <a:extLst>
            <a:ext uri="{FF2B5EF4-FFF2-40B4-BE49-F238E27FC236}">
              <a16:creationId xmlns:a16="http://schemas.microsoft.com/office/drawing/2014/main" id="{A46F9877-E5DE-6B40-9E40-A5602DC38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25</xdr:row>
      <xdr:rowOff>39688</xdr:rowOff>
    </xdr:from>
    <xdr:to>
      <xdr:col>195</xdr:col>
      <xdr:colOff>460375</xdr:colOff>
      <xdr:row>25</xdr:row>
      <xdr:rowOff>293688</xdr:rowOff>
    </xdr:to>
    <xdr:pic>
      <xdr:nvPicPr>
        <xdr:cNvPr id="405" name="Picture 53883">
          <a:extLst>
            <a:ext uri="{FF2B5EF4-FFF2-40B4-BE49-F238E27FC236}">
              <a16:creationId xmlns:a16="http://schemas.microsoft.com/office/drawing/2014/main" id="{02D64051-8547-194A-AB66-0A9BFAA1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25</xdr:row>
      <xdr:rowOff>39688</xdr:rowOff>
    </xdr:from>
    <xdr:to>
      <xdr:col>231</xdr:col>
      <xdr:colOff>460375</xdr:colOff>
      <xdr:row>25</xdr:row>
      <xdr:rowOff>293688</xdr:rowOff>
    </xdr:to>
    <xdr:pic>
      <xdr:nvPicPr>
        <xdr:cNvPr id="406" name="Picture 53886">
          <a:extLst>
            <a:ext uri="{FF2B5EF4-FFF2-40B4-BE49-F238E27FC236}">
              <a16:creationId xmlns:a16="http://schemas.microsoft.com/office/drawing/2014/main" id="{987404A7-086D-3A4F-AF85-E8881158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25</xdr:row>
      <xdr:rowOff>39688</xdr:rowOff>
    </xdr:from>
    <xdr:to>
      <xdr:col>99</xdr:col>
      <xdr:colOff>460375</xdr:colOff>
      <xdr:row>25</xdr:row>
      <xdr:rowOff>293688</xdr:rowOff>
    </xdr:to>
    <xdr:pic>
      <xdr:nvPicPr>
        <xdr:cNvPr id="407" name="Picture 53889">
          <a:extLst>
            <a:ext uri="{FF2B5EF4-FFF2-40B4-BE49-F238E27FC236}">
              <a16:creationId xmlns:a16="http://schemas.microsoft.com/office/drawing/2014/main" id="{05ED8597-F81A-0543-B20A-07821EE85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25</xdr:row>
      <xdr:rowOff>39688</xdr:rowOff>
    </xdr:from>
    <xdr:to>
      <xdr:col>183</xdr:col>
      <xdr:colOff>460375</xdr:colOff>
      <xdr:row>25</xdr:row>
      <xdr:rowOff>293688</xdr:rowOff>
    </xdr:to>
    <xdr:pic>
      <xdr:nvPicPr>
        <xdr:cNvPr id="408" name="Picture 53892">
          <a:extLst>
            <a:ext uri="{FF2B5EF4-FFF2-40B4-BE49-F238E27FC236}">
              <a16:creationId xmlns:a16="http://schemas.microsoft.com/office/drawing/2014/main" id="{D976A0E6-7F57-7B40-A8B6-20BF375AC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25</xdr:row>
      <xdr:rowOff>39688</xdr:rowOff>
    </xdr:from>
    <xdr:to>
      <xdr:col>159</xdr:col>
      <xdr:colOff>460375</xdr:colOff>
      <xdr:row>25</xdr:row>
      <xdr:rowOff>293688</xdr:rowOff>
    </xdr:to>
    <xdr:pic>
      <xdr:nvPicPr>
        <xdr:cNvPr id="409" name="Picture 53895">
          <a:extLst>
            <a:ext uri="{FF2B5EF4-FFF2-40B4-BE49-F238E27FC236}">
              <a16:creationId xmlns:a16="http://schemas.microsoft.com/office/drawing/2014/main" id="{29DD1BDB-625A-7B49-8A2A-1B74DFEB0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25</xdr:row>
      <xdr:rowOff>39688</xdr:rowOff>
    </xdr:from>
    <xdr:to>
      <xdr:col>111</xdr:col>
      <xdr:colOff>460375</xdr:colOff>
      <xdr:row>25</xdr:row>
      <xdr:rowOff>293688</xdr:rowOff>
    </xdr:to>
    <xdr:pic>
      <xdr:nvPicPr>
        <xdr:cNvPr id="410" name="Picture 53898">
          <a:extLst>
            <a:ext uri="{FF2B5EF4-FFF2-40B4-BE49-F238E27FC236}">
              <a16:creationId xmlns:a16="http://schemas.microsoft.com/office/drawing/2014/main" id="{559AE89F-C8F2-094E-92DC-B8F4B6CF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25</xdr:row>
      <xdr:rowOff>39688</xdr:rowOff>
    </xdr:from>
    <xdr:to>
      <xdr:col>3</xdr:col>
      <xdr:colOff>460375</xdr:colOff>
      <xdr:row>25</xdr:row>
      <xdr:rowOff>293688</xdr:rowOff>
    </xdr:to>
    <xdr:pic>
      <xdr:nvPicPr>
        <xdr:cNvPr id="411" name="Picture 53901">
          <a:extLst>
            <a:ext uri="{FF2B5EF4-FFF2-40B4-BE49-F238E27FC236}">
              <a16:creationId xmlns:a16="http://schemas.microsoft.com/office/drawing/2014/main" id="{4774B411-12FF-354A-8296-6BCF34D0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25</xdr:row>
      <xdr:rowOff>39688</xdr:rowOff>
    </xdr:from>
    <xdr:to>
      <xdr:col>207</xdr:col>
      <xdr:colOff>460375</xdr:colOff>
      <xdr:row>25</xdr:row>
      <xdr:rowOff>293688</xdr:rowOff>
    </xdr:to>
    <xdr:pic>
      <xdr:nvPicPr>
        <xdr:cNvPr id="412" name="Picture 53904">
          <a:extLst>
            <a:ext uri="{FF2B5EF4-FFF2-40B4-BE49-F238E27FC236}">
              <a16:creationId xmlns:a16="http://schemas.microsoft.com/office/drawing/2014/main" id="{4DB035ED-FC3C-D041-BE89-D1533E3B1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5119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24</xdr:row>
      <xdr:rowOff>39688</xdr:rowOff>
    </xdr:from>
    <xdr:to>
      <xdr:col>27</xdr:col>
      <xdr:colOff>460375</xdr:colOff>
      <xdr:row>24</xdr:row>
      <xdr:rowOff>293688</xdr:rowOff>
    </xdr:to>
    <xdr:pic>
      <xdr:nvPicPr>
        <xdr:cNvPr id="413" name="Picture 53907">
          <a:extLst>
            <a:ext uri="{FF2B5EF4-FFF2-40B4-BE49-F238E27FC236}">
              <a16:creationId xmlns:a16="http://schemas.microsoft.com/office/drawing/2014/main" id="{AA2AF768-7285-724A-A2C9-856AF8326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4916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26</xdr:row>
      <xdr:rowOff>39688</xdr:rowOff>
    </xdr:from>
    <xdr:to>
      <xdr:col>123</xdr:col>
      <xdr:colOff>460375</xdr:colOff>
      <xdr:row>26</xdr:row>
      <xdr:rowOff>293688</xdr:rowOff>
    </xdr:to>
    <xdr:pic>
      <xdr:nvPicPr>
        <xdr:cNvPr id="414" name="Picture 53910">
          <a:extLst>
            <a:ext uri="{FF2B5EF4-FFF2-40B4-BE49-F238E27FC236}">
              <a16:creationId xmlns:a16="http://schemas.microsoft.com/office/drawing/2014/main" id="{8BDE0219-386F-C841-9535-1230A4DB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26</xdr:row>
      <xdr:rowOff>39688</xdr:rowOff>
    </xdr:from>
    <xdr:to>
      <xdr:col>171</xdr:col>
      <xdr:colOff>460375</xdr:colOff>
      <xdr:row>26</xdr:row>
      <xdr:rowOff>293688</xdr:rowOff>
    </xdr:to>
    <xdr:pic>
      <xdr:nvPicPr>
        <xdr:cNvPr id="415" name="Picture 53913">
          <a:extLst>
            <a:ext uri="{FF2B5EF4-FFF2-40B4-BE49-F238E27FC236}">
              <a16:creationId xmlns:a16="http://schemas.microsoft.com/office/drawing/2014/main" id="{BEBC9667-EA3F-7841-A469-82582BBC4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26</xdr:row>
      <xdr:rowOff>39688</xdr:rowOff>
    </xdr:from>
    <xdr:to>
      <xdr:col>219</xdr:col>
      <xdr:colOff>460375</xdr:colOff>
      <xdr:row>26</xdr:row>
      <xdr:rowOff>293688</xdr:rowOff>
    </xdr:to>
    <xdr:pic>
      <xdr:nvPicPr>
        <xdr:cNvPr id="416" name="Picture 53916">
          <a:extLst>
            <a:ext uri="{FF2B5EF4-FFF2-40B4-BE49-F238E27FC236}">
              <a16:creationId xmlns:a16="http://schemas.microsoft.com/office/drawing/2014/main" id="{3A0B18DF-A4BC-D441-A466-F3CAF18AD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26</xdr:row>
      <xdr:rowOff>39688</xdr:rowOff>
    </xdr:from>
    <xdr:to>
      <xdr:col>51</xdr:col>
      <xdr:colOff>460375</xdr:colOff>
      <xdr:row>26</xdr:row>
      <xdr:rowOff>293688</xdr:rowOff>
    </xdr:to>
    <xdr:pic>
      <xdr:nvPicPr>
        <xdr:cNvPr id="417" name="Picture 53919">
          <a:extLst>
            <a:ext uri="{FF2B5EF4-FFF2-40B4-BE49-F238E27FC236}">
              <a16:creationId xmlns:a16="http://schemas.microsoft.com/office/drawing/2014/main" id="{5854B48C-D13F-4D41-8F9B-3843969F2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205426</xdr:colOff>
      <xdr:row>27</xdr:row>
      <xdr:rowOff>39688</xdr:rowOff>
    </xdr:from>
    <xdr:to>
      <xdr:col>63</xdr:col>
      <xdr:colOff>461322</xdr:colOff>
      <xdr:row>27</xdr:row>
      <xdr:rowOff>293688</xdr:rowOff>
    </xdr:to>
    <xdr:pic>
      <xdr:nvPicPr>
        <xdr:cNvPr id="418" name="Picture 53922">
          <a:extLst>
            <a:ext uri="{FF2B5EF4-FFF2-40B4-BE49-F238E27FC236}">
              <a16:creationId xmlns:a16="http://schemas.microsoft.com/office/drawing/2014/main" id="{379CEB59-54F2-8348-BFD6-DB410C16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1426" y="55260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223050</xdr:colOff>
      <xdr:row>26</xdr:row>
      <xdr:rowOff>39688</xdr:rowOff>
    </xdr:from>
    <xdr:to>
      <xdr:col>135</xdr:col>
      <xdr:colOff>443706</xdr:colOff>
      <xdr:row>26</xdr:row>
      <xdr:rowOff>293688</xdr:rowOff>
    </xdr:to>
    <xdr:pic>
      <xdr:nvPicPr>
        <xdr:cNvPr id="419" name="Picture 53925">
          <a:extLst>
            <a:ext uri="{FF2B5EF4-FFF2-40B4-BE49-F238E27FC236}">
              <a16:creationId xmlns:a16="http://schemas.microsoft.com/office/drawing/2014/main" id="{D13E1771-FDB4-E64C-A005-E04B7E388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93050" y="5322888"/>
          <a:ext cx="220656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27</xdr:row>
      <xdr:rowOff>39688</xdr:rowOff>
    </xdr:from>
    <xdr:to>
      <xdr:col>75</xdr:col>
      <xdr:colOff>460375</xdr:colOff>
      <xdr:row>27</xdr:row>
      <xdr:rowOff>293688</xdr:rowOff>
    </xdr:to>
    <xdr:pic>
      <xdr:nvPicPr>
        <xdr:cNvPr id="420" name="Picture 53928">
          <a:extLst>
            <a:ext uri="{FF2B5EF4-FFF2-40B4-BE49-F238E27FC236}">
              <a16:creationId xmlns:a16="http://schemas.microsoft.com/office/drawing/2014/main" id="{ADFE9DB7-21F0-804A-8AD0-F8B0BCCDE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27</xdr:row>
      <xdr:rowOff>39688</xdr:rowOff>
    </xdr:from>
    <xdr:to>
      <xdr:col>111</xdr:col>
      <xdr:colOff>460375</xdr:colOff>
      <xdr:row>27</xdr:row>
      <xdr:rowOff>293688</xdr:rowOff>
    </xdr:to>
    <xdr:pic>
      <xdr:nvPicPr>
        <xdr:cNvPr id="421" name="Picture 53931">
          <a:extLst>
            <a:ext uri="{FF2B5EF4-FFF2-40B4-BE49-F238E27FC236}">
              <a16:creationId xmlns:a16="http://schemas.microsoft.com/office/drawing/2014/main" id="{163296EA-4E12-0040-AEF2-C59594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27</xdr:row>
      <xdr:rowOff>39688</xdr:rowOff>
    </xdr:from>
    <xdr:to>
      <xdr:col>171</xdr:col>
      <xdr:colOff>460375</xdr:colOff>
      <xdr:row>27</xdr:row>
      <xdr:rowOff>293688</xdr:rowOff>
    </xdr:to>
    <xdr:pic>
      <xdr:nvPicPr>
        <xdr:cNvPr id="422" name="Picture 53934">
          <a:extLst>
            <a:ext uri="{FF2B5EF4-FFF2-40B4-BE49-F238E27FC236}">
              <a16:creationId xmlns:a16="http://schemas.microsoft.com/office/drawing/2014/main" id="{3ADF5D61-4C63-6F42-9BE2-DE61B87A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26</xdr:row>
      <xdr:rowOff>39688</xdr:rowOff>
    </xdr:from>
    <xdr:to>
      <xdr:col>147</xdr:col>
      <xdr:colOff>460375</xdr:colOff>
      <xdr:row>26</xdr:row>
      <xdr:rowOff>293688</xdr:rowOff>
    </xdr:to>
    <xdr:pic>
      <xdr:nvPicPr>
        <xdr:cNvPr id="423" name="Picture 53937">
          <a:extLst>
            <a:ext uri="{FF2B5EF4-FFF2-40B4-BE49-F238E27FC236}">
              <a16:creationId xmlns:a16="http://schemas.microsoft.com/office/drawing/2014/main" id="{9EA312A7-E9DF-ED45-94ED-B094F6578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27</xdr:row>
      <xdr:rowOff>39688</xdr:rowOff>
    </xdr:from>
    <xdr:to>
      <xdr:col>99</xdr:col>
      <xdr:colOff>460375</xdr:colOff>
      <xdr:row>27</xdr:row>
      <xdr:rowOff>293688</xdr:rowOff>
    </xdr:to>
    <xdr:pic>
      <xdr:nvPicPr>
        <xdr:cNvPr id="424" name="Picture 53940">
          <a:extLst>
            <a:ext uri="{FF2B5EF4-FFF2-40B4-BE49-F238E27FC236}">
              <a16:creationId xmlns:a16="http://schemas.microsoft.com/office/drawing/2014/main" id="{2E384DE5-C304-6C46-A62B-35B8623FB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27</xdr:row>
      <xdr:rowOff>39688</xdr:rowOff>
    </xdr:from>
    <xdr:to>
      <xdr:col>15</xdr:col>
      <xdr:colOff>460375</xdr:colOff>
      <xdr:row>27</xdr:row>
      <xdr:rowOff>293688</xdr:rowOff>
    </xdr:to>
    <xdr:pic>
      <xdr:nvPicPr>
        <xdr:cNvPr id="425" name="Picture 53943">
          <a:extLst>
            <a:ext uri="{FF2B5EF4-FFF2-40B4-BE49-F238E27FC236}">
              <a16:creationId xmlns:a16="http://schemas.microsoft.com/office/drawing/2014/main" id="{46DDC3CA-982E-B64F-ACDC-15E4AF676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27</xdr:row>
      <xdr:rowOff>39688</xdr:rowOff>
    </xdr:from>
    <xdr:to>
      <xdr:col>159</xdr:col>
      <xdr:colOff>460375</xdr:colOff>
      <xdr:row>27</xdr:row>
      <xdr:rowOff>293688</xdr:rowOff>
    </xdr:to>
    <xdr:pic>
      <xdr:nvPicPr>
        <xdr:cNvPr id="426" name="Picture 53946">
          <a:extLst>
            <a:ext uri="{FF2B5EF4-FFF2-40B4-BE49-F238E27FC236}">
              <a16:creationId xmlns:a16="http://schemas.microsoft.com/office/drawing/2014/main" id="{1F27D172-EB31-1F41-9880-F9365551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27</xdr:row>
      <xdr:rowOff>39688</xdr:rowOff>
    </xdr:from>
    <xdr:to>
      <xdr:col>207</xdr:col>
      <xdr:colOff>460375</xdr:colOff>
      <xdr:row>27</xdr:row>
      <xdr:rowOff>293688</xdr:rowOff>
    </xdr:to>
    <xdr:pic>
      <xdr:nvPicPr>
        <xdr:cNvPr id="427" name="Picture 53949">
          <a:extLst>
            <a:ext uri="{FF2B5EF4-FFF2-40B4-BE49-F238E27FC236}">
              <a16:creationId xmlns:a16="http://schemas.microsoft.com/office/drawing/2014/main" id="{33B9471D-24F1-D446-83FB-828255560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27</xdr:row>
      <xdr:rowOff>39688</xdr:rowOff>
    </xdr:from>
    <xdr:to>
      <xdr:col>3</xdr:col>
      <xdr:colOff>460375</xdr:colOff>
      <xdr:row>27</xdr:row>
      <xdr:rowOff>293688</xdr:rowOff>
    </xdr:to>
    <xdr:pic>
      <xdr:nvPicPr>
        <xdr:cNvPr id="428" name="Picture 53952">
          <a:extLst>
            <a:ext uri="{FF2B5EF4-FFF2-40B4-BE49-F238E27FC236}">
              <a16:creationId xmlns:a16="http://schemas.microsoft.com/office/drawing/2014/main" id="{5A6CE672-0D02-5E4E-87F7-062DCC41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27</xdr:row>
      <xdr:rowOff>39688</xdr:rowOff>
    </xdr:from>
    <xdr:to>
      <xdr:col>87</xdr:col>
      <xdr:colOff>460375</xdr:colOff>
      <xdr:row>27</xdr:row>
      <xdr:rowOff>293688</xdr:rowOff>
    </xdr:to>
    <xdr:pic>
      <xdr:nvPicPr>
        <xdr:cNvPr id="429" name="Picture 53955">
          <a:extLst>
            <a:ext uri="{FF2B5EF4-FFF2-40B4-BE49-F238E27FC236}">
              <a16:creationId xmlns:a16="http://schemas.microsoft.com/office/drawing/2014/main" id="{8AF07A43-F1E4-1F43-B691-C713DF5BD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26</xdr:row>
      <xdr:rowOff>39688</xdr:rowOff>
    </xdr:from>
    <xdr:to>
      <xdr:col>39</xdr:col>
      <xdr:colOff>460375</xdr:colOff>
      <xdr:row>26</xdr:row>
      <xdr:rowOff>293688</xdr:rowOff>
    </xdr:to>
    <xdr:pic>
      <xdr:nvPicPr>
        <xdr:cNvPr id="430" name="Picture 53958">
          <a:extLst>
            <a:ext uri="{FF2B5EF4-FFF2-40B4-BE49-F238E27FC236}">
              <a16:creationId xmlns:a16="http://schemas.microsoft.com/office/drawing/2014/main" id="{69721E9A-9CD7-0F4E-A047-AB75BB0F3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27</xdr:row>
      <xdr:rowOff>39688</xdr:rowOff>
    </xdr:from>
    <xdr:to>
      <xdr:col>183</xdr:col>
      <xdr:colOff>460375</xdr:colOff>
      <xdr:row>27</xdr:row>
      <xdr:rowOff>293688</xdr:rowOff>
    </xdr:to>
    <xdr:pic>
      <xdr:nvPicPr>
        <xdr:cNvPr id="431" name="Picture 53961">
          <a:extLst>
            <a:ext uri="{FF2B5EF4-FFF2-40B4-BE49-F238E27FC236}">
              <a16:creationId xmlns:a16="http://schemas.microsoft.com/office/drawing/2014/main" id="{F09BF8D6-3147-2942-9ECF-3E72BDBC8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27</xdr:row>
      <xdr:rowOff>39688</xdr:rowOff>
    </xdr:from>
    <xdr:to>
      <xdr:col>195</xdr:col>
      <xdr:colOff>460375</xdr:colOff>
      <xdr:row>27</xdr:row>
      <xdr:rowOff>293688</xdr:rowOff>
    </xdr:to>
    <xdr:pic>
      <xdr:nvPicPr>
        <xdr:cNvPr id="432" name="Picture 53964">
          <a:extLst>
            <a:ext uri="{FF2B5EF4-FFF2-40B4-BE49-F238E27FC236}">
              <a16:creationId xmlns:a16="http://schemas.microsoft.com/office/drawing/2014/main" id="{5E230B3A-230A-4D4A-A768-723D03DF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27</xdr:row>
      <xdr:rowOff>39688</xdr:rowOff>
    </xdr:from>
    <xdr:to>
      <xdr:col>219</xdr:col>
      <xdr:colOff>460375</xdr:colOff>
      <xdr:row>27</xdr:row>
      <xdr:rowOff>293688</xdr:rowOff>
    </xdr:to>
    <xdr:pic>
      <xdr:nvPicPr>
        <xdr:cNvPr id="433" name="Picture 53967">
          <a:extLst>
            <a:ext uri="{FF2B5EF4-FFF2-40B4-BE49-F238E27FC236}">
              <a16:creationId xmlns:a16="http://schemas.microsoft.com/office/drawing/2014/main" id="{6BDF1A3F-51C6-004D-8AB0-35CAC65AD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26</xdr:row>
      <xdr:rowOff>39688</xdr:rowOff>
    </xdr:from>
    <xdr:to>
      <xdr:col>27</xdr:col>
      <xdr:colOff>460375</xdr:colOff>
      <xdr:row>26</xdr:row>
      <xdr:rowOff>293688</xdr:rowOff>
    </xdr:to>
    <xdr:pic>
      <xdr:nvPicPr>
        <xdr:cNvPr id="434" name="Picture 53970">
          <a:extLst>
            <a:ext uri="{FF2B5EF4-FFF2-40B4-BE49-F238E27FC236}">
              <a16:creationId xmlns:a16="http://schemas.microsoft.com/office/drawing/2014/main" id="{F7EE8102-4D4E-A146-9A61-2DD3779BC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5322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27</xdr:row>
      <xdr:rowOff>39688</xdr:rowOff>
    </xdr:from>
    <xdr:to>
      <xdr:col>123</xdr:col>
      <xdr:colOff>460375</xdr:colOff>
      <xdr:row>27</xdr:row>
      <xdr:rowOff>293688</xdr:rowOff>
    </xdr:to>
    <xdr:pic>
      <xdr:nvPicPr>
        <xdr:cNvPr id="435" name="Picture 53973">
          <a:extLst>
            <a:ext uri="{FF2B5EF4-FFF2-40B4-BE49-F238E27FC236}">
              <a16:creationId xmlns:a16="http://schemas.microsoft.com/office/drawing/2014/main" id="{4CB1DB81-E87F-084E-89D7-72EFF1C76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27</xdr:row>
      <xdr:rowOff>39688</xdr:rowOff>
    </xdr:from>
    <xdr:to>
      <xdr:col>51</xdr:col>
      <xdr:colOff>460375</xdr:colOff>
      <xdr:row>27</xdr:row>
      <xdr:rowOff>293688</xdr:rowOff>
    </xdr:to>
    <xdr:pic>
      <xdr:nvPicPr>
        <xdr:cNvPr id="436" name="Picture 53976">
          <a:extLst>
            <a:ext uri="{FF2B5EF4-FFF2-40B4-BE49-F238E27FC236}">
              <a16:creationId xmlns:a16="http://schemas.microsoft.com/office/drawing/2014/main" id="{BEE6E602-AB6E-3D41-9B1F-DF2B15359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27</xdr:row>
      <xdr:rowOff>39688</xdr:rowOff>
    </xdr:from>
    <xdr:to>
      <xdr:col>231</xdr:col>
      <xdr:colOff>460375</xdr:colOff>
      <xdr:row>27</xdr:row>
      <xdr:rowOff>293688</xdr:rowOff>
    </xdr:to>
    <xdr:pic>
      <xdr:nvPicPr>
        <xdr:cNvPr id="437" name="Picture 53979">
          <a:extLst>
            <a:ext uri="{FF2B5EF4-FFF2-40B4-BE49-F238E27FC236}">
              <a16:creationId xmlns:a16="http://schemas.microsoft.com/office/drawing/2014/main" id="{457EA066-328A-4748-B1AC-8DC2168D2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28</xdr:row>
      <xdr:rowOff>39688</xdr:rowOff>
    </xdr:from>
    <xdr:to>
      <xdr:col>183</xdr:col>
      <xdr:colOff>460375</xdr:colOff>
      <xdr:row>28</xdr:row>
      <xdr:rowOff>293688</xdr:rowOff>
    </xdr:to>
    <xdr:pic>
      <xdr:nvPicPr>
        <xdr:cNvPr id="438" name="Picture 53982">
          <a:extLst>
            <a:ext uri="{FF2B5EF4-FFF2-40B4-BE49-F238E27FC236}">
              <a16:creationId xmlns:a16="http://schemas.microsoft.com/office/drawing/2014/main" id="{D6D405D9-A5B8-0742-AD5F-22E76E89F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28</xdr:row>
      <xdr:rowOff>39688</xdr:rowOff>
    </xdr:from>
    <xdr:to>
      <xdr:col>3</xdr:col>
      <xdr:colOff>460375</xdr:colOff>
      <xdr:row>28</xdr:row>
      <xdr:rowOff>293688</xdr:rowOff>
    </xdr:to>
    <xdr:pic>
      <xdr:nvPicPr>
        <xdr:cNvPr id="439" name="Picture 53985">
          <a:extLst>
            <a:ext uri="{FF2B5EF4-FFF2-40B4-BE49-F238E27FC236}">
              <a16:creationId xmlns:a16="http://schemas.microsoft.com/office/drawing/2014/main" id="{BECB7067-A8DC-7741-8824-BDDCEFAE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28</xdr:row>
      <xdr:rowOff>39688</xdr:rowOff>
    </xdr:from>
    <xdr:to>
      <xdr:col>111</xdr:col>
      <xdr:colOff>460375</xdr:colOff>
      <xdr:row>28</xdr:row>
      <xdr:rowOff>293688</xdr:rowOff>
    </xdr:to>
    <xdr:pic>
      <xdr:nvPicPr>
        <xdr:cNvPr id="440" name="Picture 53988">
          <a:extLst>
            <a:ext uri="{FF2B5EF4-FFF2-40B4-BE49-F238E27FC236}">
              <a16:creationId xmlns:a16="http://schemas.microsoft.com/office/drawing/2014/main" id="{19F4D5F5-1C8D-4B4D-AB4D-BFD4C4DFB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28</xdr:row>
      <xdr:rowOff>39688</xdr:rowOff>
    </xdr:from>
    <xdr:to>
      <xdr:col>99</xdr:col>
      <xdr:colOff>460375</xdr:colOff>
      <xdr:row>28</xdr:row>
      <xdr:rowOff>293688</xdr:rowOff>
    </xdr:to>
    <xdr:pic>
      <xdr:nvPicPr>
        <xdr:cNvPr id="441" name="Picture 53991">
          <a:extLst>
            <a:ext uri="{FF2B5EF4-FFF2-40B4-BE49-F238E27FC236}">
              <a16:creationId xmlns:a16="http://schemas.microsoft.com/office/drawing/2014/main" id="{DF1CFD0D-04D2-354F-9B57-CED94D40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27</xdr:row>
      <xdr:rowOff>39688</xdr:rowOff>
    </xdr:from>
    <xdr:to>
      <xdr:col>135</xdr:col>
      <xdr:colOff>460375</xdr:colOff>
      <xdr:row>27</xdr:row>
      <xdr:rowOff>293688</xdr:rowOff>
    </xdr:to>
    <xdr:pic>
      <xdr:nvPicPr>
        <xdr:cNvPr id="442" name="Picture 53994">
          <a:extLst>
            <a:ext uri="{FF2B5EF4-FFF2-40B4-BE49-F238E27FC236}">
              <a16:creationId xmlns:a16="http://schemas.microsoft.com/office/drawing/2014/main" id="{C9C74D20-F56E-174E-87A2-C7F4A0B5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205426</xdr:colOff>
      <xdr:row>28</xdr:row>
      <xdr:rowOff>39688</xdr:rowOff>
    </xdr:from>
    <xdr:to>
      <xdr:col>51</xdr:col>
      <xdr:colOff>461322</xdr:colOff>
      <xdr:row>28</xdr:row>
      <xdr:rowOff>293688</xdr:rowOff>
    </xdr:to>
    <xdr:pic>
      <xdr:nvPicPr>
        <xdr:cNvPr id="443" name="Picture 53997">
          <a:extLst>
            <a:ext uri="{FF2B5EF4-FFF2-40B4-BE49-F238E27FC236}">
              <a16:creationId xmlns:a16="http://schemas.microsoft.com/office/drawing/2014/main" id="{5F44E65F-3784-E14B-A5FD-EF6C016A8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7426" y="5729288"/>
          <a:ext cx="255896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28</xdr:row>
      <xdr:rowOff>39688</xdr:rowOff>
    </xdr:from>
    <xdr:to>
      <xdr:col>87</xdr:col>
      <xdr:colOff>460375</xdr:colOff>
      <xdr:row>28</xdr:row>
      <xdr:rowOff>293688</xdr:rowOff>
    </xdr:to>
    <xdr:pic>
      <xdr:nvPicPr>
        <xdr:cNvPr id="444" name="Picture 54000">
          <a:extLst>
            <a:ext uri="{FF2B5EF4-FFF2-40B4-BE49-F238E27FC236}">
              <a16:creationId xmlns:a16="http://schemas.microsoft.com/office/drawing/2014/main" id="{84BFD971-7474-1C4F-BD0F-CB1B424B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28</xdr:row>
      <xdr:rowOff>39688</xdr:rowOff>
    </xdr:from>
    <xdr:to>
      <xdr:col>195</xdr:col>
      <xdr:colOff>460375</xdr:colOff>
      <xdr:row>28</xdr:row>
      <xdr:rowOff>293688</xdr:rowOff>
    </xdr:to>
    <xdr:pic>
      <xdr:nvPicPr>
        <xdr:cNvPr id="445" name="Picture 54003">
          <a:extLst>
            <a:ext uri="{FF2B5EF4-FFF2-40B4-BE49-F238E27FC236}">
              <a16:creationId xmlns:a16="http://schemas.microsoft.com/office/drawing/2014/main" id="{7768CBD9-8187-9345-9435-64F0507C3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28</xdr:row>
      <xdr:rowOff>39688</xdr:rowOff>
    </xdr:from>
    <xdr:to>
      <xdr:col>15</xdr:col>
      <xdr:colOff>460375</xdr:colOff>
      <xdr:row>28</xdr:row>
      <xdr:rowOff>293688</xdr:rowOff>
    </xdr:to>
    <xdr:pic>
      <xdr:nvPicPr>
        <xdr:cNvPr id="446" name="Picture 54006">
          <a:extLst>
            <a:ext uri="{FF2B5EF4-FFF2-40B4-BE49-F238E27FC236}">
              <a16:creationId xmlns:a16="http://schemas.microsoft.com/office/drawing/2014/main" id="{7B974F33-98CF-464C-B658-277D63367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28</xdr:row>
      <xdr:rowOff>39688</xdr:rowOff>
    </xdr:from>
    <xdr:to>
      <xdr:col>171</xdr:col>
      <xdr:colOff>460375</xdr:colOff>
      <xdr:row>28</xdr:row>
      <xdr:rowOff>293688</xdr:rowOff>
    </xdr:to>
    <xdr:pic>
      <xdr:nvPicPr>
        <xdr:cNvPr id="447" name="Picture 54009">
          <a:extLst>
            <a:ext uri="{FF2B5EF4-FFF2-40B4-BE49-F238E27FC236}">
              <a16:creationId xmlns:a16="http://schemas.microsoft.com/office/drawing/2014/main" id="{1BBBA1B5-F402-7A48-9455-936C59997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223050</xdr:colOff>
      <xdr:row>27</xdr:row>
      <xdr:rowOff>39688</xdr:rowOff>
    </xdr:from>
    <xdr:to>
      <xdr:col>147</xdr:col>
      <xdr:colOff>443706</xdr:colOff>
      <xdr:row>27</xdr:row>
      <xdr:rowOff>293688</xdr:rowOff>
    </xdr:to>
    <xdr:pic>
      <xdr:nvPicPr>
        <xdr:cNvPr id="448" name="Picture 54012">
          <a:extLst>
            <a:ext uri="{FF2B5EF4-FFF2-40B4-BE49-F238E27FC236}">
              <a16:creationId xmlns:a16="http://schemas.microsoft.com/office/drawing/2014/main" id="{F4AFA10C-89E5-264B-8A0E-2180BBC5B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37050" y="55260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28</xdr:row>
      <xdr:rowOff>39688</xdr:rowOff>
    </xdr:from>
    <xdr:to>
      <xdr:col>63</xdr:col>
      <xdr:colOff>460375</xdr:colOff>
      <xdr:row>28</xdr:row>
      <xdr:rowOff>293688</xdr:rowOff>
    </xdr:to>
    <xdr:pic>
      <xdr:nvPicPr>
        <xdr:cNvPr id="449" name="Picture 54015">
          <a:extLst>
            <a:ext uri="{FF2B5EF4-FFF2-40B4-BE49-F238E27FC236}">
              <a16:creationId xmlns:a16="http://schemas.microsoft.com/office/drawing/2014/main" id="{7CA4899A-72E9-314C-8573-F68140C9F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28</xdr:row>
      <xdr:rowOff>39688</xdr:rowOff>
    </xdr:from>
    <xdr:to>
      <xdr:col>207</xdr:col>
      <xdr:colOff>460375</xdr:colOff>
      <xdr:row>28</xdr:row>
      <xdr:rowOff>293688</xdr:rowOff>
    </xdr:to>
    <xdr:pic>
      <xdr:nvPicPr>
        <xdr:cNvPr id="450" name="Picture 54018">
          <a:extLst>
            <a:ext uri="{FF2B5EF4-FFF2-40B4-BE49-F238E27FC236}">
              <a16:creationId xmlns:a16="http://schemas.microsoft.com/office/drawing/2014/main" id="{0392A2FA-6F96-BB42-8BFE-D0351C060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27</xdr:row>
      <xdr:rowOff>39688</xdr:rowOff>
    </xdr:from>
    <xdr:to>
      <xdr:col>39</xdr:col>
      <xdr:colOff>460375</xdr:colOff>
      <xdr:row>27</xdr:row>
      <xdr:rowOff>293688</xdr:rowOff>
    </xdr:to>
    <xdr:pic>
      <xdr:nvPicPr>
        <xdr:cNvPr id="451" name="Picture 54021">
          <a:extLst>
            <a:ext uri="{FF2B5EF4-FFF2-40B4-BE49-F238E27FC236}">
              <a16:creationId xmlns:a16="http://schemas.microsoft.com/office/drawing/2014/main" id="{4AADA32A-0CB7-8F4E-8639-EF028EB0F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5526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28</xdr:row>
      <xdr:rowOff>39688</xdr:rowOff>
    </xdr:from>
    <xdr:to>
      <xdr:col>123</xdr:col>
      <xdr:colOff>460375</xdr:colOff>
      <xdr:row>28</xdr:row>
      <xdr:rowOff>293688</xdr:rowOff>
    </xdr:to>
    <xdr:pic>
      <xdr:nvPicPr>
        <xdr:cNvPr id="452" name="Picture 54024">
          <a:extLst>
            <a:ext uri="{FF2B5EF4-FFF2-40B4-BE49-F238E27FC236}">
              <a16:creationId xmlns:a16="http://schemas.microsoft.com/office/drawing/2014/main" id="{1A546406-E1EA-9B4A-8355-BA36FF8C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28</xdr:row>
      <xdr:rowOff>39688</xdr:rowOff>
    </xdr:from>
    <xdr:to>
      <xdr:col>75</xdr:col>
      <xdr:colOff>460375</xdr:colOff>
      <xdr:row>28</xdr:row>
      <xdr:rowOff>293688</xdr:rowOff>
    </xdr:to>
    <xdr:pic>
      <xdr:nvPicPr>
        <xdr:cNvPr id="453" name="Picture 54027">
          <a:extLst>
            <a:ext uri="{FF2B5EF4-FFF2-40B4-BE49-F238E27FC236}">
              <a16:creationId xmlns:a16="http://schemas.microsoft.com/office/drawing/2014/main" id="{6508B5D2-31D4-6141-B23A-1AB9039F7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29</xdr:row>
      <xdr:rowOff>39688</xdr:rowOff>
    </xdr:from>
    <xdr:to>
      <xdr:col>219</xdr:col>
      <xdr:colOff>460375</xdr:colOff>
      <xdr:row>29</xdr:row>
      <xdr:rowOff>293688</xdr:rowOff>
    </xdr:to>
    <xdr:pic>
      <xdr:nvPicPr>
        <xdr:cNvPr id="454" name="Picture 54030">
          <a:extLst>
            <a:ext uri="{FF2B5EF4-FFF2-40B4-BE49-F238E27FC236}">
              <a16:creationId xmlns:a16="http://schemas.microsoft.com/office/drawing/2014/main" id="{74026553-EF99-194A-8836-26CA5AAEE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28</xdr:row>
      <xdr:rowOff>39688</xdr:rowOff>
    </xdr:from>
    <xdr:to>
      <xdr:col>27</xdr:col>
      <xdr:colOff>460375</xdr:colOff>
      <xdr:row>28</xdr:row>
      <xdr:rowOff>293688</xdr:rowOff>
    </xdr:to>
    <xdr:pic>
      <xdr:nvPicPr>
        <xdr:cNvPr id="455" name="Picture 54033">
          <a:extLst>
            <a:ext uri="{FF2B5EF4-FFF2-40B4-BE49-F238E27FC236}">
              <a16:creationId xmlns:a16="http://schemas.microsoft.com/office/drawing/2014/main" id="{B5EFB82C-2A52-B34E-AD54-EC9B10981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5729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29</xdr:row>
      <xdr:rowOff>39688</xdr:rowOff>
    </xdr:from>
    <xdr:to>
      <xdr:col>231</xdr:col>
      <xdr:colOff>460375</xdr:colOff>
      <xdr:row>29</xdr:row>
      <xdr:rowOff>293688</xdr:rowOff>
    </xdr:to>
    <xdr:pic>
      <xdr:nvPicPr>
        <xdr:cNvPr id="456" name="Picture 54036">
          <a:extLst>
            <a:ext uri="{FF2B5EF4-FFF2-40B4-BE49-F238E27FC236}">
              <a16:creationId xmlns:a16="http://schemas.microsoft.com/office/drawing/2014/main" id="{0FFABE52-5712-7141-A813-FE6D17B89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29</xdr:row>
      <xdr:rowOff>39688</xdr:rowOff>
    </xdr:from>
    <xdr:to>
      <xdr:col>159</xdr:col>
      <xdr:colOff>460375</xdr:colOff>
      <xdr:row>29</xdr:row>
      <xdr:rowOff>293688</xdr:rowOff>
    </xdr:to>
    <xdr:pic>
      <xdr:nvPicPr>
        <xdr:cNvPr id="457" name="Picture 54039">
          <a:extLst>
            <a:ext uri="{FF2B5EF4-FFF2-40B4-BE49-F238E27FC236}">
              <a16:creationId xmlns:a16="http://schemas.microsoft.com/office/drawing/2014/main" id="{CE65990B-9D76-9C4F-BC52-F3FB36D33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30</xdr:row>
      <xdr:rowOff>39688</xdr:rowOff>
    </xdr:from>
    <xdr:to>
      <xdr:col>99</xdr:col>
      <xdr:colOff>460375</xdr:colOff>
      <xdr:row>30</xdr:row>
      <xdr:rowOff>293688</xdr:rowOff>
    </xdr:to>
    <xdr:pic>
      <xdr:nvPicPr>
        <xdr:cNvPr id="458" name="Picture 54042">
          <a:extLst>
            <a:ext uri="{FF2B5EF4-FFF2-40B4-BE49-F238E27FC236}">
              <a16:creationId xmlns:a16="http://schemas.microsoft.com/office/drawing/2014/main" id="{BE616E58-94D5-1240-A14B-809B18D3A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30</xdr:row>
      <xdr:rowOff>39688</xdr:rowOff>
    </xdr:from>
    <xdr:to>
      <xdr:col>207</xdr:col>
      <xdr:colOff>460375</xdr:colOff>
      <xdr:row>30</xdr:row>
      <xdr:rowOff>293688</xdr:rowOff>
    </xdr:to>
    <xdr:pic>
      <xdr:nvPicPr>
        <xdr:cNvPr id="459" name="Picture 54045">
          <a:extLst>
            <a:ext uri="{FF2B5EF4-FFF2-40B4-BE49-F238E27FC236}">
              <a16:creationId xmlns:a16="http://schemas.microsoft.com/office/drawing/2014/main" id="{0178541D-56E2-2147-93A5-15317E3D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30</xdr:row>
      <xdr:rowOff>39688</xdr:rowOff>
    </xdr:from>
    <xdr:to>
      <xdr:col>51</xdr:col>
      <xdr:colOff>460375</xdr:colOff>
      <xdr:row>30</xdr:row>
      <xdr:rowOff>293688</xdr:rowOff>
    </xdr:to>
    <xdr:pic>
      <xdr:nvPicPr>
        <xdr:cNvPr id="460" name="Picture 54048">
          <a:extLst>
            <a:ext uri="{FF2B5EF4-FFF2-40B4-BE49-F238E27FC236}">
              <a16:creationId xmlns:a16="http://schemas.microsoft.com/office/drawing/2014/main" id="{152BC643-F392-BD46-8F98-78300B514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30</xdr:row>
      <xdr:rowOff>39688</xdr:rowOff>
    </xdr:from>
    <xdr:to>
      <xdr:col>87</xdr:col>
      <xdr:colOff>460375</xdr:colOff>
      <xdr:row>30</xdr:row>
      <xdr:rowOff>293688</xdr:rowOff>
    </xdr:to>
    <xdr:pic>
      <xdr:nvPicPr>
        <xdr:cNvPr id="461" name="Picture 54051">
          <a:extLst>
            <a:ext uri="{FF2B5EF4-FFF2-40B4-BE49-F238E27FC236}">
              <a16:creationId xmlns:a16="http://schemas.microsoft.com/office/drawing/2014/main" id="{118A4E21-8156-B04F-982F-0297028F0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30</xdr:row>
      <xdr:rowOff>39688</xdr:rowOff>
    </xdr:from>
    <xdr:to>
      <xdr:col>63</xdr:col>
      <xdr:colOff>460375</xdr:colOff>
      <xdr:row>30</xdr:row>
      <xdr:rowOff>293688</xdr:rowOff>
    </xdr:to>
    <xdr:pic>
      <xdr:nvPicPr>
        <xdr:cNvPr id="462" name="Picture 54054">
          <a:extLst>
            <a:ext uri="{FF2B5EF4-FFF2-40B4-BE49-F238E27FC236}">
              <a16:creationId xmlns:a16="http://schemas.microsoft.com/office/drawing/2014/main" id="{0ABEC0A0-D591-FC42-ADAC-2E8A0AB6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223050</xdr:colOff>
      <xdr:row>30</xdr:row>
      <xdr:rowOff>39688</xdr:rowOff>
    </xdr:from>
    <xdr:to>
      <xdr:col>111</xdr:col>
      <xdr:colOff>443706</xdr:colOff>
      <xdr:row>30</xdr:row>
      <xdr:rowOff>293688</xdr:rowOff>
    </xdr:to>
    <xdr:pic>
      <xdr:nvPicPr>
        <xdr:cNvPr id="463" name="Picture 54057">
          <a:extLst>
            <a:ext uri="{FF2B5EF4-FFF2-40B4-BE49-F238E27FC236}">
              <a16:creationId xmlns:a16="http://schemas.microsoft.com/office/drawing/2014/main" id="{E94CF519-FB9B-774A-A950-E3CDD3FBE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05050" y="6135688"/>
          <a:ext cx="220656" cy="165100"/>
        </a:xfrm>
        <a:prstGeom prst="rect">
          <a:avLst/>
        </a:prstGeom>
      </xdr:spPr>
    </xdr:pic>
    <xdr:clientData/>
  </xdr:twoCellAnchor>
  <xdr:twoCellAnchor>
    <xdr:from>
      <xdr:col>171</xdr:col>
      <xdr:colOff>205432</xdr:colOff>
      <xdr:row>30</xdr:row>
      <xdr:rowOff>39688</xdr:rowOff>
    </xdr:from>
    <xdr:to>
      <xdr:col>171</xdr:col>
      <xdr:colOff>461328</xdr:colOff>
      <xdr:row>30</xdr:row>
      <xdr:rowOff>293688</xdr:rowOff>
    </xdr:to>
    <xdr:pic>
      <xdr:nvPicPr>
        <xdr:cNvPr id="464" name="Picture 54060">
          <a:extLst>
            <a:ext uri="{FF2B5EF4-FFF2-40B4-BE49-F238E27FC236}">
              <a16:creationId xmlns:a16="http://schemas.microsoft.com/office/drawing/2014/main" id="{40FD4916-9FFA-314E-8EF7-7BF033819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7432" y="61356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29</xdr:row>
      <xdr:rowOff>39688</xdr:rowOff>
    </xdr:from>
    <xdr:to>
      <xdr:col>135</xdr:col>
      <xdr:colOff>460375</xdr:colOff>
      <xdr:row>29</xdr:row>
      <xdr:rowOff>293688</xdr:rowOff>
    </xdr:to>
    <xdr:pic>
      <xdr:nvPicPr>
        <xdr:cNvPr id="465" name="Picture 54063">
          <a:extLst>
            <a:ext uri="{FF2B5EF4-FFF2-40B4-BE49-F238E27FC236}">
              <a16:creationId xmlns:a16="http://schemas.microsoft.com/office/drawing/2014/main" id="{236088F5-3BBA-A642-BF42-576FAD9DB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30</xdr:row>
      <xdr:rowOff>39688</xdr:rowOff>
    </xdr:from>
    <xdr:to>
      <xdr:col>195</xdr:col>
      <xdr:colOff>460375</xdr:colOff>
      <xdr:row>30</xdr:row>
      <xdr:rowOff>293688</xdr:rowOff>
    </xdr:to>
    <xdr:pic>
      <xdr:nvPicPr>
        <xdr:cNvPr id="466" name="Picture 54066">
          <a:extLst>
            <a:ext uri="{FF2B5EF4-FFF2-40B4-BE49-F238E27FC236}">
              <a16:creationId xmlns:a16="http://schemas.microsoft.com/office/drawing/2014/main" id="{D9099B68-12E6-EE41-B576-0C998A815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30</xdr:row>
      <xdr:rowOff>39688</xdr:rowOff>
    </xdr:from>
    <xdr:to>
      <xdr:col>15</xdr:col>
      <xdr:colOff>460375</xdr:colOff>
      <xdr:row>30</xdr:row>
      <xdr:rowOff>293688</xdr:rowOff>
    </xdr:to>
    <xdr:pic>
      <xdr:nvPicPr>
        <xdr:cNvPr id="467" name="Picture 54069">
          <a:extLst>
            <a:ext uri="{FF2B5EF4-FFF2-40B4-BE49-F238E27FC236}">
              <a16:creationId xmlns:a16="http://schemas.microsoft.com/office/drawing/2014/main" id="{99A973B8-ABEF-9A41-B463-5DCDAF88C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29</xdr:row>
      <xdr:rowOff>39688</xdr:rowOff>
    </xdr:from>
    <xdr:to>
      <xdr:col>27</xdr:col>
      <xdr:colOff>460375</xdr:colOff>
      <xdr:row>29</xdr:row>
      <xdr:rowOff>293688</xdr:rowOff>
    </xdr:to>
    <xdr:pic>
      <xdr:nvPicPr>
        <xdr:cNvPr id="468" name="Picture 54072">
          <a:extLst>
            <a:ext uri="{FF2B5EF4-FFF2-40B4-BE49-F238E27FC236}">
              <a16:creationId xmlns:a16="http://schemas.microsoft.com/office/drawing/2014/main" id="{89CDDD12-0858-D047-9924-A4AAA0500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30</xdr:row>
      <xdr:rowOff>39688</xdr:rowOff>
    </xdr:from>
    <xdr:to>
      <xdr:col>183</xdr:col>
      <xdr:colOff>460375</xdr:colOff>
      <xdr:row>30</xdr:row>
      <xdr:rowOff>293688</xdr:rowOff>
    </xdr:to>
    <xdr:pic>
      <xdr:nvPicPr>
        <xdr:cNvPr id="469" name="Picture 54075">
          <a:extLst>
            <a:ext uri="{FF2B5EF4-FFF2-40B4-BE49-F238E27FC236}">
              <a16:creationId xmlns:a16="http://schemas.microsoft.com/office/drawing/2014/main" id="{0F5A57C0-8F25-8547-AFDD-782C988E2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30</xdr:row>
      <xdr:rowOff>39688</xdr:rowOff>
    </xdr:from>
    <xdr:to>
      <xdr:col>75</xdr:col>
      <xdr:colOff>460375</xdr:colOff>
      <xdr:row>30</xdr:row>
      <xdr:rowOff>293688</xdr:rowOff>
    </xdr:to>
    <xdr:pic>
      <xdr:nvPicPr>
        <xdr:cNvPr id="470" name="Picture 54078">
          <a:extLst>
            <a:ext uri="{FF2B5EF4-FFF2-40B4-BE49-F238E27FC236}">
              <a16:creationId xmlns:a16="http://schemas.microsoft.com/office/drawing/2014/main" id="{FE3C378A-7D69-BE4D-B3B9-001D983F4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30</xdr:row>
      <xdr:rowOff>39688</xdr:rowOff>
    </xdr:from>
    <xdr:to>
      <xdr:col>231</xdr:col>
      <xdr:colOff>460375</xdr:colOff>
      <xdr:row>30</xdr:row>
      <xdr:rowOff>293688</xdr:rowOff>
    </xdr:to>
    <xdr:pic>
      <xdr:nvPicPr>
        <xdr:cNvPr id="471" name="Picture 54081">
          <a:extLst>
            <a:ext uri="{FF2B5EF4-FFF2-40B4-BE49-F238E27FC236}">
              <a16:creationId xmlns:a16="http://schemas.microsoft.com/office/drawing/2014/main" id="{0E6255EA-A7D1-7642-B705-FB4324F4F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30</xdr:row>
      <xdr:rowOff>39688</xdr:rowOff>
    </xdr:from>
    <xdr:to>
      <xdr:col>159</xdr:col>
      <xdr:colOff>460375</xdr:colOff>
      <xdr:row>30</xdr:row>
      <xdr:rowOff>293688</xdr:rowOff>
    </xdr:to>
    <xdr:pic>
      <xdr:nvPicPr>
        <xdr:cNvPr id="472" name="Picture 54084">
          <a:extLst>
            <a:ext uri="{FF2B5EF4-FFF2-40B4-BE49-F238E27FC236}">
              <a16:creationId xmlns:a16="http://schemas.microsoft.com/office/drawing/2014/main" id="{9F299D08-F759-CF41-B112-ABA593546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30</xdr:row>
      <xdr:rowOff>39688</xdr:rowOff>
    </xdr:from>
    <xdr:to>
      <xdr:col>219</xdr:col>
      <xdr:colOff>460375</xdr:colOff>
      <xdr:row>30</xdr:row>
      <xdr:rowOff>293688</xdr:rowOff>
    </xdr:to>
    <xdr:pic>
      <xdr:nvPicPr>
        <xdr:cNvPr id="473" name="Picture 54087">
          <a:extLst>
            <a:ext uri="{FF2B5EF4-FFF2-40B4-BE49-F238E27FC236}">
              <a16:creationId xmlns:a16="http://schemas.microsoft.com/office/drawing/2014/main" id="{9BD32CA8-4EBB-5246-9FCB-DED436F21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30</xdr:row>
      <xdr:rowOff>39688</xdr:rowOff>
    </xdr:from>
    <xdr:to>
      <xdr:col>3</xdr:col>
      <xdr:colOff>460375</xdr:colOff>
      <xdr:row>30</xdr:row>
      <xdr:rowOff>293688</xdr:rowOff>
    </xdr:to>
    <xdr:pic>
      <xdr:nvPicPr>
        <xdr:cNvPr id="474" name="Picture 54090">
          <a:extLst>
            <a:ext uri="{FF2B5EF4-FFF2-40B4-BE49-F238E27FC236}">
              <a16:creationId xmlns:a16="http://schemas.microsoft.com/office/drawing/2014/main" id="{1289E8A0-C2CD-1A48-9526-0735382AA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30</xdr:row>
      <xdr:rowOff>39688</xdr:rowOff>
    </xdr:from>
    <xdr:to>
      <xdr:col>123</xdr:col>
      <xdr:colOff>460375</xdr:colOff>
      <xdr:row>30</xdr:row>
      <xdr:rowOff>293688</xdr:rowOff>
    </xdr:to>
    <xdr:pic>
      <xdr:nvPicPr>
        <xdr:cNvPr id="475" name="Picture 54093">
          <a:extLst>
            <a:ext uri="{FF2B5EF4-FFF2-40B4-BE49-F238E27FC236}">
              <a16:creationId xmlns:a16="http://schemas.microsoft.com/office/drawing/2014/main" id="{ADD00165-0161-2E42-835B-3BA8A135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29</xdr:row>
      <xdr:rowOff>39688</xdr:rowOff>
    </xdr:from>
    <xdr:to>
      <xdr:col>39</xdr:col>
      <xdr:colOff>460375</xdr:colOff>
      <xdr:row>29</xdr:row>
      <xdr:rowOff>293688</xdr:rowOff>
    </xdr:to>
    <xdr:pic>
      <xdr:nvPicPr>
        <xdr:cNvPr id="476" name="Picture 54096">
          <a:extLst>
            <a:ext uri="{FF2B5EF4-FFF2-40B4-BE49-F238E27FC236}">
              <a16:creationId xmlns:a16="http://schemas.microsoft.com/office/drawing/2014/main" id="{7354857F-197A-044B-A2A1-017593CD6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29</xdr:row>
      <xdr:rowOff>39688</xdr:rowOff>
    </xdr:from>
    <xdr:to>
      <xdr:col>147</xdr:col>
      <xdr:colOff>460375</xdr:colOff>
      <xdr:row>29</xdr:row>
      <xdr:rowOff>293688</xdr:rowOff>
    </xdr:to>
    <xdr:pic>
      <xdr:nvPicPr>
        <xdr:cNvPr id="477" name="Picture 54099">
          <a:extLst>
            <a:ext uri="{FF2B5EF4-FFF2-40B4-BE49-F238E27FC236}">
              <a16:creationId xmlns:a16="http://schemas.microsoft.com/office/drawing/2014/main" id="{1F67271D-9DA7-0E41-8388-45DE42DF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5932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30</xdr:row>
      <xdr:rowOff>39688</xdr:rowOff>
    </xdr:from>
    <xdr:to>
      <xdr:col>147</xdr:col>
      <xdr:colOff>460375</xdr:colOff>
      <xdr:row>30</xdr:row>
      <xdr:rowOff>293688</xdr:rowOff>
    </xdr:to>
    <xdr:pic>
      <xdr:nvPicPr>
        <xdr:cNvPr id="478" name="Picture 54102">
          <a:extLst>
            <a:ext uri="{FF2B5EF4-FFF2-40B4-BE49-F238E27FC236}">
              <a16:creationId xmlns:a16="http://schemas.microsoft.com/office/drawing/2014/main" id="{6123C910-7DF4-D14F-A54A-942B825F9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31</xdr:row>
      <xdr:rowOff>39688</xdr:rowOff>
    </xdr:from>
    <xdr:to>
      <xdr:col>99</xdr:col>
      <xdr:colOff>460375</xdr:colOff>
      <xdr:row>31</xdr:row>
      <xdr:rowOff>293688</xdr:rowOff>
    </xdr:to>
    <xdr:pic>
      <xdr:nvPicPr>
        <xdr:cNvPr id="479" name="Picture 54105">
          <a:extLst>
            <a:ext uri="{FF2B5EF4-FFF2-40B4-BE49-F238E27FC236}">
              <a16:creationId xmlns:a16="http://schemas.microsoft.com/office/drawing/2014/main" id="{D961106B-F0C0-884C-BCBF-97E19AD6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31</xdr:row>
      <xdr:rowOff>39688</xdr:rowOff>
    </xdr:from>
    <xdr:to>
      <xdr:col>111</xdr:col>
      <xdr:colOff>460375</xdr:colOff>
      <xdr:row>31</xdr:row>
      <xdr:rowOff>293688</xdr:rowOff>
    </xdr:to>
    <xdr:pic>
      <xdr:nvPicPr>
        <xdr:cNvPr id="480" name="Picture 54108">
          <a:extLst>
            <a:ext uri="{FF2B5EF4-FFF2-40B4-BE49-F238E27FC236}">
              <a16:creationId xmlns:a16="http://schemas.microsoft.com/office/drawing/2014/main" id="{952B2E77-EB46-9B45-9CCF-32BF0530C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30</xdr:row>
      <xdr:rowOff>39688</xdr:rowOff>
    </xdr:from>
    <xdr:to>
      <xdr:col>27</xdr:col>
      <xdr:colOff>460375</xdr:colOff>
      <xdr:row>30</xdr:row>
      <xdr:rowOff>293688</xdr:rowOff>
    </xdr:to>
    <xdr:pic>
      <xdr:nvPicPr>
        <xdr:cNvPr id="481" name="Picture 54111">
          <a:extLst>
            <a:ext uri="{FF2B5EF4-FFF2-40B4-BE49-F238E27FC236}">
              <a16:creationId xmlns:a16="http://schemas.microsoft.com/office/drawing/2014/main" id="{9F67D159-05EC-F34D-8DE4-667B68D0D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223050</xdr:colOff>
      <xdr:row>31</xdr:row>
      <xdr:rowOff>39688</xdr:rowOff>
    </xdr:from>
    <xdr:to>
      <xdr:col>123</xdr:col>
      <xdr:colOff>443706</xdr:colOff>
      <xdr:row>31</xdr:row>
      <xdr:rowOff>293688</xdr:rowOff>
    </xdr:to>
    <xdr:pic>
      <xdr:nvPicPr>
        <xdr:cNvPr id="482" name="Picture 54114">
          <a:extLst>
            <a:ext uri="{FF2B5EF4-FFF2-40B4-BE49-F238E27FC236}">
              <a16:creationId xmlns:a16="http://schemas.microsoft.com/office/drawing/2014/main" id="{948C9561-370A-4149-B848-96AB799E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49050" y="6338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31</xdr:row>
      <xdr:rowOff>39688</xdr:rowOff>
    </xdr:from>
    <xdr:to>
      <xdr:col>63</xdr:col>
      <xdr:colOff>460375</xdr:colOff>
      <xdr:row>31</xdr:row>
      <xdr:rowOff>293688</xdr:rowOff>
    </xdr:to>
    <xdr:pic>
      <xdr:nvPicPr>
        <xdr:cNvPr id="483" name="Picture 54117">
          <a:extLst>
            <a:ext uri="{FF2B5EF4-FFF2-40B4-BE49-F238E27FC236}">
              <a16:creationId xmlns:a16="http://schemas.microsoft.com/office/drawing/2014/main" id="{10B4B4FC-2B86-134A-A14F-DC4143A39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30</xdr:row>
      <xdr:rowOff>39688</xdr:rowOff>
    </xdr:from>
    <xdr:to>
      <xdr:col>135</xdr:col>
      <xdr:colOff>460375</xdr:colOff>
      <xdr:row>30</xdr:row>
      <xdr:rowOff>293688</xdr:rowOff>
    </xdr:to>
    <xdr:pic>
      <xdr:nvPicPr>
        <xdr:cNvPr id="484" name="Picture 54120">
          <a:extLst>
            <a:ext uri="{FF2B5EF4-FFF2-40B4-BE49-F238E27FC236}">
              <a16:creationId xmlns:a16="http://schemas.microsoft.com/office/drawing/2014/main" id="{389F088C-9337-BD4D-AF5E-181AC6808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205432</xdr:colOff>
      <xdr:row>31</xdr:row>
      <xdr:rowOff>39688</xdr:rowOff>
    </xdr:from>
    <xdr:to>
      <xdr:col>195</xdr:col>
      <xdr:colOff>461328</xdr:colOff>
      <xdr:row>31</xdr:row>
      <xdr:rowOff>293688</xdr:rowOff>
    </xdr:to>
    <xdr:pic>
      <xdr:nvPicPr>
        <xdr:cNvPr id="485" name="Picture 54123">
          <a:extLst>
            <a:ext uri="{FF2B5EF4-FFF2-40B4-BE49-F238E27FC236}">
              <a16:creationId xmlns:a16="http://schemas.microsoft.com/office/drawing/2014/main" id="{8D94EBCD-6C16-3F4E-856D-958DE236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5432" y="6338888"/>
          <a:ext cx="255896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31</xdr:row>
      <xdr:rowOff>39688</xdr:rowOff>
    </xdr:from>
    <xdr:to>
      <xdr:col>207</xdr:col>
      <xdr:colOff>460375</xdr:colOff>
      <xdr:row>31</xdr:row>
      <xdr:rowOff>293688</xdr:rowOff>
    </xdr:to>
    <xdr:pic>
      <xdr:nvPicPr>
        <xdr:cNvPr id="486" name="Picture 54126">
          <a:extLst>
            <a:ext uri="{FF2B5EF4-FFF2-40B4-BE49-F238E27FC236}">
              <a16:creationId xmlns:a16="http://schemas.microsoft.com/office/drawing/2014/main" id="{6979845F-0B7A-894E-92DD-709D491D9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31</xdr:row>
      <xdr:rowOff>39688</xdr:rowOff>
    </xdr:from>
    <xdr:to>
      <xdr:col>51</xdr:col>
      <xdr:colOff>460375</xdr:colOff>
      <xdr:row>31</xdr:row>
      <xdr:rowOff>293688</xdr:rowOff>
    </xdr:to>
    <xdr:pic>
      <xdr:nvPicPr>
        <xdr:cNvPr id="487" name="Picture 54129">
          <a:extLst>
            <a:ext uri="{FF2B5EF4-FFF2-40B4-BE49-F238E27FC236}">
              <a16:creationId xmlns:a16="http://schemas.microsoft.com/office/drawing/2014/main" id="{78A691C7-8178-1D46-9D78-7E119218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31</xdr:row>
      <xdr:rowOff>39688</xdr:rowOff>
    </xdr:from>
    <xdr:to>
      <xdr:col>231</xdr:col>
      <xdr:colOff>460375</xdr:colOff>
      <xdr:row>31</xdr:row>
      <xdr:rowOff>293688</xdr:rowOff>
    </xdr:to>
    <xdr:pic>
      <xdr:nvPicPr>
        <xdr:cNvPr id="488" name="Picture 54132">
          <a:extLst>
            <a:ext uri="{FF2B5EF4-FFF2-40B4-BE49-F238E27FC236}">
              <a16:creationId xmlns:a16="http://schemas.microsoft.com/office/drawing/2014/main" id="{0161B781-5B64-FE42-A5D2-2E775A02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30</xdr:row>
      <xdr:rowOff>39688</xdr:rowOff>
    </xdr:from>
    <xdr:to>
      <xdr:col>39</xdr:col>
      <xdr:colOff>460375</xdr:colOff>
      <xdr:row>30</xdr:row>
      <xdr:rowOff>293688</xdr:rowOff>
    </xdr:to>
    <xdr:pic>
      <xdr:nvPicPr>
        <xdr:cNvPr id="489" name="Picture 54135">
          <a:extLst>
            <a:ext uri="{FF2B5EF4-FFF2-40B4-BE49-F238E27FC236}">
              <a16:creationId xmlns:a16="http://schemas.microsoft.com/office/drawing/2014/main" id="{9E9F835A-A33A-A04A-AB3E-69F43CB98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6135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31</xdr:row>
      <xdr:rowOff>39688</xdr:rowOff>
    </xdr:from>
    <xdr:to>
      <xdr:col>183</xdr:col>
      <xdr:colOff>460375</xdr:colOff>
      <xdr:row>31</xdr:row>
      <xdr:rowOff>293688</xdr:rowOff>
    </xdr:to>
    <xdr:pic>
      <xdr:nvPicPr>
        <xdr:cNvPr id="490" name="Picture 54138">
          <a:extLst>
            <a:ext uri="{FF2B5EF4-FFF2-40B4-BE49-F238E27FC236}">
              <a16:creationId xmlns:a16="http://schemas.microsoft.com/office/drawing/2014/main" id="{E74C24D2-D90D-7B48-A623-4D491110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31</xdr:row>
      <xdr:rowOff>39688</xdr:rowOff>
    </xdr:from>
    <xdr:to>
      <xdr:col>171</xdr:col>
      <xdr:colOff>460375</xdr:colOff>
      <xdr:row>31</xdr:row>
      <xdr:rowOff>293688</xdr:rowOff>
    </xdr:to>
    <xdr:pic>
      <xdr:nvPicPr>
        <xdr:cNvPr id="491" name="Picture 54141">
          <a:extLst>
            <a:ext uri="{FF2B5EF4-FFF2-40B4-BE49-F238E27FC236}">
              <a16:creationId xmlns:a16="http://schemas.microsoft.com/office/drawing/2014/main" id="{D71996BD-ACFF-FD49-81F0-9A08F0B7B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31</xdr:row>
      <xdr:rowOff>39688</xdr:rowOff>
    </xdr:from>
    <xdr:to>
      <xdr:col>219</xdr:col>
      <xdr:colOff>460375</xdr:colOff>
      <xdr:row>31</xdr:row>
      <xdr:rowOff>293688</xdr:rowOff>
    </xdr:to>
    <xdr:pic>
      <xdr:nvPicPr>
        <xdr:cNvPr id="492" name="Picture 54144">
          <a:extLst>
            <a:ext uri="{FF2B5EF4-FFF2-40B4-BE49-F238E27FC236}">
              <a16:creationId xmlns:a16="http://schemas.microsoft.com/office/drawing/2014/main" id="{F46B8DE2-94F4-A945-9C81-04EA9499A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31</xdr:row>
      <xdr:rowOff>39688</xdr:rowOff>
    </xdr:from>
    <xdr:to>
      <xdr:col>3</xdr:col>
      <xdr:colOff>460375</xdr:colOff>
      <xdr:row>31</xdr:row>
      <xdr:rowOff>293688</xdr:rowOff>
    </xdr:to>
    <xdr:pic>
      <xdr:nvPicPr>
        <xdr:cNvPr id="493" name="Picture 54147">
          <a:extLst>
            <a:ext uri="{FF2B5EF4-FFF2-40B4-BE49-F238E27FC236}">
              <a16:creationId xmlns:a16="http://schemas.microsoft.com/office/drawing/2014/main" id="{7AF28074-BCE5-3E49-A8EC-2BCBD7A5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31</xdr:row>
      <xdr:rowOff>39688</xdr:rowOff>
    </xdr:from>
    <xdr:to>
      <xdr:col>15</xdr:col>
      <xdr:colOff>460375</xdr:colOff>
      <xdr:row>31</xdr:row>
      <xdr:rowOff>293688</xdr:rowOff>
    </xdr:to>
    <xdr:pic>
      <xdr:nvPicPr>
        <xdr:cNvPr id="494" name="Picture 54150">
          <a:extLst>
            <a:ext uri="{FF2B5EF4-FFF2-40B4-BE49-F238E27FC236}">
              <a16:creationId xmlns:a16="http://schemas.microsoft.com/office/drawing/2014/main" id="{288ECE48-B8C7-0B4E-BD81-F090F3EB8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31</xdr:row>
      <xdr:rowOff>39688</xdr:rowOff>
    </xdr:from>
    <xdr:to>
      <xdr:col>159</xdr:col>
      <xdr:colOff>460375</xdr:colOff>
      <xdr:row>31</xdr:row>
      <xdr:rowOff>293688</xdr:rowOff>
    </xdr:to>
    <xdr:pic>
      <xdr:nvPicPr>
        <xdr:cNvPr id="495" name="Picture 54153">
          <a:extLst>
            <a:ext uri="{FF2B5EF4-FFF2-40B4-BE49-F238E27FC236}">
              <a16:creationId xmlns:a16="http://schemas.microsoft.com/office/drawing/2014/main" id="{193961C6-3A3D-7F41-B62C-EE3D4F82D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31</xdr:row>
      <xdr:rowOff>39688</xdr:rowOff>
    </xdr:from>
    <xdr:to>
      <xdr:col>87</xdr:col>
      <xdr:colOff>460375</xdr:colOff>
      <xdr:row>31</xdr:row>
      <xdr:rowOff>293688</xdr:rowOff>
    </xdr:to>
    <xdr:pic>
      <xdr:nvPicPr>
        <xdr:cNvPr id="496" name="Picture 54156">
          <a:extLst>
            <a:ext uri="{FF2B5EF4-FFF2-40B4-BE49-F238E27FC236}">
              <a16:creationId xmlns:a16="http://schemas.microsoft.com/office/drawing/2014/main" id="{FB335A9A-C331-5743-8CE6-16D7F4C9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31</xdr:row>
      <xdr:rowOff>39688</xdr:rowOff>
    </xdr:from>
    <xdr:to>
      <xdr:col>75</xdr:col>
      <xdr:colOff>460375</xdr:colOff>
      <xdr:row>31</xdr:row>
      <xdr:rowOff>293688</xdr:rowOff>
    </xdr:to>
    <xdr:pic>
      <xdr:nvPicPr>
        <xdr:cNvPr id="497" name="Picture 54159">
          <a:extLst>
            <a:ext uri="{FF2B5EF4-FFF2-40B4-BE49-F238E27FC236}">
              <a16:creationId xmlns:a16="http://schemas.microsoft.com/office/drawing/2014/main" id="{98C942FA-0D4E-A144-8657-3A8ED6ECD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31</xdr:row>
      <xdr:rowOff>39688</xdr:rowOff>
    </xdr:from>
    <xdr:to>
      <xdr:col>39</xdr:col>
      <xdr:colOff>460375</xdr:colOff>
      <xdr:row>31</xdr:row>
      <xdr:rowOff>293688</xdr:rowOff>
    </xdr:to>
    <xdr:pic>
      <xdr:nvPicPr>
        <xdr:cNvPr id="498" name="Picture 54162">
          <a:extLst>
            <a:ext uri="{FF2B5EF4-FFF2-40B4-BE49-F238E27FC236}">
              <a16:creationId xmlns:a16="http://schemas.microsoft.com/office/drawing/2014/main" id="{F423B3AE-ABED-E540-A599-6E59E6708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32</xdr:row>
      <xdr:rowOff>39688</xdr:rowOff>
    </xdr:from>
    <xdr:to>
      <xdr:col>123</xdr:col>
      <xdr:colOff>460375</xdr:colOff>
      <xdr:row>32</xdr:row>
      <xdr:rowOff>293688</xdr:rowOff>
    </xdr:to>
    <xdr:pic>
      <xdr:nvPicPr>
        <xdr:cNvPr id="499" name="Picture 54165">
          <a:extLst>
            <a:ext uri="{FF2B5EF4-FFF2-40B4-BE49-F238E27FC236}">
              <a16:creationId xmlns:a16="http://schemas.microsoft.com/office/drawing/2014/main" id="{D784C4CB-6544-3943-B404-3736132A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32</xdr:row>
      <xdr:rowOff>39688</xdr:rowOff>
    </xdr:from>
    <xdr:to>
      <xdr:col>63</xdr:col>
      <xdr:colOff>460375</xdr:colOff>
      <xdr:row>32</xdr:row>
      <xdr:rowOff>293688</xdr:rowOff>
    </xdr:to>
    <xdr:pic>
      <xdr:nvPicPr>
        <xdr:cNvPr id="500" name="Picture 54168">
          <a:extLst>
            <a:ext uri="{FF2B5EF4-FFF2-40B4-BE49-F238E27FC236}">
              <a16:creationId xmlns:a16="http://schemas.microsoft.com/office/drawing/2014/main" id="{2397B490-18B3-7A46-A036-332B23573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223047</xdr:colOff>
      <xdr:row>32</xdr:row>
      <xdr:rowOff>39688</xdr:rowOff>
    </xdr:from>
    <xdr:to>
      <xdr:col>3</xdr:col>
      <xdr:colOff>443703</xdr:colOff>
      <xdr:row>32</xdr:row>
      <xdr:rowOff>293688</xdr:rowOff>
    </xdr:to>
    <xdr:pic>
      <xdr:nvPicPr>
        <xdr:cNvPr id="501" name="Picture 54171">
          <a:extLst>
            <a:ext uri="{FF2B5EF4-FFF2-40B4-BE49-F238E27FC236}">
              <a16:creationId xmlns:a16="http://schemas.microsoft.com/office/drawing/2014/main" id="{3AF3503A-A604-F048-9CE6-5C1455FC9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9047" y="6542088"/>
          <a:ext cx="220656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32</xdr:row>
      <xdr:rowOff>39688</xdr:rowOff>
    </xdr:from>
    <xdr:to>
      <xdr:col>111</xdr:col>
      <xdr:colOff>460375</xdr:colOff>
      <xdr:row>32</xdr:row>
      <xdr:rowOff>293688</xdr:rowOff>
    </xdr:to>
    <xdr:pic>
      <xdr:nvPicPr>
        <xdr:cNvPr id="502" name="Picture 54174">
          <a:extLst>
            <a:ext uri="{FF2B5EF4-FFF2-40B4-BE49-F238E27FC236}">
              <a16:creationId xmlns:a16="http://schemas.microsoft.com/office/drawing/2014/main" id="{B118C5D4-6BAF-2244-B302-7C5483E9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32</xdr:row>
      <xdr:rowOff>39688</xdr:rowOff>
    </xdr:from>
    <xdr:to>
      <xdr:col>15</xdr:col>
      <xdr:colOff>460375</xdr:colOff>
      <xdr:row>32</xdr:row>
      <xdr:rowOff>293688</xdr:rowOff>
    </xdr:to>
    <xdr:pic>
      <xdr:nvPicPr>
        <xdr:cNvPr id="503" name="Picture 54177">
          <a:extLst>
            <a:ext uri="{FF2B5EF4-FFF2-40B4-BE49-F238E27FC236}">
              <a16:creationId xmlns:a16="http://schemas.microsoft.com/office/drawing/2014/main" id="{74C4D649-7BD8-F246-95C9-D3B39EF5C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32</xdr:row>
      <xdr:rowOff>39688</xdr:rowOff>
    </xdr:from>
    <xdr:to>
      <xdr:col>171</xdr:col>
      <xdr:colOff>460375</xdr:colOff>
      <xdr:row>32</xdr:row>
      <xdr:rowOff>293688</xdr:rowOff>
    </xdr:to>
    <xdr:pic>
      <xdr:nvPicPr>
        <xdr:cNvPr id="504" name="Picture 54180">
          <a:extLst>
            <a:ext uri="{FF2B5EF4-FFF2-40B4-BE49-F238E27FC236}">
              <a16:creationId xmlns:a16="http://schemas.microsoft.com/office/drawing/2014/main" id="{09C430EB-CCC9-5040-A098-E8A73B48F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31</xdr:row>
      <xdr:rowOff>39688</xdr:rowOff>
    </xdr:from>
    <xdr:to>
      <xdr:col>27</xdr:col>
      <xdr:colOff>460375</xdr:colOff>
      <xdr:row>31</xdr:row>
      <xdr:rowOff>293688</xdr:rowOff>
    </xdr:to>
    <xdr:pic>
      <xdr:nvPicPr>
        <xdr:cNvPr id="505" name="Picture 54183">
          <a:extLst>
            <a:ext uri="{FF2B5EF4-FFF2-40B4-BE49-F238E27FC236}">
              <a16:creationId xmlns:a16="http://schemas.microsoft.com/office/drawing/2014/main" id="{B2DCEE54-4DD3-F64F-B6BA-1D4FD4621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32</xdr:row>
      <xdr:rowOff>39688</xdr:rowOff>
    </xdr:from>
    <xdr:to>
      <xdr:col>183</xdr:col>
      <xdr:colOff>460375</xdr:colOff>
      <xdr:row>32</xdr:row>
      <xdr:rowOff>293688</xdr:rowOff>
    </xdr:to>
    <xdr:pic>
      <xdr:nvPicPr>
        <xdr:cNvPr id="506" name="Picture 54186">
          <a:extLst>
            <a:ext uri="{FF2B5EF4-FFF2-40B4-BE49-F238E27FC236}">
              <a16:creationId xmlns:a16="http://schemas.microsoft.com/office/drawing/2014/main" id="{3C301C55-5485-CE4C-9113-CA2F9A07B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32</xdr:row>
      <xdr:rowOff>39688</xdr:rowOff>
    </xdr:from>
    <xdr:to>
      <xdr:col>219</xdr:col>
      <xdr:colOff>460375</xdr:colOff>
      <xdr:row>32</xdr:row>
      <xdr:rowOff>293688</xdr:rowOff>
    </xdr:to>
    <xdr:pic>
      <xdr:nvPicPr>
        <xdr:cNvPr id="507" name="Picture 54189">
          <a:extLst>
            <a:ext uri="{FF2B5EF4-FFF2-40B4-BE49-F238E27FC236}">
              <a16:creationId xmlns:a16="http://schemas.microsoft.com/office/drawing/2014/main" id="{67803E43-F6E1-0B40-8AA1-35D79817F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32</xdr:row>
      <xdr:rowOff>39688</xdr:rowOff>
    </xdr:from>
    <xdr:to>
      <xdr:col>207</xdr:col>
      <xdr:colOff>460375</xdr:colOff>
      <xdr:row>32</xdr:row>
      <xdr:rowOff>293688</xdr:rowOff>
    </xdr:to>
    <xdr:pic>
      <xdr:nvPicPr>
        <xdr:cNvPr id="508" name="Picture 54192">
          <a:extLst>
            <a:ext uri="{FF2B5EF4-FFF2-40B4-BE49-F238E27FC236}">
              <a16:creationId xmlns:a16="http://schemas.microsoft.com/office/drawing/2014/main" id="{06BC1B5B-0ADA-B045-9787-E94996E5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32</xdr:row>
      <xdr:rowOff>39688</xdr:rowOff>
    </xdr:from>
    <xdr:to>
      <xdr:col>231</xdr:col>
      <xdr:colOff>460375</xdr:colOff>
      <xdr:row>32</xdr:row>
      <xdr:rowOff>293688</xdr:rowOff>
    </xdr:to>
    <xdr:pic>
      <xdr:nvPicPr>
        <xdr:cNvPr id="509" name="Picture 54195">
          <a:extLst>
            <a:ext uri="{FF2B5EF4-FFF2-40B4-BE49-F238E27FC236}">
              <a16:creationId xmlns:a16="http://schemas.microsoft.com/office/drawing/2014/main" id="{112F147B-D8E9-B644-A849-D173F908A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31</xdr:row>
      <xdr:rowOff>39688</xdr:rowOff>
    </xdr:from>
    <xdr:to>
      <xdr:col>147</xdr:col>
      <xdr:colOff>460375</xdr:colOff>
      <xdr:row>31</xdr:row>
      <xdr:rowOff>293688</xdr:rowOff>
    </xdr:to>
    <xdr:pic>
      <xdr:nvPicPr>
        <xdr:cNvPr id="510" name="Picture 54198">
          <a:extLst>
            <a:ext uri="{FF2B5EF4-FFF2-40B4-BE49-F238E27FC236}">
              <a16:creationId xmlns:a16="http://schemas.microsoft.com/office/drawing/2014/main" id="{E8C697A6-EC11-D141-9B3E-0D69463BF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32</xdr:row>
      <xdr:rowOff>39688</xdr:rowOff>
    </xdr:from>
    <xdr:to>
      <xdr:col>75</xdr:col>
      <xdr:colOff>460375</xdr:colOff>
      <xdr:row>32</xdr:row>
      <xdr:rowOff>293688</xdr:rowOff>
    </xdr:to>
    <xdr:pic>
      <xdr:nvPicPr>
        <xdr:cNvPr id="511" name="Picture 54201">
          <a:extLst>
            <a:ext uri="{FF2B5EF4-FFF2-40B4-BE49-F238E27FC236}">
              <a16:creationId xmlns:a16="http://schemas.microsoft.com/office/drawing/2014/main" id="{E2860D1F-3F15-0F4D-BDCC-C03859F13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32</xdr:row>
      <xdr:rowOff>39688</xdr:rowOff>
    </xdr:from>
    <xdr:to>
      <xdr:col>195</xdr:col>
      <xdr:colOff>460375</xdr:colOff>
      <xdr:row>32</xdr:row>
      <xdr:rowOff>293688</xdr:rowOff>
    </xdr:to>
    <xdr:pic>
      <xdr:nvPicPr>
        <xdr:cNvPr id="512" name="Picture 54204">
          <a:extLst>
            <a:ext uri="{FF2B5EF4-FFF2-40B4-BE49-F238E27FC236}">
              <a16:creationId xmlns:a16="http://schemas.microsoft.com/office/drawing/2014/main" id="{196EE681-35BB-7F40-99C0-BE2CCBF6F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32</xdr:row>
      <xdr:rowOff>39688</xdr:rowOff>
    </xdr:from>
    <xdr:to>
      <xdr:col>51</xdr:col>
      <xdr:colOff>460375</xdr:colOff>
      <xdr:row>32</xdr:row>
      <xdr:rowOff>293688</xdr:rowOff>
    </xdr:to>
    <xdr:pic>
      <xdr:nvPicPr>
        <xdr:cNvPr id="513" name="Picture 54207">
          <a:extLst>
            <a:ext uri="{FF2B5EF4-FFF2-40B4-BE49-F238E27FC236}">
              <a16:creationId xmlns:a16="http://schemas.microsoft.com/office/drawing/2014/main" id="{40BEC326-DC9A-C947-94A8-CFE4E4DAD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31</xdr:row>
      <xdr:rowOff>39688</xdr:rowOff>
    </xdr:from>
    <xdr:to>
      <xdr:col>135</xdr:col>
      <xdr:colOff>460375</xdr:colOff>
      <xdr:row>31</xdr:row>
      <xdr:rowOff>293688</xdr:rowOff>
    </xdr:to>
    <xdr:pic>
      <xdr:nvPicPr>
        <xdr:cNvPr id="514" name="Picture 54210">
          <a:extLst>
            <a:ext uri="{FF2B5EF4-FFF2-40B4-BE49-F238E27FC236}">
              <a16:creationId xmlns:a16="http://schemas.microsoft.com/office/drawing/2014/main" id="{404810E4-4E1E-BC47-846C-B38A9DEE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6338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205426</xdr:colOff>
      <xdr:row>32</xdr:row>
      <xdr:rowOff>39688</xdr:rowOff>
    </xdr:from>
    <xdr:to>
      <xdr:col>159</xdr:col>
      <xdr:colOff>461322</xdr:colOff>
      <xdr:row>32</xdr:row>
      <xdr:rowOff>293688</xdr:rowOff>
    </xdr:to>
    <xdr:pic>
      <xdr:nvPicPr>
        <xdr:cNvPr id="515" name="Picture 54213">
          <a:extLst>
            <a:ext uri="{FF2B5EF4-FFF2-40B4-BE49-F238E27FC236}">
              <a16:creationId xmlns:a16="http://schemas.microsoft.com/office/drawing/2014/main" id="{45012EE1-7760-D14F-A56D-A84736DAE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3426" y="6542088"/>
          <a:ext cx="255896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32</xdr:row>
      <xdr:rowOff>39688</xdr:rowOff>
    </xdr:from>
    <xdr:to>
      <xdr:col>99</xdr:col>
      <xdr:colOff>460375</xdr:colOff>
      <xdr:row>32</xdr:row>
      <xdr:rowOff>293688</xdr:rowOff>
    </xdr:to>
    <xdr:pic>
      <xdr:nvPicPr>
        <xdr:cNvPr id="516" name="Picture 54216">
          <a:extLst>
            <a:ext uri="{FF2B5EF4-FFF2-40B4-BE49-F238E27FC236}">
              <a16:creationId xmlns:a16="http://schemas.microsoft.com/office/drawing/2014/main" id="{4506D473-E5C0-984B-B07A-86959AA6A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32</xdr:row>
      <xdr:rowOff>39688</xdr:rowOff>
    </xdr:from>
    <xdr:to>
      <xdr:col>87</xdr:col>
      <xdr:colOff>460375</xdr:colOff>
      <xdr:row>32</xdr:row>
      <xdr:rowOff>293688</xdr:rowOff>
    </xdr:to>
    <xdr:pic>
      <xdr:nvPicPr>
        <xdr:cNvPr id="517" name="Picture 54219">
          <a:extLst>
            <a:ext uri="{FF2B5EF4-FFF2-40B4-BE49-F238E27FC236}">
              <a16:creationId xmlns:a16="http://schemas.microsoft.com/office/drawing/2014/main" id="{085562C0-5E4A-3940-AD85-49EBDC79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32</xdr:row>
      <xdr:rowOff>39688</xdr:rowOff>
    </xdr:from>
    <xdr:to>
      <xdr:col>147</xdr:col>
      <xdr:colOff>460375</xdr:colOff>
      <xdr:row>32</xdr:row>
      <xdr:rowOff>293688</xdr:rowOff>
    </xdr:to>
    <xdr:pic>
      <xdr:nvPicPr>
        <xdr:cNvPr id="518" name="Picture 54221">
          <a:extLst>
            <a:ext uri="{FF2B5EF4-FFF2-40B4-BE49-F238E27FC236}">
              <a16:creationId xmlns:a16="http://schemas.microsoft.com/office/drawing/2014/main" id="{A91B8FC6-1451-4846-B4B2-C20F66099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32</xdr:row>
      <xdr:rowOff>39688</xdr:rowOff>
    </xdr:from>
    <xdr:to>
      <xdr:col>39</xdr:col>
      <xdr:colOff>460375</xdr:colOff>
      <xdr:row>32</xdr:row>
      <xdr:rowOff>293688</xdr:rowOff>
    </xdr:to>
    <xdr:pic>
      <xdr:nvPicPr>
        <xdr:cNvPr id="519" name="Picture 54223">
          <a:extLst>
            <a:ext uri="{FF2B5EF4-FFF2-40B4-BE49-F238E27FC236}">
              <a16:creationId xmlns:a16="http://schemas.microsoft.com/office/drawing/2014/main" id="{92DAEB73-5F98-724E-B7A0-6393668D4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205426</xdr:colOff>
      <xdr:row>33</xdr:row>
      <xdr:rowOff>39688</xdr:rowOff>
    </xdr:from>
    <xdr:to>
      <xdr:col>123</xdr:col>
      <xdr:colOff>461322</xdr:colOff>
      <xdr:row>33</xdr:row>
      <xdr:rowOff>293688</xdr:rowOff>
    </xdr:to>
    <xdr:pic>
      <xdr:nvPicPr>
        <xdr:cNvPr id="520" name="Picture 54225">
          <a:extLst>
            <a:ext uri="{FF2B5EF4-FFF2-40B4-BE49-F238E27FC236}">
              <a16:creationId xmlns:a16="http://schemas.microsoft.com/office/drawing/2014/main" id="{66135585-B334-3143-B8CF-661EA56D5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1426" y="67452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32</xdr:row>
      <xdr:rowOff>39688</xdr:rowOff>
    </xdr:from>
    <xdr:to>
      <xdr:col>135</xdr:col>
      <xdr:colOff>460375</xdr:colOff>
      <xdr:row>32</xdr:row>
      <xdr:rowOff>293688</xdr:rowOff>
    </xdr:to>
    <xdr:pic>
      <xdr:nvPicPr>
        <xdr:cNvPr id="521" name="Picture 54227">
          <a:extLst>
            <a:ext uri="{FF2B5EF4-FFF2-40B4-BE49-F238E27FC236}">
              <a16:creationId xmlns:a16="http://schemas.microsoft.com/office/drawing/2014/main" id="{49BBD0A0-B51D-A042-8248-F0D034118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33</xdr:row>
      <xdr:rowOff>39688</xdr:rowOff>
    </xdr:from>
    <xdr:to>
      <xdr:col>15</xdr:col>
      <xdr:colOff>460375</xdr:colOff>
      <xdr:row>33</xdr:row>
      <xdr:rowOff>293688</xdr:rowOff>
    </xdr:to>
    <xdr:pic>
      <xdr:nvPicPr>
        <xdr:cNvPr id="522" name="Picture 54229">
          <a:extLst>
            <a:ext uri="{FF2B5EF4-FFF2-40B4-BE49-F238E27FC236}">
              <a16:creationId xmlns:a16="http://schemas.microsoft.com/office/drawing/2014/main" id="{DDE6028E-9F23-3D49-88AD-EFCD5ACE3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33</xdr:row>
      <xdr:rowOff>39688</xdr:rowOff>
    </xdr:from>
    <xdr:to>
      <xdr:col>183</xdr:col>
      <xdr:colOff>460375</xdr:colOff>
      <xdr:row>33</xdr:row>
      <xdr:rowOff>293688</xdr:rowOff>
    </xdr:to>
    <xdr:pic>
      <xdr:nvPicPr>
        <xdr:cNvPr id="523" name="Picture 54231">
          <a:extLst>
            <a:ext uri="{FF2B5EF4-FFF2-40B4-BE49-F238E27FC236}">
              <a16:creationId xmlns:a16="http://schemas.microsoft.com/office/drawing/2014/main" id="{EA23019C-D1E8-7643-8E31-5C3C54BFD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33</xdr:row>
      <xdr:rowOff>39688</xdr:rowOff>
    </xdr:from>
    <xdr:to>
      <xdr:col>51</xdr:col>
      <xdr:colOff>460375</xdr:colOff>
      <xdr:row>33</xdr:row>
      <xdr:rowOff>293688</xdr:rowOff>
    </xdr:to>
    <xdr:pic>
      <xdr:nvPicPr>
        <xdr:cNvPr id="524" name="Picture 54233">
          <a:extLst>
            <a:ext uri="{FF2B5EF4-FFF2-40B4-BE49-F238E27FC236}">
              <a16:creationId xmlns:a16="http://schemas.microsoft.com/office/drawing/2014/main" id="{9F73404D-E914-EA40-9A5F-9E376CF2C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33</xdr:row>
      <xdr:rowOff>39688</xdr:rowOff>
    </xdr:from>
    <xdr:to>
      <xdr:col>99</xdr:col>
      <xdr:colOff>460375</xdr:colOff>
      <xdr:row>33</xdr:row>
      <xdr:rowOff>293688</xdr:rowOff>
    </xdr:to>
    <xdr:pic>
      <xdr:nvPicPr>
        <xdr:cNvPr id="525" name="Picture 54235">
          <a:extLst>
            <a:ext uri="{FF2B5EF4-FFF2-40B4-BE49-F238E27FC236}">
              <a16:creationId xmlns:a16="http://schemas.microsoft.com/office/drawing/2014/main" id="{7FBD1509-7DEB-B743-AFBE-7CEEC698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223050</xdr:colOff>
      <xdr:row>33</xdr:row>
      <xdr:rowOff>39688</xdr:rowOff>
    </xdr:from>
    <xdr:to>
      <xdr:col>87</xdr:col>
      <xdr:colOff>443706</xdr:colOff>
      <xdr:row>33</xdr:row>
      <xdr:rowOff>293688</xdr:rowOff>
    </xdr:to>
    <xdr:pic>
      <xdr:nvPicPr>
        <xdr:cNvPr id="526" name="Picture 54237">
          <a:extLst>
            <a:ext uri="{FF2B5EF4-FFF2-40B4-BE49-F238E27FC236}">
              <a16:creationId xmlns:a16="http://schemas.microsoft.com/office/drawing/2014/main" id="{67597DAC-6EEF-044D-A9E4-02139A6A6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7050" y="67452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33</xdr:row>
      <xdr:rowOff>39688</xdr:rowOff>
    </xdr:from>
    <xdr:to>
      <xdr:col>63</xdr:col>
      <xdr:colOff>460375</xdr:colOff>
      <xdr:row>33</xdr:row>
      <xdr:rowOff>293688</xdr:rowOff>
    </xdr:to>
    <xdr:pic>
      <xdr:nvPicPr>
        <xdr:cNvPr id="527" name="Picture 54239">
          <a:extLst>
            <a:ext uri="{FF2B5EF4-FFF2-40B4-BE49-F238E27FC236}">
              <a16:creationId xmlns:a16="http://schemas.microsoft.com/office/drawing/2014/main" id="{2DB8D4C8-6732-A140-8CBC-80DECE05E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33</xdr:row>
      <xdr:rowOff>39688</xdr:rowOff>
    </xdr:from>
    <xdr:to>
      <xdr:col>159</xdr:col>
      <xdr:colOff>460375</xdr:colOff>
      <xdr:row>33</xdr:row>
      <xdr:rowOff>293688</xdr:rowOff>
    </xdr:to>
    <xdr:pic>
      <xdr:nvPicPr>
        <xdr:cNvPr id="528" name="Picture 54241">
          <a:extLst>
            <a:ext uri="{FF2B5EF4-FFF2-40B4-BE49-F238E27FC236}">
              <a16:creationId xmlns:a16="http://schemas.microsoft.com/office/drawing/2014/main" id="{AF0C1C3F-7050-DB48-B0EB-AE41029AA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33</xdr:row>
      <xdr:rowOff>39688</xdr:rowOff>
    </xdr:from>
    <xdr:to>
      <xdr:col>111</xdr:col>
      <xdr:colOff>460375</xdr:colOff>
      <xdr:row>33</xdr:row>
      <xdr:rowOff>293688</xdr:rowOff>
    </xdr:to>
    <xdr:pic>
      <xdr:nvPicPr>
        <xdr:cNvPr id="529" name="Picture 54243">
          <a:extLst>
            <a:ext uri="{FF2B5EF4-FFF2-40B4-BE49-F238E27FC236}">
              <a16:creationId xmlns:a16="http://schemas.microsoft.com/office/drawing/2014/main" id="{7049ABAE-E822-C641-9718-477805730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32</xdr:row>
      <xdr:rowOff>39688</xdr:rowOff>
    </xdr:from>
    <xdr:to>
      <xdr:col>27</xdr:col>
      <xdr:colOff>460375</xdr:colOff>
      <xdr:row>32</xdr:row>
      <xdr:rowOff>293688</xdr:rowOff>
    </xdr:to>
    <xdr:pic>
      <xdr:nvPicPr>
        <xdr:cNvPr id="530" name="Picture 54245">
          <a:extLst>
            <a:ext uri="{FF2B5EF4-FFF2-40B4-BE49-F238E27FC236}">
              <a16:creationId xmlns:a16="http://schemas.microsoft.com/office/drawing/2014/main" id="{E22029D2-0328-AE47-BA25-749F11D8F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6542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33</xdr:row>
      <xdr:rowOff>39688</xdr:rowOff>
    </xdr:from>
    <xdr:to>
      <xdr:col>147</xdr:col>
      <xdr:colOff>460375</xdr:colOff>
      <xdr:row>33</xdr:row>
      <xdr:rowOff>293688</xdr:rowOff>
    </xdr:to>
    <xdr:pic>
      <xdr:nvPicPr>
        <xdr:cNvPr id="531" name="Picture 54247">
          <a:extLst>
            <a:ext uri="{FF2B5EF4-FFF2-40B4-BE49-F238E27FC236}">
              <a16:creationId xmlns:a16="http://schemas.microsoft.com/office/drawing/2014/main" id="{A39423E3-BF79-ED4F-A3CB-BB92E2761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33</xdr:row>
      <xdr:rowOff>39688</xdr:rowOff>
    </xdr:from>
    <xdr:to>
      <xdr:col>3</xdr:col>
      <xdr:colOff>460375</xdr:colOff>
      <xdr:row>33</xdr:row>
      <xdr:rowOff>293688</xdr:rowOff>
    </xdr:to>
    <xdr:pic>
      <xdr:nvPicPr>
        <xdr:cNvPr id="532" name="Picture 54249">
          <a:extLst>
            <a:ext uri="{FF2B5EF4-FFF2-40B4-BE49-F238E27FC236}">
              <a16:creationId xmlns:a16="http://schemas.microsoft.com/office/drawing/2014/main" id="{F8455E6F-587F-F948-8FF3-337D1E02A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33</xdr:row>
      <xdr:rowOff>39688</xdr:rowOff>
    </xdr:from>
    <xdr:to>
      <xdr:col>171</xdr:col>
      <xdr:colOff>460375</xdr:colOff>
      <xdr:row>33</xdr:row>
      <xdr:rowOff>293688</xdr:rowOff>
    </xdr:to>
    <xdr:pic>
      <xdr:nvPicPr>
        <xdr:cNvPr id="533" name="Picture 54251">
          <a:extLst>
            <a:ext uri="{FF2B5EF4-FFF2-40B4-BE49-F238E27FC236}">
              <a16:creationId xmlns:a16="http://schemas.microsoft.com/office/drawing/2014/main" id="{90EC9D36-DDA3-744D-BE65-1F1AE9E06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33</xdr:row>
      <xdr:rowOff>39688</xdr:rowOff>
    </xdr:from>
    <xdr:to>
      <xdr:col>231</xdr:col>
      <xdr:colOff>460375</xdr:colOff>
      <xdr:row>33</xdr:row>
      <xdr:rowOff>293688</xdr:rowOff>
    </xdr:to>
    <xdr:pic>
      <xdr:nvPicPr>
        <xdr:cNvPr id="534" name="Picture 54253">
          <a:extLst>
            <a:ext uri="{FF2B5EF4-FFF2-40B4-BE49-F238E27FC236}">
              <a16:creationId xmlns:a16="http://schemas.microsoft.com/office/drawing/2014/main" id="{93A3A03E-D592-AF49-8C45-D0926E342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33</xdr:row>
      <xdr:rowOff>39688</xdr:rowOff>
    </xdr:from>
    <xdr:to>
      <xdr:col>195</xdr:col>
      <xdr:colOff>460375</xdr:colOff>
      <xdr:row>33</xdr:row>
      <xdr:rowOff>293688</xdr:rowOff>
    </xdr:to>
    <xdr:pic>
      <xdr:nvPicPr>
        <xdr:cNvPr id="535" name="Picture 54255">
          <a:extLst>
            <a:ext uri="{FF2B5EF4-FFF2-40B4-BE49-F238E27FC236}">
              <a16:creationId xmlns:a16="http://schemas.microsoft.com/office/drawing/2014/main" id="{6A9EDB73-FB93-0646-954C-E62DC7B6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33</xdr:row>
      <xdr:rowOff>39688</xdr:rowOff>
    </xdr:from>
    <xdr:to>
      <xdr:col>219</xdr:col>
      <xdr:colOff>460375</xdr:colOff>
      <xdr:row>33</xdr:row>
      <xdr:rowOff>293688</xdr:rowOff>
    </xdr:to>
    <xdr:pic>
      <xdr:nvPicPr>
        <xdr:cNvPr id="536" name="Picture 54257">
          <a:extLst>
            <a:ext uri="{FF2B5EF4-FFF2-40B4-BE49-F238E27FC236}">
              <a16:creationId xmlns:a16="http://schemas.microsoft.com/office/drawing/2014/main" id="{ADA92CEA-E6D5-6243-85B3-63B9E460B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33</xdr:row>
      <xdr:rowOff>39688</xdr:rowOff>
    </xdr:from>
    <xdr:to>
      <xdr:col>39</xdr:col>
      <xdr:colOff>460375</xdr:colOff>
      <xdr:row>33</xdr:row>
      <xdr:rowOff>293688</xdr:rowOff>
    </xdr:to>
    <xdr:pic>
      <xdr:nvPicPr>
        <xdr:cNvPr id="537" name="Picture 54259">
          <a:extLst>
            <a:ext uri="{FF2B5EF4-FFF2-40B4-BE49-F238E27FC236}">
              <a16:creationId xmlns:a16="http://schemas.microsoft.com/office/drawing/2014/main" id="{70A25791-B9B5-F849-87D0-B80FE322D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6745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35</xdr:row>
      <xdr:rowOff>39688</xdr:rowOff>
    </xdr:from>
    <xdr:to>
      <xdr:col>39</xdr:col>
      <xdr:colOff>460375</xdr:colOff>
      <xdr:row>35</xdr:row>
      <xdr:rowOff>293688</xdr:rowOff>
    </xdr:to>
    <xdr:pic>
      <xdr:nvPicPr>
        <xdr:cNvPr id="538" name="Picture 54261">
          <a:extLst>
            <a:ext uri="{FF2B5EF4-FFF2-40B4-BE49-F238E27FC236}">
              <a16:creationId xmlns:a16="http://schemas.microsoft.com/office/drawing/2014/main" id="{4E953B8A-8595-DC49-862F-D8582DE67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34</xdr:row>
      <xdr:rowOff>39688</xdr:rowOff>
    </xdr:from>
    <xdr:to>
      <xdr:col>75</xdr:col>
      <xdr:colOff>460375</xdr:colOff>
      <xdr:row>34</xdr:row>
      <xdr:rowOff>293688</xdr:rowOff>
    </xdr:to>
    <xdr:pic>
      <xdr:nvPicPr>
        <xdr:cNvPr id="539" name="Picture 54263">
          <a:extLst>
            <a:ext uri="{FF2B5EF4-FFF2-40B4-BE49-F238E27FC236}">
              <a16:creationId xmlns:a16="http://schemas.microsoft.com/office/drawing/2014/main" id="{9E4DF785-A7A2-A841-9FF6-9CA5B73A0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6948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35</xdr:row>
      <xdr:rowOff>39688</xdr:rowOff>
    </xdr:from>
    <xdr:to>
      <xdr:col>99</xdr:col>
      <xdr:colOff>460375</xdr:colOff>
      <xdr:row>35</xdr:row>
      <xdr:rowOff>293688</xdr:rowOff>
    </xdr:to>
    <xdr:pic>
      <xdr:nvPicPr>
        <xdr:cNvPr id="540" name="Picture 54265">
          <a:extLst>
            <a:ext uri="{FF2B5EF4-FFF2-40B4-BE49-F238E27FC236}">
              <a16:creationId xmlns:a16="http://schemas.microsoft.com/office/drawing/2014/main" id="{403E31C1-CE36-F648-985D-AD0D74930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35</xdr:row>
      <xdr:rowOff>39688</xdr:rowOff>
    </xdr:from>
    <xdr:to>
      <xdr:col>219</xdr:col>
      <xdr:colOff>460375</xdr:colOff>
      <xdr:row>35</xdr:row>
      <xdr:rowOff>293688</xdr:rowOff>
    </xdr:to>
    <xdr:pic>
      <xdr:nvPicPr>
        <xdr:cNvPr id="541" name="Picture 54267">
          <a:extLst>
            <a:ext uri="{FF2B5EF4-FFF2-40B4-BE49-F238E27FC236}">
              <a16:creationId xmlns:a16="http://schemas.microsoft.com/office/drawing/2014/main" id="{DE09AE86-2556-114B-9F73-3153E5EB1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35</xdr:row>
      <xdr:rowOff>39688</xdr:rowOff>
    </xdr:from>
    <xdr:to>
      <xdr:col>111</xdr:col>
      <xdr:colOff>460375</xdr:colOff>
      <xdr:row>35</xdr:row>
      <xdr:rowOff>293688</xdr:rowOff>
    </xdr:to>
    <xdr:pic>
      <xdr:nvPicPr>
        <xdr:cNvPr id="542" name="Picture 54269">
          <a:extLst>
            <a:ext uri="{FF2B5EF4-FFF2-40B4-BE49-F238E27FC236}">
              <a16:creationId xmlns:a16="http://schemas.microsoft.com/office/drawing/2014/main" id="{9B89EE67-9F18-0649-861B-91C038661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35</xdr:row>
      <xdr:rowOff>39688</xdr:rowOff>
    </xdr:from>
    <xdr:to>
      <xdr:col>51</xdr:col>
      <xdr:colOff>460375</xdr:colOff>
      <xdr:row>35</xdr:row>
      <xdr:rowOff>293688</xdr:rowOff>
    </xdr:to>
    <xdr:pic>
      <xdr:nvPicPr>
        <xdr:cNvPr id="543" name="Picture 54272">
          <a:extLst>
            <a:ext uri="{FF2B5EF4-FFF2-40B4-BE49-F238E27FC236}">
              <a16:creationId xmlns:a16="http://schemas.microsoft.com/office/drawing/2014/main" id="{5C983FCA-50C8-304E-B15C-8DEEAA626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35</xdr:row>
      <xdr:rowOff>39688</xdr:rowOff>
    </xdr:from>
    <xdr:to>
      <xdr:col>171</xdr:col>
      <xdr:colOff>460375</xdr:colOff>
      <xdr:row>35</xdr:row>
      <xdr:rowOff>293688</xdr:rowOff>
    </xdr:to>
    <xdr:pic>
      <xdr:nvPicPr>
        <xdr:cNvPr id="544" name="Picture 54275">
          <a:extLst>
            <a:ext uri="{FF2B5EF4-FFF2-40B4-BE49-F238E27FC236}">
              <a16:creationId xmlns:a16="http://schemas.microsoft.com/office/drawing/2014/main" id="{27168343-844E-6C4D-835F-0F15130E3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35</xdr:row>
      <xdr:rowOff>39688</xdr:rowOff>
    </xdr:from>
    <xdr:to>
      <xdr:col>231</xdr:col>
      <xdr:colOff>460375</xdr:colOff>
      <xdr:row>35</xdr:row>
      <xdr:rowOff>293688</xdr:rowOff>
    </xdr:to>
    <xdr:pic>
      <xdr:nvPicPr>
        <xdr:cNvPr id="545" name="Picture 54278">
          <a:extLst>
            <a:ext uri="{FF2B5EF4-FFF2-40B4-BE49-F238E27FC236}">
              <a16:creationId xmlns:a16="http://schemas.microsoft.com/office/drawing/2014/main" id="{0286001D-5205-2842-92E0-8C3103949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35</xdr:row>
      <xdr:rowOff>39688</xdr:rowOff>
    </xdr:from>
    <xdr:to>
      <xdr:col>183</xdr:col>
      <xdr:colOff>460375</xdr:colOff>
      <xdr:row>35</xdr:row>
      <xdr:rowOff>293688</xdr:rowOff>
    </xdr:to>
    <xdr:pic>
      <xdr:nvPicPr>
        <xdr:cNvPr id="546" name="Picture 54281">
          <a:extLst>
            <a:ext uri="{FF2B5EF4-FFF2-40B4-BE49-F238E27FC236}">
              <a16:creationId xmlns:a16="http://schemas.microsoft.com/office/drawing/2014/main" id="{268AAF55-CB67-0E4E-B85D-FAE95BF1B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35</xdr:row>
      <xdr:rowOff>39688</xdr:rowOff>
    </xdr:from>
    <xdr:to>
      <xdr:col>123</xdr:col>
      <xdr:colOff>460375</xdr:colOff>
      <xdr:row>35</xdr:row>
      <xdr:rowOff>293688</xdr:rowOff>
    </xdr:to>
    <xdr:pic>
      <xdr:nvPicPr>
        <xdr:cNvPr id="547" name="Picture 54284">
          <a:extLst>
            <a:ext uri="{FF2B5EF4-FFF2-40B4-BE49-F238E27FC236}">
              <a16:creationId xmlns:a16="http://schemas.microsoft.com/office/drawing/2014/main" id="{CA9D2F41-A886-2347-B4B1-DAEA25E5E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34</xdr:row>
      <xdr:rowOff>39688</xdr:rowOff>
    </xdr:from>
    <xdr:to>
      <xdr:col>207</xdr:col>
      <xdr:colOff>460375</xdr:colOff>
      <xdr:row>34</xdr:row>
      <xdr:rowOff>293688</xdr:rowOff>
    </xdr:to>
    <xdr:pic>
      <xdr:nvPicPr>
        <xdr:cNvPr id="548" name="Picture 54287">
          <a:extLst>
            <a:ext uri="{FF2B5EF4-FFF2-40B4-BE49-F238E27FC236}">
              <a16:creationId xmlns:a16="http://schemas.microsoft.com/office/drawing/2014/main" id="{35F978B4-A88C-8349-A3FE-9A8D3926E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6948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35</xdr:row>
      <xdr:rowOff>39688</xdr:rowOff>
    </xdr:from>
    <xdr:to>
      <xdr:col>87</xdr:col>
      <xdr:colOff>460375</xdr:colOff>
      <xdr:row>35</xdr:row>
      <xdr:rowOff>293688</xdr:rowOff>
    </xdr:to>
    <xdr:pic>
      <xdr:nvPicPr>
        <xdr:cNvPr id="549" name="Picture 54290">
          <a:extLst>
            <a:ext uri="{FF2B5EF4-FFF2-40B4-BE49-F238E27FC236}">
              <a16:creationId xmlns:a16="http://schemas.microsoft.com/office/drawing/2014/main" id="{40F58893-4D13-4C47-B45D-2D272BB1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34</xdr:row>
      <xdr:rowOff>39688</xdr:rowOff>
    </xdr:from>
    <xdr:to>
      <xdr:col>135</xdr:col>
      <xdr:colOff>460375</xdr:colOff>
      <xdr:row>34</xdr:row>
      <xdr:rowOff>293688</xdr:rowOff>
    </xdr:to>
    <xdr:pic>
      <xdr:nvPicPr>
        <xdr:cNvPr id="550" name="Picture 54293">
          <a:extLst>
            <a:ext uri="{FF2B5EF4-FFF2-40B4-BE49-F238E27FC236}">
              <a16:creationId xmlns:a16="http://schemas.microsoft.com/office/drawing/2014/main" id="{9C4E7C07-9F8F-BA4F-87A0-D5AFE824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69484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205427</xdr:colOff>
      <xdr:row>35</xdr:row>
      <xdr:rowOff>39688</xdr:rowOff>
    </xdr:from>
    <xdr:to>
      <xdr:col>15</xdr:col>
      <xdr:colOff>461323</xdr:colOff>
      <xdr:row>35</xdr:row>
      <xdr:rowOff>293688</xdr:rowOff>
    </xdr:to>
    <xdr:pic>
      <xdr:nvPicPr>
        <xdr:cNvPr id="551" name="Picture 54296">
          <a:extLst>
            <a:ext uri="{FF2B5EF4-FFF2-40B4-BE49-F238E27FC236}">
              <a16:creationId xmlns:a16="http://schemas.microsoft.com/office/drawing/2014/main" id="{E099BB18-8F87-E647-B4D8-76D65027C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5427" y="7151688"/>
          <a:ext cx="25589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35</xdr:row>
      <xdr:rowOff>39688</xdr:rowOff>
    </xdr:from>
    <xdr:to>
      <xdr:col>63</xdr:col>
      <xdr:colOff>460375</xdr:colOff>
      <xdr:row>35</xdr:row>
      <xdr:rowOff>293688</xdr:rowOff>
    </xdr:to>
    <xdr:pic>
      <xdr:nvPicPr>
        <xdr:cNvPr id="552" name="Picture 54299">
          <a:extLst>
            <a:ext uri="{FF2B5EF4-FFF2-40B4-BE49-F238E27FC236}">
              <a16:creationId xmlns:a16="http://schemas.microsoft.com/office/drawing/2014/main" id="{B44F119E-D785-7D45-BF07-BBAC5BF7A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223047</xdr:colOff>
      <xdr:row>34</xdr:row>
      <xdr:rowOff>39688</xdr:rowOff>
    </xdr:from>
    <xdr:to>
      <xdr:col>27</xdr:col>
      <xdr:colOff>443703</xdr:colOff>
      <xdr:row>34</xdr:row>
      <xdr:rowOff>293688</xdr:rowOff>
    </xdr:to>
    <xdr:pic>
      <xdr:nvPicPr>
        <xdr:cNvPr id="553" name="Picture 54302">
          <a:extLst>
            <a:ext uri="{FF2B5EF4-FFF2-40B4-BE49-F238E27FC236}">
              <a16:creationId xmlns:a16="http://schemas.microsoft.com/office/drawing/2014/main" id="{6DE0B9BE-B4C8-134C-83F3-92AF929E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97047" y="6948488"/>
          <a:ext cx="220656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35</xdr:row>
      <xdr:rowOff>39688</xdr:rowOff>
    </xdr:from>
    <xdr:to>
      <xdr:col>147</xdr:col>
      <xdr:colOff>460375</xdr:colOff>
      <xdr:row>35</xdr:row>
      <xdr:rowOff>293688</xdr:rowOff>
    </xdr:to>
    <xdr:pic>
      <xdr:nvPicPr>
        <xdr:cNvPr id="554" name="Picture 54305">
          <a:extLst>
            <a:ext uri="{FF2B5EF4-FFF2-40B4-BE49-F238E27FC236}">
              <a16:creationId xmlns:a16="http://schemas.microsoft.com/office/drawing/2014/main" id="{DD4E769B-8FBC-4D46-9E98-70549C23D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35</xdr:row>
      <xdr:rowOff>39688</xdr:rowOff>
    </xdr:from>
    <xdr:to>
      <xdr:col>159</xdr:col>
      <xdr:colOff>460375</xdr:colOff>
      <xdr:row>35</xdr:row>
      <xdr:rowOff>293688</xdr:rowOff>
    </xdr:to>
    <xdr:pic>
      <xdr:nvPicPr>
        <xdr:cNvPr id="555" name="Picture 54308">
          <a:extLst>
            <a:ext uri="{FF2B5EF4-FFF2-40B4-BE49-F238E27FC236}">
              <a16:creationId xmlns:a16="http://schemas.microsoft.com/office/drawing/2014/main" id="{2DEFB64A-EF97-8547-9E14-2369716A6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35</xdr:row>
      <xdr:rowOff>39688</xdr:rowOff>
    </xdr:from>
    <xdr:to>
      <xdr:col>195</xdr:col>
      <xdr:colOff>460375</xdr:colOff>
      <xdr:row>35</xdr:row>
      <xdr:rowOff>293688</xdr:rowOff>
    </xdr:to>
    <xdr:pic>
      <xdr:nvPicPr>
        <xdr:cNvPr id="556" name="Picture 54311">
          <a:extLst>
            <a:ext uri="{FF2B5EF4-FFF2-40B4-BE49-F238E27FC236}">
              <a16:creationId xmlns:a16="http://schemas.microsoft.com/office/drawing/2014/main" id="{D96B5B19-A535-DC43-9E2A-B49AB7772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35</xdr:row>
      <xdr:rowOff>39688</xdr:rowOff>
    </xdr:from>
    <xdr:to>
      <xdr:col>3</xdr:col>
      <xdr:colOff>460375</xdr:colOff>
      <xdr:row>35</xdr:row>
      <xdr:rowOff>293688</xdr:rowOff>
    </xdr:to>
    <xdr:pic>
      <xdr:nvPicPr>
        <xdr:cNvPr id="557" name="Picture 54314">
          <a:extLst>
            <a:ext uri="{FF2B5EF4-FFF2-40B4-BE49-F238E27FC236}">
              <a16:creationId xmlns:a16="http://schemas.microsoft.com/office/drawing/2014/main" id="{1FB0CDDC-7199-154A-A3D3-160C14353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36</xdr:row>
      <xdr:rowOff>39688</xdr:rowOff>
    </xdr:from>
    <xdr:to>
      <xdr:col>159</xdr:col>
      <xdr:colOff>460375</xdr:colOff>
      <xdr:row>36</xdr:row>
      <xdr:rowOff>293688</xdr:rowOff>
    </xdr:to>
    <xdr:pic>
      <xdr:nvPicPr>
        <xdr:cNvPr id="558" name="Picture 54317">
          <a:extLst>
            <a:ext uri="{FF2B5EF4-FFF2-40B4-BE49-F238E27FC236}">
              <a16:creationId xmlns:a16="http://schemas.microsoft.com/office/drawing/2014/main" id="{FDD8193F-A176-D543-9B9E-64E69E9FC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36</xdr:row>
      <xdr:rowOff>39688</xdr:rowOff>
    </xdr:from>
    <xdr:to>
      <xdr:col>99</xdr:col>
      <xdr:colOff>460375</xdr:colOff>
      <xdr:row>36</xdr:row>
      <xdr:rowOff>293688</xdr:rowOff>
    </xdr:to>
    <xdr:pic>
      <xdr:nvPicPr>
        <xdr:cNvPr id="559" name="Picture 54320">
          <a:extLst>
            <a:ext uri="{FF2B5EF4-FFF2-40B4-BE49-F238E27FC236}">
              <a16:creationId xmlns:a16="http://schemas.microsoft.com/office/drawing/2014/main" id="{711B2BE6-F4DA-C84E-9815-EA574EB18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35</xdr:row>
      <xdr:rowOff>39688</xdr:rowOff>
    </xdr:from>
    <xdr:to>
      <xdr:col>27</xdr:col>
      <xdr:colOff>460375</xdr:colOff>
      <xdr:row>35</xdr:row>
      <xdr:rowOff>293688</xdr:rowOff>
    </xdr:to>
    <xdr:pic>
      <xdr:nvPicPr>
        <xdr:cNvPr id="560" name="Picture 54323">
          <a:extLst>
            <a:ext uri="{FF2B5EF4-FFF2-40B4-BE49-F238E27FC236}">
              <a16:creationId xmlns:a16="http://schemas.microsoft.com/office/drawing/2014/main" id="{FA925D1B-D554-F646-B1E9-797A9CBBB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36</xdr:row>
      <xdr:rowOff>39688</xdr:rowOff>
    </xdr:from>
    <xdr:to>
      <xdr:col>195</xdr:col>
      <xdr:colOff>460375</xdr:colOff>
      <xdr:row>36</xdr:row>
      <xdr:rowOff>293688</xdr:rowOff>
    </xdr:to>
    <xdr:pic>
      <xdr:nvPicPr>
        <xdr:cNvPr id="561" name="Picture 54326">
          <a:extLst>
            <a:ext uri="{FF2B5EF4-FFF2-40B4-BE49-F238E27FC236}">
              <a16:creationId xmlns:a16="http://schemas.microsoft.com/office/drawing/2014/main" id="{BF1353B6-04E0-E247-9006-CB8AB6791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205426</xdr:colOff>
      <xdr:row>36</xdr:row>
      <xdr:rowOff>39688</xdr:rowOff>
    </xdr:from>
    <xdr:to>
      <xdr:col>87</xdr:col>
      <xdr:colOff>461322</xdr:colOff>
      <xdr:row>36</xdr:row>
      <xdr:rowOff>293688</xdr:rowOff>
    </xdr:to>
    <xdr:pic>
      <xdr:nvPicPr>
        <xdr:cNvPr id="562" name="Picture 54329">
          <a:extLst>
            <a:ext uri="{FF2B5EF4-FFF2-40B4-BE49-F238E27FC236}">
              <a16:creationId xmlns:a16="http://schemas.microsoft.com/office/drawing/2014/main" id="{7F8000B9-990D-0345-83C2-96B1F5405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99426" y="73548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35</xdr:row>
      <xdr:rowOff>39688</xdr:rowOff>
    </xdr:from>
    <xdr:to>
      <xdr:col>135</xdr:col>
      <xdr:colOff>460375</xdr:colOff>
      <xdr:row>35</xdr:row>
      <xdr:rowOff>293688</xdr:rowOff>
    </xdr:to>
    <xdr:pic>
      <xdr:nvPicPr>
        <xdr:cNvPr id="563" name="Picture 54332">
          <a:extLst>
            <a:ext uri="{FF2B5EF4-FFF2-40B4-BE49-F238E27FC236}">
              <a16:creationId xmlns:a16="http://schemas.microsoft.com/office/drawing/2014/main" id="{C2EFB073-2C7A-C04E-B2D4-4EF011678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36</xdr:row>
      <xdr:rowOff>39688</xdr:rowOff>
    </xdr:from>
    <xdr:to>
      <xdr:col>231</xdr:col>
      <xdr:colOff>460375</xdr:colOff>
      <xdr:row>36</xdr:row>
      <xdr:rowOff>293688</xdr:rowOff>
    </xdr:to>
    <xdr:pic>
      <xdr:nvPicPr>
        <xdr:cNvPr id="564" name="Picture 54335">
          <a:extLst>
            <a:ext uri="{FF2B5EF4-FFF2-40B4-BE49-F238E27FC236}">
              <a16:creationId xmlns:a16="http://schemas.microsoft.com/office/drawing/2014/main" id="{1BD58DEC-B303-FB41-8DCD-E1055F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36</xdr:row>
      <xdr:rowOff>39688</xdr:rowOff>
    </xdr:from>
    <xdr:to>
      <xdr:col>111</xdr:col>
      <xdr:colOff>460375</xdr:colOff>
      <xdr:row>36</xdr:row>
      <xdr:rowOff>293688</xdr:rowOff>
    </xdr:to>
    <xdr:pic>
      <xdr:nvPicPr>
        <xdr:cNvPr id="565" name="Picture 54338">
          <a:extLst>
            <a:ext uri="{FF2B5EF4-FFF2-40B4-BE49-F238E27FC236}">
              <a16:creationId xmlns:a16="http://schemas.microsoft.com/office/drawing/2014/main" id="{8ED77FCC-B8D3-F248-9717-76834ACE2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36</xdr:row>
      <xdr:rowOff>39688</xdr:rowOff>
    </xdr:from>
    <xdr:to>
      <xdr:col>3</xdr:col>
      <xdr:colOff>460375</xdr:colOff>
      <xdr:row>36</xdr:row>
      <xdr:rowOff>293688</xdr:rowOff>
    </xdr:to>
    <xdr:pic>
      <xdr:nvPicPr>
        <xdr:cNvPr id="566" name="Picture 54341">
          <a:extLst>
            <a:ext uri="{FF2B5EF4-FFF2-40B4-BE49-F238E27FC236}">
              <a16:creationId xmlns:a16="http://schemas.microsoft.com/office/drawing/2014/main" id="{6E57EAFA-CB04-554C-AB23-0F5543AAF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36</xdr:row>
      <xdr:rowOff>39688</xdr:rowOff>
    </xdr:from>
    <xdr:to>
      <xdr:col>39</xdr:col>
      <xdr:colOff>460375</xdr:colOff>
      <xdr:row>36</xdr:row>
      <xdr:rowOff>293688</xdr:rowOff>
    </xdr:to>
    <xdr:pic>
      <xdr:nvPicPr>
        <xdr:cNvPr id="567" name="Picture 54344">
          <a:extLst>
            <a:ext uri="{FF2B5EF4-FFF2-40B4-BE49-F238E27FC236}">
              <a16:creationId xmlns:a16="http://schemas.microsoft.com/office/drawing/2014/main" id="{081106B6-0FFA-6F48-B157-D0F511FE3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36</xdr:row>
      <xdr:rowOff>39688</xdr:rowOff>
    </xdr:from>
    <xdr:to>
      <xdr:col>15</xdr:col>
      <xdr:colOff>460375</xdr:colOff>
      <xdr:row>36</xdr:row>
      <xdr:rowOff>293688</xdr:rowOff>
    </xdr:to>
    <xdr:pic>
      <xdr:nvPicPr>
        <xdr:cNvPr id="568" name="Picture 54347">
          <a:extLst>
            <a:ext uri="{FF2B5EF4-FFF2-40B4-BE49-F238E27FC236}">
              <a16:creationId xmlns:a16="http://schemas.microsoft.com/office/drawing/2014/main" id="{55118F8B-BE18-0A48-B412-71B93124C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35</xdr:row>
      <xdr:rowOff>39688</xdr:rowOff>
    </xdr:from>
    <xdr:to>
      <xdr:col>207</xdr:col>
      <xdr:colOff>460375</xdr:colOff>
      <xdr:row>35</xdr:row>
      <xdr:rowOff>293688</xdr:rowOff>
    </xdr:to>
    <xdr:pic>
      <xdr:nvPicPr>
        <xdr:cNvPr id="569" name="Picture 54350">
          <a:extLst>
            <a:ext uri="{FF2B5EF4-FFF2-40B4-BE49-F238E27FC236}">
              <a16:creationId xmlns:a16="http://schemas.microsoft.com/office/drawing/2014/main" id="{ED311F52-2550-C243-B631-EB779A941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36</xdr:row>
      <xdr:rowOff>39688</xdr:rowOff>
    </xdr:from>
    <xdr:to>
      <xdr:col>51</xdr:col>
      <xdr:colOff>460375</xdr:colOff>
      <xdr:row>36</xdr:row>
      <xdr:rowOff>293688</xdr:rowOff>
    </xdr:to>
    <xdr:pic>
      <xdr:nvPicPr>
        <xdr:cNvPr id="570" name="Picture 54353">
          <a:extLst>
            <a:ext uri="{FF2B5EF4-FFF2-40B4-BE49-F238E27FC236}">
              <a16:creationId xmlns:a16="http://schemas.microsoft.com/office/drawing/2014/main" id="{FEFA5BB7-3F54-8548-9F51-D34A04BC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36</xdr:row>
      <xdr:rowOff>39688</xdr:rowOff>
    </xdr:from>
    <xdr:to>
      <xdr:col>183</xdr:col>
      <xdr:colOff>460375</xdr:colOff>
      <xdr:row>36</xdr:row>
      <xdr:rowOff>293688</xdr:rowOff>
    </xdr:to>
    <xdr:pic>
      <xdr:nvPicPr>
        <xdr:cNvPr id="571" name="Picture 54356">
          <a:extLst>
            <a:ext uri="{FF2B5EF4-FFF2-40B4-BE49-F238E27FC236}">
              <a16:creationId xmlns:a16="http://schemas.microsoft.com/office/drawing/2014/main" id="{A2E75F16-B725-204E-9745-80A9EF14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223044</xdr:colOff>
      <xdr:row>36</xdr:row>
      <xdr:rowOff>39688</xdr:rowOff>
    </xdr:from>
    <xdr:to>
      <xdr:col>219</xdr:col>
      <xdr:colOff>443700</xdr:colOff>
      <xdr:row>36</xdr:row>
      <xdr:rowOff>293688</xdr:rowOff>
    </xdr:to>
    <xdr:pic>
      <xdr:nvPicPr>
        <xdr:cNvPr id="572" name="Picture 54359">
          <a:extLst>
            <a:ext uri="{FF2B5EF4-FFF2-40B4-BE49-F238E27FC236}">
              <a16:creationId xmlns:a16="http://schemas.microsoft.com/office/drawing/2014/main" id="{1AC1F09A-6054-5841-8ADC-3A43411D9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01044" y="7354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36</xdr:row>
      <xdr:rowOff>39688</xdr:rowOff>
    </xdr:from>
    <xdr:to>
      <xdr:col>63</xdr:col>
      <xdr:colOff>460375</xdr:colOff>
      <xdr:row>36</xdr:row>
      <xdr:rowOff>293688</xdr:rowOff>
    </xdr:to>
    <xdr:pic>
      <xdr:nvPicPr>
        <xdr:cNvPr id="573" name="Picture 54362">
          <a:extLst>
            <a:ext uri="{FF2B5EF4-FFF2-40B4-BE49-F238E27FC236}">
              <a16:creationId xmlns:a16="http://schemas.microsoft.com/office/drawing/2014/main" id="{21FA0B76-3223-404D-8CB7-6DF06A144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36</xdr:row>
      <xdr:rowOff>39688</xdr:rowOff>
    </xdr:from>
    <xdr:to>
      <xdr:col>123</xdr:col>
      <xdr:colOff>460375</xdr:colOff>
      <xdr:row>36</xdr:row>
      <xdr:rowOff>293688</xdr:rowOff>
    </xdr:to>
    <xdr:pic>
      <xdr:nvPicPr>
        <xdr:cNvPr id="574" name="Picture 54365">
          <a:extLst>
            <a:ext uri="{FF2B5EF4-FFF2-40B4-BE49-F238E27FC236}">
              <a16:creationId xmlns:a16="http://schemas.microsoft.com/office/drawing/2014/main" id="{2E32F04B-AA69-7740-8D68-E5E126699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36</xdr:row>
      <xdr:rowOff>39688</xdr:rowOff>
    </xdr:from>
    <xdr:to>
      <xdr:col>147</xdr:col>
      <xdr:colOff>460375</xdr:colOff>
      <xdr:row>36</xdr:row>
      <xdr:rowOff>293688</xdr:rowOff>
    </xdr:to>
    <xdr:pic>
      <xdr:nvPicPr>
        <xdr:cNvPr id="575" name="Picture 54368">
          <a:extLst>
            <a:ext uri="{FF2B5EF4-FFF2-40B4-BE49-F238E27FC236}">
              <a16:creationId xmlns:a16="http://schemas.microsoft.com/office/drawing/2014/main" id="{2C1108AD-1D65-414B-9BC3-E381B9FD6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35</xdr:row>
      <xdr:rowOff>39688</xdr:rowOff>
    </xdr:from>
    <xdr:to>
      <xdr:col>75</xdr:col>
      <xdr:colOff>460375</xdr:colOff>
      <xdr:row>35</xdr:row>
      <xdr:rowOff>293688</xdr:rowOff>
    </xdr:to>
    <xdr:pic>
      <xdr:nvPicPr>
        <xdr:cNvPr id="576" name="Picture 54371">
          <a:extLst>
            <a:ext uri="{FF2B5EF4-FFF2-40B4-BE49-F238E27FC236}">
              <a16:creationId xmlns:a16="http://schemas.microsoft.com/office/drawing/2014/main" id="{D722E71C-D9BA-3249-9CB8-E99316B24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71516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36</xdr:row>
      <xdr:rowOff>39688</xdr:rowOff>
    </xdr:from>
    <xdr:to>
      <xdr:col>171</xdr:col>
      <xdr:colOff>460375</xdr:colOff>
      <xdr:row>36</xdr:row>
      <xdr:rowOff>293688</xdr:rowOff>
    </xdr:to>
    <xdr:pic>
      <xdr:nvPicPr>
        <xdr:cNvPr id="577" name="Picture 54374">
          <a:extLst>
            <a:ext uri="{FF2B5EF4-FFF2-40B4-BE49-F238E27FC236}">
              <a16:creationId xmlns:a16="http://schemas.microsoft.com/office/drawing/2014/main" id="{2FA0F1C7-E330-564D-A721-5B7C5ABC6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205426</xdr:colOff>
      <xdr:row>36</xdr:row>
      <xdr:rowOff>39688</xdr:rowOff>
    </xdr:from>
    <xdr:to>
      <xdr:col>27</xdr:col>
      <xdr:colOff>461322</xdr:colOff>
      <xdr:row>36</xdr:row>
      <xdr:rowOff>293688</xdr:rowOff>
    </xdr:to>
    <xdr:pic>
      <xdr:nvPicPr>
        <xdr:cNvPr id="578" name="Picture 54377">
          <a:extLst>
            <a:ext uri="{FF2B5EF4-FFF2-40B4-BE49-F238E27FC236}">
              <a16:creationId xmlns:a16="http://schemas.microsoft.com/office/drawing/2014/main" id="{C49942B6-1DE1-F545-9177-E48DBC049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9426" y="73548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36</xdr:row>
      <xdr:rowOff>39688</xdr:rowOff>
    </xdr:from>
    <xdr:to>
      <xdr:col>135</xdr:col>
      <xdr:colOff>460375</xdr:colOff>
      <xdr:row>36</xdr:row>
      <xdr:rowOff>293688</xdr:rowOff>
    </xdr:to>
    <xdr:pic>
      <xdr:nvPicPr>
        <xdr:cNvPr id="579" name="Picture 54380">
          <a:extLst>
            <a:ext uri="{FF2B5EF4-FFF2-40B4-BE49-F238E27FC236}">
              <a16:creationId xmlns:a16="http://schemas.microsoft.com/office/drawing/2014/main" id="{D86A037A-5BEA-E946-B62C-ABE71B72A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37</xdr:row>
      <xdr:rowOff>39688</xdr:rowOff>
    </xdr:from>
    <xdr:to>
      <xdr:col>63</xdr:col>
      <xdr:colOff>460375</xdr:colOff>
      <xdr:row>37</xdr:row>
      <xdr:rowOff>293688</xdr:rowOff>
    </xdr:to>
    <xdr:pic>
      <xdr:nvPicPr>
        <xdr:cNvPr id="580" name="Picture 54383">
          <a:extLst>
            <a:ext uri="{FF2B5EF4-FFF2-40B4-BE49-F238E27FC236}">
              <a16:creationId xmlns:a16="http://schemas.microsoft.com/office/drawing/2014/main" id="{F5412663-FB65-454C-85CB-98AA8138B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223047</xdr:colOff>
      <xdr:row>37</xdr:row>
      <xdr:rowOff>39688</xdr:rowOff>
    </xdr:from>
    <xdr:to>
      <xdr:col>39</xdr:col>
      <xdr:colOff>443703</xdr:colOff>
      <xdr:row>37</xdr:row>
      <xdr:rowOff>293688</xdr:rowOff>
    </xdr:to>
    <xdr:pic>
      <xdr:nvPicPr>
        <xdr:cNvPr id="581" name="Picture 54386">
          <a:extLst>
            <a:ext uri="{FF2B5EF4-FFF2-40B4-BE49-F238E27FC236}">
              <a16:creationId xmlns:a16="http://schemas.microsoft.com/office/drawing/2014/main" id="{294FEF5E-A882-CB46-A5E1-EAB6403DC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41047" y="7558088"/>
          <a:ext cx="22065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37</xdr:row>
      <xdr:rowOff>39688</xdr:rowOff>
    </xdr:from>
    <xdr:to>
      <xdr:col>135</xdr:col>
      <xdr:colOff>460375</xdr:colOff>
      <xdr:row>37</xdr:row>
      <xdr:rowOff>293688</xdr:rowOff>
    </xdr:to>
    <xdr:pic>
      <xdr:nvPicPr>
        <xdr:cNvPr id="582" name="Picture 54389">
          <a:extLst>
            <a:ext uri="{FF2B5EF4-FFF2-40B4-BE49-F238E27FC236}">
              <a16:creationId xmlns:a16="http://schemas.microsoft.com/office/drawing/2014/main" id="{8181A325-00C6-CF4A-9028-A466AA33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205432</xdr:colOff>
      <xdr:row>37</xdr:row>
      <xdr:rowOff>39688</xdr:rowOff>
    </xdr:from>
    <xdr:to>
      <xdr:col>183</xdr:col>
      <xdr:colOff>461328</xdr:colOff>
      <xdr:row>37</xdr:row>
      <xdr:rowOff>293688</xdr:rowOff>
    </xdr:to>
    <xdr:pic>
      <xdr:nvPicPr>
        <xdr:cNvPr id="583" name="Picture 54392">
          <a:extLst>
            <a:ext uri="{FF2B5EF4-FFF2-40B4-BE49-F238E27FC236}">
              <a16:creationId xmlns:a16="http://schemas.microsoft.com/office/drawing/2014/main" id="{5D02B333-CC0A-6B46-80B9-E259AE29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1432" y="7558088"/>
          <a:ext cx="255896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37</xdr:row>
      <xdr:rowOff>39688</xdr:rowOff>
    </xdr:from>
    <xdr:to>
      <xdr:col>111</xdr:col>
      <xdr:colOff>460375</xdr:colOff>
      <xdr:row>37</xdr:row>
      <xdr:rowOff>293688</xdr:rowOff>
    </xdr:to>
    <xdr:pic>
      <xdr:nvPicPr>
        <xdr:cNvPr id="584" name="Picture 54395">
          <a:extLst>
            <a:ext uri="{FF2B5EF4-FFF2-40B4-BE49-F238E27FC236}">
              <a16:creationId xmlns:a16="http://schemas.microsoft.com/office/drawing/2014/main" id="{E17E95E5-3277-9745-9587-4B564D82B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36</xdr:row>
      <xdr:rowOff>39688</xdr:rowOff>
    </xdr:from>
    <xdr:to>
      <xdr:col>207</xdr:col>
      <xdr:colOff>460375</xdr:colOff>
      <xdr:row>36</xdr:row>
      <xdr:rowOff>293688</xdr:rowOff>
    </xdr:to>
    <xdr:pic>
      <xdr:nvPicPr>
        <xdr:cNvPr id="585" name="Picture 54398">
          <a:extLst>
            <a:ext uri="{FF2B5EF4-FFF2-40B4-BE49-F238E27FC236}">
              <a16:creationId xmlns:a16="http://schemas.microsoft.com/office/drawing/2014/main" id="{493882E8-6B72-1D4B-AEF9-2408AF803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7354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37</xdr:row>
      <xdr:rowOff>39688</xdr:rowOff>
    </xdr:from>
    <xdr:to>
      <xdr:col>219</xdr:col>
      <xdr:colOff>460375</xdr:colOff>
      <xdr:row>37</xdr:row>
      <xdr:rowOff>293688</xdr:rowOff>
    </xdr:to>
    <xdr:pic>
      <xdr:nvPicPr>
        <xdr:cNvPr id="586" name="Picture 54401">
          <a:extLst>
            <a:ext uri="{FF2B5EF4-FFF2-40B4-BE49-F238E27FC236}">
              <a16:creationId xmlns:a16="http://schemas.microsoft.com/office/drawing/2014/main" id="{9B6D58A3-9304-0C4F-8E5A-74088CFE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37</xdr:row>
      <xdr:rowOff>39688</xdr:rowOff>
    </xdr:from>
    <xdr:to>
      <xdr:col>15</xdr:col>
      <xdr:colOff>460375</xdr:colOff>
      <xdr:row>37</xdr:row>
      <xdr:rowOff>293688</xdr:rowOff>
    </xdr:to>
    <xdr:pic>
      <xdr:nvPicPr>
        <xdr:cNvPr id="587" name="Picture 54404">
          <a:extLst>
            <a:ext uri="{FF2B5EF4-FFF2-40B4-BE49-F238E27FC236}">
              <a16:creationId xmlns:a16="http://schemas.microsoft.com/office/drawing/2014/main" id="{7E18B96F-E976-5B4B-8F02-8DBC29DF3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37</xdr:row>
      <xdr:rowOff>39688</xdr:rowOff>
    </xdr:from>
    <xdr:to>
      <xdr:col>171</xdr:col>
      <xdr:colOff>460375</xdr:colOff>
      <xdr:row>37</xdr:row>
      <xdr:rowOff>293688</xdr:rowOff>
    </xdr:to>
    <xdr:pic>
      <xdr:nvPicPr>
        <xdr:cNvPr id="588" name="Picture 54407">
          <a:extLst>
            <a:ext uri="{FF2B5EF4-FFF2-40B4-BE49-F238E27FC236}">
              <a16:creationId xmlns:a16="http://schemas.microsoft.com/office/drawing/2014/main" id="{434EDDE2-D5C8-1D48-96C8-FD999BD8C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38</xdr:row>
      <xdr:rowOff>39688</xdr:rowOff>
    </xdr:from>
    <xdr:to>
      <xdr:col>219</xdr:col>
      <xdr:colOff>460375</xdr:colOff>
      <xdr:row>38</xdr:row>
      <xdr:rowOff>293688</xdr:rowOff>
    </xdr:to>
    <xdr:pic>
      <xdr:nvPicPr>
        <xdr:cNvPr id="589" name="Picture 54410">
          <a:extLst>
            <a:ext uri="{FF2B5EF4-FFF2-40B4-BE49-F238E27FC236}">
              <a16:creationId xmlns:a16="http://schemas.microsoft.com/office/drawing/2014/main" id="{89E97F72-9891-DF4B-ACF2-D00CA3EB4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37</xdr:row>
      <xdr:rowOff>39688</xdr:rowOff>
    </xdr:from>
    <xdr:to>
      <xdr:col>27</xdr:col>
      <xdr:colOff>460375</xdr:colOff>
      <xdr:row>37</xdr:row>
      <xdr:rowOff>293688</xdr:rowOff>
    </xdr:to>
    <xdr:pic>
      <xdr:nvPicPr>
        <xdr:cNvPr id="590" name="Picture 54413">
          <a:extLst>
            <a:ext uri="{FF2B5EF4-FFF2-40B4-BE49-F238E27FC236}">
              <a16:creationId xmlns:a16="http://schemas.microsoft.com/office/drawing/2014/main" id="{4E2858D3-C353-484E-98C1-5E4CFD9BD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37</xdr:row>
      <xdr:rowOff>39688</xdr:rowOff>
    </xdr:from>
    <xdr:to>
      <xdr:col>99</xdr:col>
      <xdr:colOff>460375</xdr:colOff>
      <xdr:row>37</xdr:row>
      <xdr:rowOff>293688</xdr:rowOff>
    </xdr:to>
    <xdr:pic>
      <xdr:nvPicPr>
        <xdr:cNvPr id="591" name="Picture 54416">
          <a:extLst>
            <a:ext uri="{FF2B5EF4-FFF2-40B4-BE49-F238E27FC236}">
              <a16:creationId xmlns:a16="http://schemas.microsoft.com/office/drawing/2014/main" id="{B4754A56-F412-1B43-920B-F6916D700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223047</xdr:colOff>
      <xdr:row>36</xdr:row>
      <xdr:rowOff>39688</xdr:rowOff>
    </xdr:from>
    <xdr:to>
      <xdr:col>75</xdr:col>
      <xdr:colOff>443703</xdr:colOff>
      <xdr:row>36</xdr:row>
      <xdr:rowOff>293688</xdr:rowOff>
    </xdr:to>
    <xdr:pic>
      <xdr:nvPicPr>
        <xdr:cNvPr id="592" name="Picture 54419">
          <a:extLst>
            <a:ext uri="{FF2B5EF4-FFF2-40B4-BE49-F238E27FC236}">
              <a16:creationId xmlns:a16="http://schemas.microsoft.com/office/drawing/2014/main" id="{EB2D0941-333A-1E4F-AD9C-840228F6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73047" y="7354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38</xdr:row>
      <xdr:rowOff>39688</xdr:rowOff>
    </xdr:from>
    <xdr:to>
      <xdr:col>63</xdr:col>
      <xdr:colOff>460375</xdr:colOff>
      <xdr:row>38</xdr:row>
      <xdr:rowOff>293688</xdr:rowOff>
    </xdr:to>
    <xdr:pic>
      <xdr:nvPicPr>
        <xdr:cNvPr id="593" name="Picture 54422">
          <a:extLst>
            <a:ext uri="{FF2B5EF4-FFF2-40B4-BE49-F238E27FC236}">
              <a16:creationId xmlns:a16="http://schemas.microsoft.com/office/drawing/2014/main" id="{2CF5228E-4B95-5A40-8BD7-BC958FD10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38</xdr:row>
      <xdr:rowOff>39688</xdr:rowOff>
    </xdr:from>
    <xdr:to>
      <xdr:col>183</xdr:col>
      <xdr:colOff>460375</xdr:colOff>
      <xdr:row>38</xdr:row>
      <xdr:rowOff>293688</xdr:rowOff>
    </xdr:to>
    <xdr:pic>
      <xdr:nvPicPr>
        <xdr:cNvPr id="594" name="Picture 54425">
          <a:extLst>
            <a:ext uri="{FF2B5EF4-FFF2-40B4-BE49-F238E27FC236}">
              <a16:creationId xmlns:a16="http://schemas.microsoft.com/office/drawing/2014/main" id="{038D3D73-5005-D04C-B165-3D4790228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37</xdr:row>
      <xdr:rowOff>39688</xdr:rowOff>
    </xdr:from>
    <xdr:to>
      <xdr:col>87</xdr:col>
      <xdr:colOff>460375</xdr:colOff>
      <xdr:row>37</xdr:row>
      <xdr:rowOff>293688</xdr:rowOff>
    </xdr:to>
    <xdr:pic>
      <xdr:nvPicPr>
        <xdr:cNvPr id="595" name="Picture 54428">
          <a:extLst>
            <a:ext uri="{FF2B5EF4-FFF2-40B4-BE49-F238E27FC236}">
              <a16:creationId xmlns:a16="http://schemas.microsoft.com/office/drawing/2014/main" id="{1A320AC8-625F-9345-93B0-5A0FEE0C0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37</xdr:row>
      <xdr:rowOff>39688</xdr:rowOff>
    </xdr:from>
    <xdr:to>
      <xdr:col>195</xdr:col>
      <xdr:colOff>460375</xdr:colOff>
      <xdr:row>37</xdr:row>
      <xdr:rowOff>293688</xdr:rowOff>
    </xdr:to>
    <xdr:pic>
      <xdr:nvPicPr>
        <xdr:cNvPr id="596" name="Picture 54431">
          <a:extLst>
            <a:ext uri="{FF2B5EF4-FFF2-40B4-BE49-F238E27FC236}">
              <a16:creationId xmlns:a16="http://schemas.microsoft.com/office/drawing/2014/main" id="{A7D01FDE-7778-BB42-A439-8B1147A3B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38</xdr:row>
      <xdr:rowOff>39688</xdr:rowOff>
    </xdr:from>
    <xdr:to>
      <xdr:col>111</xdr:col>
      <xdr:colOff>460375</xdr:colOff>
      <xdr:row>38</xdr:row>
      <xdr:rowOff>293688</xdr:rowOff>
    </xdr:to>
    <xdr:pic>
      <xdr:nvPicPr>
        <xdr:cNvPr id="597" name="Picture 54434">
          <a:extLst>
            <a:ext uri="{FF2B5EF4-FFF2-40B4-BE49-F238E27FC236}">
              <a16:creationId xmlns:a16="http://schemas.microsoft.com/office/drawing/2014/main" id="{CAB17630-CD90-A74D-A13C-7F5A0F392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205432</xdr:colOff>
      <xdr:row>37</xdr:row>
      <xdr:rowOff>39688</xdr:rowOff>
    </xdr:from>
    <xdr:to>
      <xdr:col>207</xdr:col>
      <xdr:colOff>461328</xdr:colOff>
      <xdr:row>37</xdr:row>
      <xdr:rowOff>293688</xdr:rowOff>
    </xdr:to>
    <xdr:pic>
      <xdr:nvPicPr>
        <xdr:cNvPr id="598" name="Picture 54437">
          <a:extLst>
            <a:ext uri="{FF2B5EF4-FFF2-40B4-BE49-F238E27FC236}">
              <a16:creationId xmlns:a16="http://schemas.microsoft.com/office/drawing/2014/main" id="{210EFDD1-E439-CB48-8DBB-D013A6AE9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39432" y="75580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38</xdr:row>
      <xdr:rowOff>39688</xdr:rowOff>
    </xdr:from>
    <xdr:to>
      <xdr:col>135</xdr:col>
      <xdr:colOff>460375</xdr:colOff>
      <xdr:row>38</xdr:row>
      <xdr:rowOff>293688</xdr:rowOff>
    </xdr:to>
    <xdr:pic>
      <xdr:nvPicPr>
        <xdr:cNvPr id="599" name="Picture 54440">
          <a:extLst>
            <a:ext uri="{FF2B5EF4-FFF2-40B4-BE49-F238E27FC236}">
              <a16:creationId xmlns:a16="http://schemas.microsoft.com/office/drawing/2014/main" id="{0FEF289C-02E4-8F49-AE94-2E800C483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38</xdr:row>
      <xdr:rowOff>39688</xdr:rowOff>
    </xdr:from>
    <xdr:to>
      <xdr:col>15</xdr:col>
      <xdr:colOff>460375</xdr:colOff>
      <xdr:row>38</xdr:row>
      <xdr:rowOff>293688</xdr:rowOff>
    </xdr:to>
    <xdr:pic>
      <xdr:nvPicPr>
        <xdr:cNvPr id="600" name="Picture 54443">
          <a:extLst>
            <a:ext uri="{FF2B5EF4-FFF2-40B4-BE49-F238E27FC236}">
              <a16:creationId xmlns:a16="http://schemas.microsoft.com/office/drawing/2014/main" id="{DE60D558-C8C1-9043-92A8-64A6134D4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37</xdr:row>
      <xdr:rowOff>39688</xdr:rowOff>
    </xdr:from>
    <xdr:to>
      <xdr:col>231</xdr:col>
      <xdr:colOff>460375</xdr:colOff>
      <xdr:row>37</xdr:row>
      <xdr:rowOff>293688</xdr:rowOff>
    </xdr:to>
    <xdr:pic>
      <xdr:nvPicPr>
        <xdr:cNvPr id="601" name="Picture 54446">
          <a:extLst>
            <a:ext uri="{FF2B5EF4-FFF2-40B4-BE49-F238E27FC236}">
              <a16:creationId xmlns:a16="http://schemas.microsoft.com/office/drawing/2014/main" id="{3C301049-6F87-7A43-9467-7D38DC1A5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38</xdr:row>
      <xdr:rowOff>39688</xdr:rowOff>
    </xdr:from>
    <xdr:to>
      <xdr:col>39</xdr:col>
      <xdr:colOff>460375</xdr:colOff>
      <xdr:row>38</xdr:row>
      <xdr:rowOff>293688</xdr:rowOff>
    </xdr:to>
    <xdr:pic>
      <xdr:nvPicPr>
        <xdr:cNvPr id="602" name="Picture 54449">
          <a:extLst>
            <a:ext uri="{FF2B5EF4-FFF2-40B4-BE49-F238E27FC236}">
              <a16:creationId xmlns:a16="http://schemas.microsoft.com/office/drawing/2014/main" id="{FD5D6684-E5BD-634D-B229-432E6BF96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37</xdr:row>
      <xdr:rowOff>39688</xdr:rowOff>
    </xdr:from>
    <xdr:to>
      <xdr:col>159</xdr:col>
      <xdr:colOff>460375</xdr:colOff>
      <xdr:row>37</xdr:row>
      <xdr:rowOff>293688</xdr:rowOff>
    </xdr:to>
    <xdr:pic>
      <xdr:nvPicPr>
        <xdr:cNvPr id="603" name="Picture 54452">
          <a:extLst>
            <a:ext uri="{FF2B5EF4-FFF2-40B4-BE49-F238E27FC236}">
              <a16:creationId xmlns:a16="http://schemas.microsoft.com/office/drawing/2014/main" id="{40C69A0D-C95C-794B-8E2A-476AD9BE9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37</xdr:row>
      <xdr:rowOff>39688</xdr:rowOff>
    </xdr:from>
    <xdr:to>
      <xdr:col>123</xdr:col>
      <xdr:colOff>460375</xdr:colOff>
      <xdr:row>37</xdr:row>
      <xdr:rowOff>293688</xdr:rowOff>
    </xdr:to>
    <xdr:pic>
      <xdr:nvPicPr>
        <xdr:cNvPr id="604" name="Picture 54455">
          <a:extLst>
            <a:ext uri="{FF2B5EF4-FFF2-40B4-BE49-F238E27FC236}">
              <a16:creationId xmlns:a16="http://schemas.microsoft.com/office/drawing/2014/main" id="{D0E2199E-D477-8540-81AF-4E144BBA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37</xdr:row>
      <xdr:rowOff>39688</xdr:rowOff>
    </xdr:from>
    <xdr:to>
      <xdr:col>51</xdr:col>
      <xdr:colOff>460375</xdr:colOff>
      <xdr:row>37</xdr:row>
      <xdr:rowOff>293688</xdr:rowOff>
    </xdr:to>
    <xdr:pic>
      <xdr:nvPicPr>
        <xdr:cNvPr id="605" name="Picture 54458">
          <a:extLst>
            <a:ext uri="{FF2B5EF4-FFF2-40B4-BE49-F238E27FC236}">
              <a16:creationId xmlns:a16="http://schemas.microsoft.com/office/drawing/2014/main" id="{7E6BB3AF-166A-6B4C-8EBB-2A470C742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37</xdr:row>
      <xdr:rowOff>39688</xdr:rowOff>
    </xdr:from>
    <xdr:to>
      <xdr:col>147</xdr:col>
      <xdr:colOff>460375</xdr:colOff>
      <xdr:row>37</xdr:row>
      <xdr:rowOff>293688</xdr:rowOff>
    </xdr:to>
    <xdr:pic>
      <xdr:nvPicPr>
        <xdr:cNvPr id="606" name="Picture 54461">
          <a:extLst>
            <a:ext uri="{FF2B5EF4-FFF2-40B4-BE49-F238E27FC236}">
              <a16:creationId xmlns:a16="http://schemas.microsoft.com/office/drawing/2014/main" id="{62168426-FAE6-9549-8B2C-3FC05F7A4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37</xdr:row>
      <xdr:rowOff>39688</xdr:rowOff>
    </xdr:from>
    <xdr:to>
      <xdr:col>3</xdr:col>
      <xdr:colOff>460375</xdr:colOff>
      <xdr:row>37</xdr:row>
      <xdr:rowOff>293688</xdr:rowOff>
    </xdr:to>
    <xdr:pic>
      <xdr:nvPicPr>
        <xdr:cNvPr id="607" name="Picture 54464">
          <a:extLst>
            <a:ext uri="{FF2B5EF4-FFF2-40B4-BE49-F238E27FC236}">
              <a16:creationId xmlns:a16="http://schemas.microsoft.com/office/drawing/2014/main" id="{A00948CA-13FC-824D-B6BB-FDF25100F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7558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39</xdr:row>
      <xdr:rowOff>39688</xdr:rowOff>
    </xdr:from>
    <xdr:to>
      <xdr:col>171</xdr:col>
      <xdr:colOff>460375</xdr:colOff>
      <xdr:row>39</xdr:row>
      <xdr:rowOff>293688</xdr:rowOff>
    </xdr:to>
    <xdr:pic>
      <xdr:nvPicPr>
        <xdr:cNvPr id="608" name="Picture 54467">
          <a:extLst>
            <a:ext uri="{FF2B5EF4-FFF2-40B4-BE49-F238E27FC236}">
              <a16:creationId xmlns:a16="http://schemas.microsoft.com/office/drawing/2014/main" id="{BA74C9A7-8869-1E4E-AA0D-432640D4C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39</xdr:row>
      <xdr:rowOff>39688</xdr:rowOff>
    </xdr:from>
    <xdr:to>
      <xdr:col>99</xdr:col>
      <xdr:colOff>460375</xdr:colOff>
      <xdr:row>39</xdr:row>
      <xdr:rowOff>293688</xdr:rowOff>
    </xdr:to>
    <xdr:pic>
      <xdr:nvPicPr>
        <xdr:cNvPr id="609" name="Picture 54470">
          <a:extLst>
            <a:ext uri="{FF2B5EF4-FFF2-40B4-BE49-F238E27FC236}">
              <a16:creationId xmlns:a16="http://schemas.microsoft.com/office/drawing/2014/main" id="{88BCA693-DA6E-AC49-A112-FA4A32713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40</xdr:row>
      <xdr:rowOff>39688</xdr:rowOff>
    </xdr:from>
    <xdr:to>
      <xdr:col>183</xdr:col>
      <xdr:colOff>460375</xdr:colOff>
      <xdr:row>40</xdr:row>
      <xdr:rowOff>293688</xdr:rowOff>
    </xdr:to>
    <xdr:pic>
      <xdr:nvPicPr>
        <xdr:cNvPr id="610" name="Picture 54473">
          <a:extLst>
            <a:ext uri="{FF2B5EF4-FFF2-40B4-BE49-F238E27FC236}">
              <a16:creationId xmlns:a16="http://schemas.microsoft.com/office/drawing/2014/main" id="{76D2F486-72EE-7940-A183-E9657FDD7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40</xdr:row>
      <xdr:rowOff>39688</xdr:rowOff>
    </xdr:from>
    <xdr:to>
      <xdr:col>111</xdr:col>
      <xdr:colOff>460375</xdr:colOff>
      <xdr:row>40</xdr:row>
      <xdr:rowOff>293688</xdr:rowOff>
    </xdr:to>
    <xdr:pic>
      <xdr:nvPicPr>
        <xdr:cNvPr id="611" name="Picture 54476">
          <a:extLst>
            <a:ext uri="{FF2B5EF4-FFF2-40B4-BE49-F238E27FC236}">
              <a16:creationId xmlns:a16="http://schemas.microsoft.com/office/drawing/2014/main" id="{2937C7B3-F643-244B-B0D8-41FF4BDB0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39</xdr:row>
      <xdr:rowOff>39688</xdr:rowOff>
    </xdr:from>
    <xdr:to>
      <xdr:col>27</xdr:col>
      <xdr:colOff>460375</xdr:colOff>
      <xdr:row>39</xdr:row>
      <xdr:rowOff>293688</xdr:rowOff>
    </xdr:to>
    <xdr:pic>
      <xdr:nvPicPr>
        <xdr:cNvPr id="612" name="Picture 54479">
          <a:extLst>
            <a:ext uri="{FF2B5EF4-FFF2-40B4-BE49-F238E27FC236}">
              <a16:creationId xmlns:a16="http://schemas.microsoft.com/office/drawing/2014/main" id="{9C4988CD-3CB7-8844-A88E-DF7783D75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39</xdr:row>
      <xdr:rowOff>39688</xdr:rowOff>
    </xdr:from>
    <xdr:to>
      <xdr:col>87</xdr:col>
      <xdr:colOff>460375</xdr:colOff>
      <xdr:row>39</xdr:row>
      <xdr:rowOff>293688</xdr:rowOff>
    </xdr:to>
    <xdr:pic>
      <xdr:nvPicPr>
        <xdr:cNvPr id="613" name="Picture 54482">
          <a:extLst>
            <a:ext uri="{FF2B5EF4-FFF2-40B4-BE49-F238E27FC236}">
              <a16:creationId xmlns:a16="http://schemas.microsoft.com/office/drawing/2014/main" id="{75BF61A9-EEC6-5B46-A532-9DE8A87CD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40</xdr:row>
      <xdr:rowOff>39688</xdr:rowOff>
    </xdr:from>
    <xdr:to>
      <xdr:col>63</xdr:col>
      <xdr:colOff>460375</xdr:colOff>
      <xdr:row>40</xdr:row>
      <xdr:rowOff>293688</xdr:rowOff>
    </xdr:to>
    <xdr:pic>
      <xdr:nvPicPr>
        <xdr:cNvPr id="614" name="Picture 54485">
          <a:extLst>
            <a:ext uri="{FF2B5EF4-FFF2-40B4-BE49-F238E27FC236}">
              <a16:creationId xmlns:a16="http://schemas.microsoft.com/office/drawing/2014/main" id="{7573C0F6-7BCD-024E-ACF6-8CC93285A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223044</xdr:colOff>
      <xdr:row>39</xdr:row>
      <xdr:rowOff>39688</xdr:rowOff>
    </xdr:from>
    <xdr:to>
      <xdr:col>231</xdr:col>
      <xdr:colOff>443700</xdr:colOff>
      <xdr:row>39</xdr:row>
      <xdr:rowOff>293688</xdr:rowOff>
    </xdr:to>
    <xdr:pic>
      <xdr:nvPicPr>
        <xdr:cNvPr id="615" name="Picture 54488">
          <a:extLst>
            <a:ext uri="{FF2B5EF4-FFF2-40B4-BE49-F238E27FC236}">
              <a16:creationId xmlns:a16="http://schemas.microsoft.com/office/drawing/2014/main" id="{4AF6826F-99E8-C34D-A9FB-0FC830C83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45044" y="7964488"/>
          <a:ext cx="220656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40</xdr:row>
      <xdr:rowOff>39688</xdr:rowOff>
    </xdr:from>
    <xdr:to>
      <xdr:col>219</xdr:col>
      <xdr:colOff>460375</xdr:colOff>
      <xdr:row>40</xdr:row>
      <xdr:rowOff>293688</xdr:rowOff>
    </xdr:to>
    <xdr:pic>
      <xdr:nvPicPr>
        <xdr:cNvPr id="616" name="Picture 54491">
          <a:extLst>
            <a:ext uri="{FF2B5EF4-FFF2-40B4-BE49-F238E27FC236}">
              <a16:creationId xmlns:a16="http://schemas.microsoft.com/office/drawing/2014/main" id="{ECE40752-8760-2444-B4CE-BC6EA5895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39</xdr:row>
      <xdr:rowOff>39688</xdr:rowOff>
    </xdr:from>
    <xdr:to>
      <xdr:col>207</xdr:col>
      <xdr:colOff>460375</xdr:colOff>
      <xdr:row>39</xdr:row>
      <xdr:rowOff>293688</xdr:rowOff>
    </xdr:to>
    <xdr:pic>
      <xdr:nvPicPr>
        <xdr:cNvPr id="617" name="Picture 54494">
          <a:extLst>
            <a:ext uri="{FF2B5EF4-FFF2-40B4-BE49-F238E27FC236}">
              <a16:creationId xmlns:a16="http://schemas.microsoft.com/office/drawing/2014/main" id="{AC081AEF-3547-9848-82EE-4978020FD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205427</xdr:colOff>
      <xdr:row>39</xdr:row>
      <xdr:rowOff>39688</xdr:rowOff>
    </xdr:from>
    <xdr:to>
      <xdr:col>3</xdr:col>
      <xdr:colOff>461323</xdr:colOff>
      <xdr:row>39</xdr:row>
      <xdr:rowOff>293688</xdr:rowOff>
    </xdr:to>
    <xdr:pic>
      <xdr:nvPicPr>
        <xdr:cNvPr id="618" name="Picture 54497">
          <a:extLst>
            <a:ext uri="{FF2B5EF4-FFF2-40B4-BE49-F238E27FC236}">
              <a16:creationId xmlns:a16="http://schemas.microsoft.com/office/drawing/2014/main" id="{94993B9D-A5C0-3146-A4B6-C40700FA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427" y="7964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40</xdr:row>
      <xdr:rowOff>39688</xdr:rowOff>
    </xdr:from>
    <xdr:to>
      <xdr:col>135</xdr:col>
      <xdr:colOff>460375</xdr:colOff>
      <xdr:row>40</xdr:row>
      <xdr:rowOff>293688</xdr:rowOff>
    </xdr:to>
    <xdr:pic>
      <xdr:nvPicPr>
        <xdr:cNvPr id="619" name="Picture 54500">
          <a:extLst>
            <a:ext uri="{FF2B5EF4-FFF2-40B4-BE49-F238E27FC236}">
              <a16:creationId xmlns:a16="http://schemas.microsoft.com/office/drawing/2014/main" id="{36537549-94F2-1740-B443-3DECC54FD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40</xdr:row>
      <xdr:rowOff>39688</xdr:rowOff>
    </xdr:from>
    <xdr:to>
      <xdr:col>39</xdr:col>
      <xdr:colOff>460375</xdr:colOff>
      <xdr:row>40</xdr:row>
      <xdr:rowOff>293688</xdr:rowOff>
    </xdr:to>
    <xdr:pic>
      <xdr:nvPicPr>
        <xdr:cNvPr id="620" name="Picture 54503">
          <a:extLst>
            <a:ext uri="{FF2B5EF4-FFF2-40B4-BE49-F238E27FC236}">
              <a16:creationId xmlns:a16="http://schemas.microsoft.com/office/drawing/2014/main" id="{CDFB9701-D18D-9A4B-B599-0CFD13461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39</xdr:row>
      <xdr:rowOff>39688</xdr:rowOff>
    </xdr:from>
    <xdr:to>
      <xdr:col>51</xdr:col>
      <xdr:colOff>460375</xdr:colOff>
      <xdr:row>39</xdr:row>
      <xdr:rowOff>293688</xdr:rowOff>
    </xdr:to>
    <xdr:pic>
      <xdr:nvPicPr>
        <xdr:cNvPr id="621" name="Picture 54506">
          <a:extLst>
            <a:ext uri="{FF2B5EF4-FFF2-40B4-BE49-F238E27FC236}">
              <a16:creationId xmlns:a16="http://schemas.microsoft.com/office/drawing/2014/main" id="{D1EAD780-8C94-D947-A45E-01C01C0B7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39</xdr:row>
      <xdr:rowOff>39688</xdr:rowOff>
    </xdr:from>
    <xdr:to>
      <xdr:col>147</xdr:col>
      <xdr:colOff>460375</xdr:colOff>
      <xdr:row>39</xdr:row>
      <xdr:rowOff>293688</xdr:rowOff>
    </xdr:to>
    <xdr:pic>
      <xdr:nvPicPr>
        <xdr:cNvPr id="622" name="Picture 54509">
          <a:extLst>
            <a:ext uri="{FF2B5EF4-FFF2-40B4-BE49-F238E27FC236}">
              <a16:creationId xmlns:a16="http://schemas.microsoft.com/office/drawing/2014/main" id="{ACDE2979-347F-6348-8610-5FF62A241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40</xdr:row>
      <xdr:rowOff>39688</xdr:rowOff>
    </xdr:from>
    <xdr:to>
      <xdr:col>15</xdr:col>
      <xdr:colOff>460375</xdr:colOff>
      <xdr:row>40</xdr:row>
      <xdr:rowOff>293688</xdr:rowOff>
    </xdr:to>
    <xdr:pic>
      <xdr:nvPicPr>
        <xdr:cNvPr id="623" name="Picture 54512">
          <a:extLst>
            <a:ext uri="{FF2B5EF4-FFF2-40B4-BE49-F238E27FC236}">
              <a16:creationId xmlns:a16="http://schemas.microsoft.com/office/drawing/2014/main" id="{6643C894-C5A3-5649-B524-A0BDC63DF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39</xdr:row>
      <xdr:rowOff>39688</xdr:rowOff>
    </xdr:from>
    <xdr:to>
      <xdr:col>123</xdr:col>
      <xdr:colOff>460375</xdr:colOff>
      <xdr:row>39</xdr:row>
      <xdr:rowOff>293688</xdr:rowOff>
    </xdr:to>
    <xdr:pic>
      <xdr:nvPicPr>
        <xdr:cNvPr id="624" name="Picture 54515">
          <a:extLst>
            <a:ext uri="{FF2B5EF4-FFF2-40B4-BE49-F238E27FC236}">
              <a16:creationId xmlns:a16="http://schemas.microsoft.com/office/drawing/2014/main" id="{EB0F40FC-93B1-E84D-AB30-AA033A1B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39</xdr:row>
      <xdr:rowOff>39688</xdr:rowOff>
    </xdr:from>
    <xdr:to>
      <xdr:col>195</xdr:col>
      <xdr:colOff>460375</xdr:colOff>
      <xdr:row>39</xdr:row>
      <xdr:rowOff>293688</xdr:rowOff>
    </xdr:to>
    <xdr:pic>
      <xdr:nvPicPr>
        <xdr:cNvPr id="625" name="Picture 54518">
          <a:extLst>
            <a:ext uri="{FF2B5EF4-FFF2-40B4-BE49-F238E27FC236}">
              <a16:creationId xmlns:a16="http://schemas.microsoft.com/office/drawing/2014/main" id="{F7F64F7D-AC71-0944-8170-7315EE7D9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38</xdr:row>
      <xdr:rowOff>39688</xdr:rowOff>
    </xdr:from>
    <xdr:to>
      <xdr:col>75</xdr:col>
      <xdr:colOff>460375</xdr:colOff>
      <xdr:row>38</xdr:row>
      <xdr:rowOff>293688</xdr:rowOff>
    </xdr:to>
    <xdr:pic>
      <xdr:nvPicPr>
        <xdr:cNvPr id="626" name="Picture 54521">
          <a:extLst>
            <a:ext uri="{FF2B5EF4-FFF2-40B4-BE49-F238E27FC236}">
              <a16:creationId xmlns:a16="http://schemas.microsoft.com/office/drawing/2014/main" id="{D36DA8D4-69E3-F24B-872F-674207D5A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7761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39</xdr:row>
      <xdr:rowOff>39688</xdr:rowOff>
    </xdr:from>
    <xdr:to>
      <xdr:col>159</xdr:col>
      <xdr:colOff>460375</xdr:colOff>
      <xdr:row>39</xdr:row>
      <xdr:rowOff>293688</xdr:rowOff>
    </xdr:to>
    <xdr:pic>
      <xdr:nvPicPr>
        <xdr:cNvPr id="627" name="Picture 54524">
          <a:extLst>
            <a:ext uri="{FF2B5EF4-FFF2-40B4-BE49-F238E27FC236}">
              <a16:creationId xmlns:a16="http://schemas.microsoft.com/office/drawing/2014/main" id="{3AA07D4F-1CEA-FC45-8246-1F600D39E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40</xdr:row>
      <xdr:rowOff>39688</xdr:rowOff>
    </xdr:from>
    <xdr:to>
      <xdr:col>87</xdr:col>
      <xdr:colOff>460375</xdr:colOff>
      <xdr:row>40</xdr:row>
      <xdr:rowOff>293688</xdr:rowOff>
    </xdr:to>
    <xdr:pic>
      <xdr:nvPicPr>
        <xdr:cNvPr id="628" name="Picture 54527">
          <a:extLst>
            <a:ext uri="{FF2B5EF4-FFF2-40B4-BE49-F238E27FC236}">
              <a16:creationId xmlns:a16="http://schemas.microsoft.com/office/drawing/2014/main" id="{99A2E63D-6461-C246-A68E-CDA9F2A07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40</xdr:row>
      <xdr:rowOff>39688</xdr:rowOff>
    </xdr:from>
    <xdr:to>
      <xdr:col>147</xdr:col>
      <xdr:colOff>460375</xdr:colOff>
      <xdr:row>40</xdr:row>
      <xdr:rowOff>293688</xdr:rowOff>
    </xdr:to>
    <xdr:pic>
      <xdr:nvPicPr>
        <xdr:cNvPr id="629" name="Picture 54530">
          <a:extLst>
            <a:ext uri="{FF2B5EF4-FFF2-40B4-BE49-F238E27FC236}">
              <a16:creationId xmlns:a16="http://schemas.microsoft.com/office/drawing/2014/main" id="{F1813D1C-FA98-4546-8718-6ACE2107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41</xdr:row>
      <xdr:rowOff>39688</xdr:rowOff>
    </xdr:from>
    <xdr:to>
      <xdr:col>15</xdr:col>
      <xdr:colOff>460375</xdr:colOff>
      <xdr:row>41</xdr:row>
      <xdr:rowOff>293688</xdr:rowOff>
    </xdr:to>
    <xdr:pic>
      <xdr:nvPicPr>
        <xdr:cNvPr id="630" name="Picture 54533">
          <a:extLst>
            <a:ext uri="{FF2B5EF4-FFF2-40B4-BE49-F238E27FC236}">
              <a16:creationId xmlns:a16="http://schemas.microsoft.com/office/drawing/2014/main" id="{2250A2EB-5EFC-CC41-A43A-1FA4143B6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41</xdr:row>
      <xdr:rowOff>39688</xdr:rowOff>
    </xdr:from>
    <xdr:to>
      <xdr:col>39</xdr:col>
      <xdr:colOff>460375</xdr:colOff>
      <xdr:row>41</xdr:row>
      <xdr:rowOff>293688</xdr:rowOff>
    </xdr:to>
    <xdr:pic>
      <xdr:nvPicPr>
        <xdr:cNvPr id="631" name="Picture 54536">
          <a:extLst>
            <a:ext uri="{FF2B5EF4-FFF2-40B4-BE49-F238E27FC236}">
              <a16:creationId xmlns:a16="http://schemas.microsoft.com/office/drawing/2014/main" id="{FC515825-C524-D34D-A81E-DE5B8C275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223050</xdr:colOff>
      <xdr:row>40</xdr:row>
      <xdr:rowOff>39688</xdr:rowOff>
    </xdr:from>
    <xdr:to>
      <xdr:col>99</xdr:col>
      <xdr:colOff>443706</xdr:colOff>
      <xdr:row>40</xdr:row>
      <xdr:rowOff>293688</xdr:rowOff>
    </xdr:to>
    <xdr:pic>
      <xdr:nvPicPr>
        <xdr:cNvPr id="632" name="Picture 54539">
          <a:extLst>
            <a:ext uri="{FF2B5EF4-FFF2-40B4-BE49-F238E27FC236}">
              <a16:creationId xmlns:a16="http://schemas.microsoft.com/office/drawing/2014/main" id="{90BD0421-6000-284B-AA36-2E87D72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61050" y="81676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41</xdr:row>
      <xdr:rowOff>39688</xdr:rowOff>
    </xdr:from>
    <xdr:to>
      <xdr:col>63</xdr:col>
      <xdr:colOff>460375</xdr:colOff>
      <xdr:row>41</xdr:row>
      <xdr:rowOff>293688</xdr:rowOff>
    </xdr:to>
    <xdr:pic>
      <xdr:nvPicPr>
        <xdr:cNvPr id="633" name="Picture 54542">
          <a:extLst>
            <a:ext uri="{FF2B5EF4-FFF2-40B4-BE49-F238E27FC236}">
              <a16:creationId xmlns:a16="http://schemas.microsoft.com/office/drawing/2014/main" id="{59E00119-282A-894F-9860-4E5C1E7F0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41</xdr:row>
      <xdr:rowOff>39688</xdr:rowOff>
    </xdr:from>
    <xdr:to>
      <xdr:col>111</xdr:col>
      <xdr:colOff>460375</xdr:colOff>
      <xdr:row>41</xdr:row>
      <xdr:rowOff>293688</xdr:rowOff>
    </xdr:to>
    <xdr:pic>
      <xdr:nvPicPr>
        <xdr:cNvPr id="634" name="Picture 54545">
          <a:extLst>
            <a:ext uri="{FF2B5EF4-FFF2-40B4-BE49-F238E27FC236}">
              <a16:creationId xmlns:a16="http://schemas.microsoft.com/office/drawing/2014/main" id="{ACFB6B5C-FDB5-3545-9B39-DC06A0C8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40</xdr:row>
      <xdr:rowOff>39688</xdr:rowOff>
    </xdr:from>
    <xdr:to>
      <xdr:col>171</xdr:col>
      <xdr:colOff>460375</xdr:colOff>
      <xdr:row>40</xdr:row>
      <xdr:rowOff>293688</xdr:rowOff>
    </xdr:to>
    <xdr:pic>
      <xdr:nvPicPr>
        <xdr:cNvPr id="635" name="Picture 54548">
          <a:extLst>
            <a:ext uri="{FF2B5EF4-FFF2-40B4-BE49-F238E27FC236}">
              <a16:creationId xmlns:a16="http://schemas.microsoft.com/office/drawing/2014/main" id="{AD496088-3416-494C-9A78-E3C0D851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41</xdr:row>
      <xdr:rowOff>39688</xdr:rowOff>
    </xdr:from>
    <xdr:to>
      <xdr:col>135</xdr:col>
      <xdr:colOff>460375</xdr:colOff>
      <xdr:row>41</xdr:row>
      <xdr:rowOff>293688</xdr:rowOff>
    </xdr:to>
    <xdr:pic>
      <xdr:nvPicPr>
        <xdr:cNvPr id="636" name="Picture 54551">
          <a:extLst>
            <a:ext uri="{FF2B5EF4-FFF2-40B4-BE49-F238E27FC236}">
              <a16:creationId xmlns:a16="http://schemas.microsoft.com/office/drawing/2014/main" id="{FE1907C3-BE2D-F947-9492-660E0B245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205426</xdr:colOff>
      <xdr:row>40</xdr:row>
      <xdr:rowOff>39688</xdr:rowOff>
    </xdr:from>
    <xdr:to>
      <xdr:col>27</xdr:col>
      <xdr:colOff>461322</xdr:colOff>
      <xdr:row>40</xdr:row>
      <xdr:rowOff>293688</xdr:rowOff>
    </xdr:to>
    <xdr:pic>
      <xdr:nvPicPr>
        <xdr:cNvPr id="637" name="Picture 54554">
          <a:extLst>
            <a:ext uri="{FF2B5EF4-FFF2-40B4-BE49-F238E27FC236}">
              <a16:creationId xmlns:a16="http://schemas.microsoft.com/office/drawing/2014/main" id="{268BCBD0-B0CB-5C4E-9A3D-E565CB0B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79426" y="8167688"/>
          <a:ext cx="255896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40</xdr:row>
      <xdr:rowOff>39688</xdr:rowOff>
    </xdr:from>
    <xdr:to>
      <xdr:col>231</xdr:col>
      <xdr:colOff>460375</xdr:colOff>
      <xdr:row>40</xdr:row>
      <xdr:rowOff>293688</xdr:rowOff>
    </xdr:to>
    <xdr:pic>
      <xdr:nvPicPr>
        <xdr:cNvPr id="638" name="Picture 54557">
          <a:extLst>
            <a:ext uri="{FF2B5EF4-FFF2-40B4-BE49-F238E27FC236}">
              <a16:creationId xmlns:a16="http://schemas.microsoft.com/office/drawing/2014/main" id="{8F44BB55-5D79-2641-99D7-812346ED2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41</xdr:row>
      <xdr:rowOff>39688</xdr:rowOff>
    </xdr:from>
    <xdr:to>
      <xdr:col>219</xdr:col>
      <xdr:colOff>460375</xdr:colOff>
      <xdr:row>41</xdr:row>
      <xdr:rowOff>293688</xdr:rowOff>
    </xdr:to>
    <xdr:pic>
      <xdr:nvPicPr>
        <xdr:cNvPr id="639" name="Picture 54560">
          <a:extLst>
            <a:ext uri="{FF2B5EF4-FFF2-40B4-BE49-F238E27FC236}">
              <a16:creationId xmlns:a16="http://schemas.microsoft.com/office/drawing/2014/main" id="{AD399781-B237-6749-BBBD-103A1D64A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40</xdr:row>
      <xdr:rowOff>39688</xdr:rowOff>
    </xdr:from>
    <xdr:to>
      <xdr:col>51</xdr:col>
      <xdr:colOff>460375</xdr:colOff>
      <xdr:row>40</xdr:row>
      <xdr:rowOff>293688</xdr:rowOff>
    </xdr:to>
    <xdr:pic>
      <xdr:nvPicPr>
        <xdr:cNvPr id="640" name="Picture 54563">
          <a:extLst>
            <a:ext uri="{FF2B5EF4-FFF2-40B4-BE49-F238E27FC236}">
              <a16:creationId xmlns:a16="http://schemas.microsoft.com/office/drawing/2014/main" id="{3A3D4D9C-F84D-CE4F-942A-DA582BAE5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40</xdr:row>
      <xdr:rowOff>39688</xdr:rowOff>
    </xdr:from>
    <xdr:to>
      <xdr:col>3</xdr:col>
      <xdr:colOff>460375</xdr:colOff>
      <xdr:row>40</xdr:row>
      <xdr:rowOff>293688</xdr:rowOff>
    </xdr:to>
    <xdr:pic>
      <xdr:nvPicPr>
        <xdr:cNvPr id="641" name="Picture 54566">
          <a:extLst>
            <a:ext uri="{FF2B5EF4-FFF2-40B4-BE49-F238E27FC236}">
              <a16:creationId xmlns:a16="http://schemas.microsoft.com/office/drawing/2014/main" id="{AC9B63C6-47F4-B24F-9A42-B9072417F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40</xdr:row>
      <xdr:rowOff>39688</xdr:rowOff>
    </xdr:from>
    <xdr:to>
      <xdr:col>159</xdr:col>
      <xdr:colOff>460375</xdr:colOff>
      <xdr:row>40</xdr:row>
      <xdr:rowOff>293688</xdr:rowOff>
    </xdr:to>
    <xdr:pic>
      <xdr:nvPicPr>
        <xdr:cNvPr id="642" name="Picture 54569">
          <a:extLst>
            <a:ext uri="{FF2B5EF4-FFF2-40B4-BE49-F238E27FC236}">
              <a16:creationId xmlns:a16="http://schemas.microsoft.com/office/drawing/2014/main" id="{EF2C3681-8E4D-8A44-80A0-7B326E48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40</xdr:row>
      <xdr:rowOff>39688</xdr:rowOff>
    </xdr:from>
    <xdr:to>
      <xdr:col>123</xdr:col>
      <xdr:colOff>460375</xdr:colOff>
      <xdr:row>40</xdr:row>
      <xdr:rowOff>293688</xdr:rowOff>
    </xdr:to>
    <xdr:pic>
      <xdr:nvPicPr>
        <xdr:cNvPr id="643" name="Picture 54572">
          <a:extLst>
            <a:ext uri="{FF2B5EF4-FFF2-40B4-BE49-F238E27FC236}">
              <a16:creationId xmlns:a16="http://schemas.microsoft.com/office/drawing/2014/main" id="{F31B3456-C7A9-164B-887C-F2158C449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40</xdr:row>
      <xdr:rowOff>39688</xdr:rowOff>
    </xdr:from>
    <xdr:to>
      <xdr:col>195</xdr:col>
      <xdr:colOff>460375</xdr:colOff>
      <xdr:row>40</xdr:row>
      <xdr:rowOff>293688</xdr:rowOff>
    </xdr:to>
    <xdr:pic>
      <xdr:nvPicPr>
        <xdr:cNvPr id="644" name="Picture 54575">
          <a:extLst>
            <a:ext uri="{FF2B5EF4-FFF2-40B4-BE49-F238E27FC236}">
              <a16:creationId xmlns:a16="http://schemas.microsoft.com/office/drawing/2014/main" id="{1D1FCC93-D9DB-394C-BD00-F01EA3CEA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39</xdr:row>
      <xdr:rowOff>39688</xdr:rowOff>
    </xdr:from>
    <xdr:to>
      <xdr:col>75</xdr:col>
      <xdr:colOff>460375</xdr:colOff>
      <xdr:row>39</xdr:row>
      <xdr:rowOff>293688</xdr:rowOff>
    </xdr:to>
    <xdr:pic>
      <xdr:nvPicPr>
        <xdr:cNvPr id="645" name="Picture 54578">
          <a:extLst>
            <a:ext uri="{FF2B5EF4-FFF2-40B4-BE49-F238E27FC236}">
              <a16:creationId xmlns:a16="http://schemas.microsoft.com/office/drawing/2014/main" id="{B8A5AA35-04FF-DA4D-BC57-799D5C23D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7964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40</xdr:row>
      <xdr:rowOff>39688</xdr:rowOff>
    </xdr:from>
    <xdr:to>
      <xdr:col>207</xdr:col>
      <xdr:colOff>460375</xdr:colOff>
      <xdr:row>40</xdr:row>
      <xdr:rowOff>293688</xdr:rowOff>
    </xdr:to>
    <xdr:pic>
      <xdr:nvPicPr>
        <xdr:cNvPr id="646" name="Picture 54581">
          <a:extLst>
            <a:ext uri="{FF2B5EF4-FFF2-40B4-BE49-F238E27FC236}">
              <a16:creationId xmlns:a16="http://schemas.microsoft.com/office/drawing/2014/main" id="{8B426587-60AB-3F49-BCBF-49634AAA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41</xdr:row>
      <xdr:rowOff>39688</xdr:rowOff>
    </xdr:from>
    <xdr:to>
      <xdr:col>183</xdr:col>
      <xdr:colOff>460375</xdr:colOff>
      <xdr:row>41</xdr:row>
      <xdr:rowOff>293688</xdr:rowOff>
    </xdr:to>
    <xdr:pic>
      <xdr:nvPicPr>
        <xdr:cNvPr id="647" name="Picture 54584">
          <a:extLst>
            <a:ext uri="{FF2B5EF4-FFF2-40B4-BE49-F238E27FC236}">
              <a16:creationId xmlns:a16="http://schemas.microsoft.com/office/drawing/2014/main" id="{BFFE181C-3B32-3247-A212-D8C81517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41</xdr:row>
      <xdr:rowOff>39688</xdr:rowOff>
    </xdr:from>
    <xdr:to>
      <xdr:col>171</xdr:col>
      <xdr:colOff>460375</xdr:colOff>
      <xdr:row>41</xdr:row>
      <xdr:rowOff>293688</xdr:rowOff>
    </xdr:to>
    <xdr:pic>
      <xdr:nvPicPr>
        <xdr:cNvPr id="648" name="Picture 54587">
          <a:extLst>
            <a:ext uri="{FF2B5EF4-FFF2-40B4-BE49-F238E27FC236}">
              <a16:creationId xmlns:a16="http://schemas.microsoft.com/office/drawing/2014/main" id="{F0C87ADA-7A46-824B-9A2D-C64FECB7F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41</xdr:row>
      <xdr:rowOff>39688</xdr:rowOff>
    </xdr:from>
    <xdr:to>
      <xdr:col>207</xdr:col>
      <xdr:colOff>460375</xdr:colOff>
      <xdr:row>41</xdr:row>
      <xdr:rowOff>293688</xdr:rowOff>
    </xdr:to>
    <xdr:pic>
      <xdr:nvPicPr>
        <xdr:cNvPr id="649" name="Picture 54590">
          <a:extLst>
            <a:ext uri="{FF2B5EF4-FFF2-40B4-BE49-F238E27FC236}">
              <a16:creationId xmlns:a16="http://schemas.microsoft.com/office/drawing/2014/main" id="{5559C7E2-EA2F-9A45-A859-6F87E054B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42</xdr:row>
      <xdr:rowOff>39688</xdr:rowOff>
    </xdr:from>
    <xdr:to>
      <xdr:col>39</xdr:col>
      <xdr:colOff>460375</xdr:colOff>
      <xdr:row>42</xdr:row>
      <xdr:rowOff>293688</xdr:rowOff>
    </xdr:to>
    <xdr:pic>
      <xdr:nvPicPr>
        <xdr:cNvPr id="650" name="Picture 54593">
          <a:extLst>
            <a:ext uri="{FF2B5EF4-FFF2-40B4-BE49-F238E27FC236}">
              <a16:creationId xmlns:a16="http://schemas.microsoft.com/office/drawing/2014/main" id="{FF3D52E2-9781-544F-A371-48F8523E9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41</xdr:row>
      <xdr:rowOff>39688</xdr:rowOff>
    </xdr:from>
    <xdr:to>
      <xdr:col>195</xdr:col>
      <xdr:colOff>460375</xdr:colOff>
      <xdr:row>41</xdr:row>
      <xdr:rowOff>293688</xdr:rowOff>
    </xdr:to>
    <xdr:pic>
      <xdr:nvPicPr>
        <xdr:cNvPr id="651" name="Picture 54596">
          <a:extLst>
            <a:ext uri="{FF2B5EF4-FFF2-40B4-BE49-F238E27FC236}">
              <a16:creationId xmlns:a16="http://schemas.microsoft.com/office/drawing/2014/main" id="{3D506B45-600E-A04E-9AFE-9EB3BB078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42</xdr:row>
      <xdr:rowOff>39688</xdr:rowOff>
    </xdr:from>
    <xdr:to>
      <xdr:col>63</xdr:col>
      <xdr:colOff>460375</xdr:colOff>
      <xdr:row>42</xdr:row>
      <xdr:rowOff>293688</xdr:rowOff>
    </xdr:to>
    <xdr:pic>
      <xdr:nvPicPr>
        <xdr:cNvPr id="652" name="Picture 54599">
          <a:extLst>
            <a:ext uri="{FF2B5EF4-FFF2-40B4-BE49-F238E27FC236}">
              <a16:creationId xmlns:a16="http://schemas.microsoft.com/office/drawing/2014/main" id="{91AE6636-62FD-0F41-AF23-0288AAC44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223047</xdr:colOff>
      <xdr:row>41</xdr:row>
      <xdr:rowOff>39688</xdr:rowOff>
    </xdr:from>
    <xdr:to>
      <xdr:col>51</xdr:col>
      <xdr:colOff>443703</xdr:colOff>
      <xdr:row>41</xdr:row>
      <xdr:rowOff>293688</xdr:rowOff>
    </xdr:to>
    <xdr:pic>
      <xdr:nvPicPr>
        <xdr:cNvPr id="653" name="Picture 54602">
          <a:extLst>
            <a:ext uri="{FF2B5EF4-FFF2-40B4-BE49-F238E27FC236}">
              <a16:creationId xmlns:a16="http://schemas.microsoft.com/office/drawing/2014/main" id="{F22DD268-8671-1E43-85A7-90742FE5A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85047" y="8370888"/>
          <a:ext cx="220656" cy="165100"/>
        </a:xfrm>
        <a:prstGeom prst="rect">
          <a:avLst/>
        </a:prstGeom>
      </xdr:spPr>
    </xdr:pic>
    <xdr:clientData/>
  </xdr:twoCellAnchor>
  <xdr:twoCellAnchor>
    <xdr:from>
      <xdr:col>147</xdr:col>
      <xdr:colOff>205426</xdr:colOff>
      <xdr:row>41</xdr:row>
      <xdr:rowOff>39688</xdr:rowOff>
    </xdr:from>
    <xdr:to>
      <xdr:col>147</xdr:col>
      <xdr:colOff>461322</xdr:colOff>
      <xdr:row>41</xdr:row>
      <xdr:rowOff>293688</xdr:rowOff>
    </xdr:to>
    <xdr:pic>
      <xdr:nvPicPr>
        <xdr:cNvPr id="654" name="Picture 54605">
          <a:extLst>
            <a:ext uri="{FF2B5EF4-FFF2-40B4-BE49-F238E27FC236}">
              <a16:creationId xmlns:a16="http://schemas.microsoft.com/office/drawing/2014/main" id="{CE251692-3FB4-A84F-A3AD-4461E86D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9426" y="83708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42</xdr:row>
      <xdr:rowOff>39688</xdr:rowOff>
    </xdr:from>
    <xdr:to>
      <xdr:col>135</xdr:col>
      <xdr:colOff>460375</xdr:colOff>
      <xdr:row>42</xdr:row>
      <xdr:rowOff>293688</xdr:rowOff>
    </xdr:to>
    <xdr:pic>
      <xdr:nvPicPr>
        <xdr:cNvPr id="655" name="Picture 54608">
          <a:extLst>
            <a:ext uri="{FF2B5EF4-FFF2-40B4-BE49-F238E27FC236}">
              <a16:creationId xmlns:a16="http://schemas.microsoft.com/office/drawing/2014/main" id="{9259A6E8-E7F4-6C4C-9088-67B26ACA1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42</xdr:row>
      <xdr:rowOff>39688</xdr:rowOff>
    </xdr:from>
    <xdr:to>
      <xdr:col>183</xdr:col>
      <xdr:colOff>460375</xdr:colOff>
      <xdr:row>42</xdr:row>
      <xdr:rowOff>293688</xdr:rowOff>
    </xdr:to>
    <xdr:pic>
      <xdr:nvPicPr>
        <xdr:cNvPr id="656" name="Picture 54611">
          <a:extLst>
            <a:ext uri="{FF2B5EF4-FFF2-40B4-BE49-F238E27FC236}">
              <a16:creationId xmlns:a16="http://schemas.microsoft.com/office/drawing/2014/main" id="{44AA6EA0-3253-2246-8664-F65720C7B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41</xdr:row>
      <xdr:rowOff>39688</xdr:rowOff>
    </xdr:from>
    <xdr:to>
      <xdr:col>231</xdr:col>
      <xdr:colOff>460375</xdr:colOff>
      <xdr:row>41</xdr:row>
      <xdr:rowOff>293688</xdr:rowOff>
    </xdr:to>
    <xdr:pic>
      <xdr:nvPicPr>
        <xdr:cNvPr id="657" name="Picture 54614">
          <a:extLst>
            <a:ext uri="{FF2B5EF4-FFF2-40B4-BE49-F238E27FC236}">
              <a16:creationId xmlns:a16="http://schemas.microsoft.com/office/drawing/2014/main" id="{1EFE8136-B2F8-1641-AF4D-D2AF93B99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41</xdr:row>
      <xdr:rowOff>39688</xdr:rowOff>
    </xdr:from>
    <xdr:to>
      <xdr:col>27</xdr:col>
      <xdr:colOff>460375</xdr:colOff>
      <xdr:row>41</xdr:row>
      <xdr:rowOff>293688</xdr:rowOff>
    </xdr:to>
    <xdr:pic>
      <xdr:nvPicPr>
        <xdr:cNvPr id="658" name="Picture 54617">
          <a:extLst>
            <a:ext uri="{FF2B5EF4-FFF2-40B4-BE49-F238E27FC236}">
              <a16:creationId xmlns:a16="http://schemas.microsoft.com/office/drawing/2014/main" id="{CC0F2228-B4F9-0B43-8287-5B1795F72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41</xdr:row>
      <xdr:rowOff>39688</xdr:rowOff>
    </xdr:from>
    <xdr:to>
      <xdr:col>159</xdr:col>
      <xdr:colOff>460375</xdr:colOff>
      <xdr:row>41</xdr:row>
      <xdr:rowOff>293688</xdr:rowOff>
    </xdr:to>
    <xdr:pic>
      <xdr:nvPicPr>
        <xdr:cNvPr id="659" name="Picture 54620">
          <a:extLst>
            <a:ext uri="{FF2B5EF4-FFF2-40B4-BE49-F238E27FC236}">
              <a16:creationId xmlns:a16="http://schemas.microsoft.com/office/drawing/2014/main" id="{61A42B01-3B39-2549-9A15-73D99D13D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41</xdr:row>
      <xdr:rowOff>39688</xdr:rowOff>
    </xdr:from>
    <xdr:to>
      <xdr:col>123</xdr:col>
      <xdr:colOff>460375</xdr:colOff>
      <xdr:row>41</xdr:row>
      <xdr:rowOff>293688</xdr:rowOff>
    </xdr:to>
    <xdr:pic>
      <xdr:nvPicPr>
        <xdr:cNvPr id="660" name="Picture 54623">
          <a:extLst>
            <a:ext uri="{FF2B5EF4-FFF2-40B4-BE49-F238E27FC236}">
              <a16:creationId xmlns:a16="http://schemas.microsoft.com/office/drawing/2014/main" id="{951B6A01-6D32-ED4A-8B21-234702DF9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41</xdr:row>
      <xdr:rowOff>39688</xdr:rowOff>
    </xdr:from>
    <xdr:to>
      <xdr:col>87</xdr:col>
      <xdr:colOff>460375</xdr:colOff>
      <xdr:row>41</xdr:row>
      <xdr:rowOff>293688</xdr:rowOff>
    </xdr:to>
    <xdr:pic>
      <xdr:nvPicPr>
        <xdr:cNvPr id="661" name="Picture 54626">
          <a:extLst>
            <a:ext uri="{FF2B5EF4-FFF2-40B4-BE49-F238E27FC236}">
              <a16:creationId xmlns:a16="http://schemas.microsoft.com/office/drawing/2014/main" id="{7C96DFB9-9697-6C4F-B820-EBA19F51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42</xdr:row>
      <xdr:rowOff>39688</xdr:rowOff>
    </xdr:from>
    <xdr:to>
      <xdr:col>219</xdr:col>
      <xdr:colOff>460375</xdr:colOff>
      <xdr:row>42</xdr:row>
      <xdr:rowOff>293688</xdr:rowOff>
    </xdr:to>
    <xdr:pic>
      <xdr:nvPicPr>
        <xdr:cNvPr id="662" name="Picture 54629">
          <a:extLst>
            <a:ext uri="{FF2B5EF4-FFF2-40B4-BE49-F238E27FC236}">
              <a16:creationId xmlns:a16="http://schemas.microsoft.com/office/drawing/2014/main" id="{80D59F15-7CEE-D148-8FB9-92495F298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42</xdr:row>
      <xdr:rowOff>39688</xdr:rowOff>
    </xdr:from>
    <xdr:to>
      <xdr:col>111</xdr:col>
      <xdr:colOff>460375</xdr:colOff>
      <xdr:row>42</xdr:row>
      <xdr:rowOff>293688</xdr:rowOff>
    </xdr:to>
    <xdr:pic>
      <xdr:nvPicPr>
        <xdr:cNvPr id="663" name="Picture 54632">
          <a:extLst>
            <a:ext uri="{FF2B5EF4-FFF2-40B4-BE49-F238E27FC236}">
              <a16:creationId xmlns:a16="http://schemas.microsoft.com/office/drawing/2014/main" id="{127741FC-D73D-6546-83E7-196BCF4F5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41</xdr:row>
      <xdr:rowOff>39688</xdr:rowOff>
    </xdr:from>
    <xdr:to>
      <xdr:col>3</xdr:col>
      <xdr:colOff>460375</xdr:colOff>
      <xdr:row>41</xdr:row>
      <xdr:rowOff>293688</xdr:rowOff>
    </xdr:to>
    <xdr:pic>
      <xdr:nvPicPr>
        <xdr:cNvPr id="664" name="Picture 54635">
          <a:extLst>
            <a:ext uri="{FF2B5EF4-FFF2-40B4-BE49-F238E27FC236}">
              <a16:creationId xmlns:a16="http://schemas.microsoft.com/office/drawing/2014/main" id="{91912CA9-7A89-9043-9D5C-DC8D3C645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42</xdr:row>
      <xdr:rowOff>39688</xdr:rowOff>
    </xdr:from>
    <xdr:to>
      <xdr:col>15</xdr:col>
      <xdr:colOff>460375</xdr:colOff>
      <xdr:row>42</xdr:row>
      <xdr:rowOff>293688</xdr:rowOff>
    </xdr:to>
    <xdr:pic>
      <xdr:nvPicPr>
        <xdr:cNvPr id="665" name="Picture 54638">
          <a:extLst>
            <a:ext uri="{FF2B5EF4-FFF2-40B4-BE49-F238E27FC236}">
              <a16:creationId xmlns:a16="http://schemas.microsoft.com/office/drawing/2014/main" id="{46AE7934-E74B-0548-83E4-EC2D34BC2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40</xdr:row>
      <xdr:rowOff>39688</xdr:rowOff>
    </xdr:from>
    <xdr:to>
      <xdr:col>75</xdr:col>
      <xdr:colOff>460375</xdr:colOff>
      <xdr:row>40</xdr:row>
      <xdr:rowOff>293688</xdr:rowOff>
    </xdr:to>
    <xdr:pic>
      <xdr:nvPicPr>
        <xdr:cNvPr id="666" name="Picture 54641">
          <a:extLst>
            <a:ext uri="{FF2B5EF4-FFF2-40B4-BE49-F238E27FC236}">
              <a16:creationId xmlns:a16="http://schemas.microsoft.com/office/drawing/2014/main" id="{176367CF-86D8-8341-9C85-C06CED63F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81676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41</xdr:row>
      <xdr:rowOff>39688</xdr:rowOff>
    </xdr:from>
    <xdr:to>
      <xdr:col>99</xdr:col>
      <xdr:colOff>460375</xdr:colOff>
      <xdr:row>41</xdr:row>
      <xdr:rowOff>293688</xdr:rowOff>
    </xdr:to>
    <xdr:pic>
      <xdr:nvPicPr>
        <xdr:cNvPr id="667" name="Picture 54644">
          <a:extLst>
            <a:ext uri="{FF2B5EF4-FFF2-40B4-BE49-F238E27FC236}">
              <a16:creationId xmlns:a16="http://schemas.microsoft.com/office/drawing/2014/main" id="{BE2D8331-BD8E-C240-86B9-AA1F4E87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43</xdr:row>
      <xdr:rowOff>39688</xdr:rowOff>
    </xdr:from>
    <xdr:to>
      <xdr:col>135</xdr:col>
      <xdr:colOff>460375</xdr:colOff>
      <xdr:row>43</xdr:row>
      <xdr:rowOff>293688</xdr:rowOff>
    </xdr:to>
    <xdr:pic>
      <xdr:nvPicPr>
        <xdr:cNvPr id="668" name="Picture 54647">
          <a:extLst>
            <a:ext uri="{FF2B5EF4-FFF2-40B4-BE49-F238E27FC236}">
              <a16:creationId xmlns:a16="http://schemas.microsoft.com/office/drawing/2014/main" id="{54720CC6-FCCC-694F-B51F-FF06E8F7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205426</xdr:colOff>
      <xdr:row>43</xdr:row>
      <xdr:rowOff>39688</xdr:rowOff>
    </xdr:from>
    <xdr:to>
      <xdr:col>39</xdr:col>
      <xdr:colOff>461322</xdr:colOff>
      <xdr:row>43</xdr:row>
      <xdr:rowOff>293688</xdr:rowOff>
    </xdr:to>
    <xdr:pic>
      <xdr:nvPicPr>
        <xdr:cNvPr id="669" name="Picture 54650">
          <a:extLst>
            <a:ext uri="{FF2B5EF4-FFF2-40B4-BE49-F238E27FC236}">
              <a16:creationId xmlns:a16="http://schemas.microsoft.com/office/drawing/2014/main" id="{572C8218-D6C3-3441-BBDF-D78ED4EC8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3426" y="8777288"/>
          <a:ext cx="255896" cy="165100"/>
        </a:xfrm>
        <a:prstGeom prst="rect">
          <a:avLst/>
        </a:prstGeom>
      </xdr:spPr>
    </xdr:pic>
    <xdr:clientData/>
  </xdr:twoCellAnchor>
  <xdr:twoCellAnchor>
    <xdr:from>
      <xdr:col>195</xdr:col>
      <xdr:colOff>223044</xdr:colOff>
      <xdr:row>42</xdr:row>
      <xdr:rowOff>39688</xdr:rowOff>
    </xdr:from>
    <xdr:to>
      <xdr:col>195</xdr:col>
      <xdr:colOff>443700</xdr:colOff>
      <xdr:row>42</xdr:row>
      <xdr:rowOff>293688</xdr:rowOff>
    </xdr:to>
    <xdr:pic>
      <xdr:nvPicPr>
        <xdr:cNvPr id="670" name="Picture 54653">
          <a:extLst>
            <a:ext uri="{FF2B5EF4-FFF2-40B4-BE49-F238E27FC236}">
              <a16:creationId xmlns:a16="http://schemas.microsoft.com/office/drawing/2014/main" id="{D4AB058C-4EDC-1549-B255-BC262032B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813044" y="85740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43</xdr:row>
      <xdr:rowOff>39688</xdr:rowOff>
    </xdr:from>
    <xdr:to>
      <xdr:col>63</xdr:col>
      <xdr:colOff>460375</xdr:colOff>
      <xdr:row>43</xdr:row>
      <xdr:rowOff>293688</xdr:rowOff>
    </xdr:to>
    <xdr:pic>
      <xdr:nvPicPr>
        <xdr:cNvPr id="671" name="Picture 54656">
          <a:extLst>
            <a:ext uri="{FF2B5EF4-FFF2-40B4-BE49-F238E27FC236}">
              <a16:creationId xmlns:a16="http://schemas.microsoft.com/office/drawing/2014/main" id="{111655C9-FC75-C941-87C0-4022CBCA3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42</xdr:row>
      <xdr:rowOff>39688</xdr:rowOff>
    </xdr:from>
    <xdr:to>
      <xdr:col>231</xdr:col>
      <xdr:colOff>460375</xdr:colOff>
      <xdr:row>42</xdr:row>
      <xdr:rowOff>293688</xdr:rowOff>
    </xdr:to>
    <xdr:pic>
      <xdr:nvPicPr>
        <xdr:cNvPr id="672" name="Picture 54659">
          <a:extLst>
            <a:ext uri="{FF2B5EF4-FFF2-40B4-BE49-F238E27FC236}">
              <a16:creationId xmlns:a16="http://schemas.microsoft.com/office/drawing/2014/main" id="{B4222C4E-768A-3E48-B050-E55B680B2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42</xdr:row>
      <xdr:rowOff>39688</xdr:rowOff>
    </xdr:from>
    <xdr:to>
      <xdr:col>3</xdr:col>
      <xdr:colOff>460375</xdr:colOff>
      <xdr:row>42</xdr:row>
      <xdr:rowOff>293688</xdr:rowOff>
    </xdr:to>
    <xdr:pic>
      <xdr:nvPicPr>
        <xdr:cNvPr id="673" name="Picture 54662">
          <a:extLst>
            <a:ext uri="{FF2B5EF4-FFF2-40B4-BE49-F238E27FC236}">
              <a16:creationId xmlns:a16="http://schemas.microsoft.com/office/drawing/2014/main" id="{35B60AE8-75C1-2949-B9F5-2ACB36EF5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42</xdr:row>
      <xdr:rowOff>39688</xdr:rowOff>
    </xdr:from>
    <xdr:to>
      <xdr:col>99</xdr:col>
      <xdr:colOff>460375</xdr:colOff>
      <xdr:row>42</xdr:row>
      <xdr:rowOff>293688</xdr:rowOff>
    </xdr:to>
    <xdr:pic>
      <xdr:nvPicPr>
        <xdr:cNvPr id="674" name="Picture 54665">
          <a:extLst>
            <a:ext uri="{FF2B5EF4-FFF2-40B4-BE49-F238E27FC236}">
              <a16:creationId xmlns:a16="http://schemas.microsoft.com/office/drawing/2014/main" id="{A63AA2F9-62C7-C54D-BBE9-1B3DF8E3A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43</xdr:row>
      <xdr:rowOff>39688</xdr:rowOff>
    </xdr:from>
    <xdr:to>
      <xdr:col>183</xdr:col>
      <xdr:colOff>460375</xdr:colOff>
      <xdr:row>43</xdr:row>
      <xdr:rowOff>293688</xdr:rowOff>
    </xdr:to>
    <xdr:pic>
      <xdr:nvPicPr>
        <xdr:cNvPr id="675" name="Picture 54668">
          <a:extLst>
            <a:ext uri="{FF2B5EF4-FFF2-40B4-BE49-F238E27FC236}">
              <a16:creationId xmlns:a16="http://schemas.microsoft.com/office/drawing/2014/main" id="{90BDE86C-E670-7A46-A9FC-0A076E941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43</xdr:row>
      <xdr:rowOff>39688</xdr:rowOff>
    </xdr:from>
    <xdr:to>
      <xdr:col>15</xdr:col>
      <xdr:colOff>460375</xdr:colOff>
      <xdr:row>43</xdr:row>
      <xdr:rowOff>293688</xdr:rowOff>
    </xdr:to>
    <xdr:pic>
      <xdr:nvPicPr>
        <xdr:cNvPr id="676" name="Picture 54671">
          <a:extLst>
            <a:ext uri="{FF2B5EF4-FFF2-40B4-BE49-F238E27FC236}">
              <a16:creationId xmlns:a16="http://schemas.microsoft.com/office/drawing/2014/main" id="{9C4BFB77-CB23-1D46-993F-7DB9834B2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42</xdr:row>
      <xdr:rowOff>39688</xdr:rowOff>
    </xdr:from>
    <xdr:to>
      <xdr:col>27</xdr:col>
      <xdr:colOff>460375</xdr:colOff>
      <xdr:row>42</xdr:row>
      <xdr:rowOff>293688</xdr:rowOff>
    </xdr:to>
    <xdr:pic>
      <xdr:nvPicPr>
        <xdr:cNvPr id="677" name="Picture 54674">
          <a:extLst>
            <a:ext uri="{FF2B5EF4-FFF2-40B4-BE49-F238E27FC236}">
              <a16:creationId xmlns:a16="http://schemas.microsoft.com/office/drawing/2014/main" id="{061E7A0B-2AA8-5D4E-AD17-674085AF2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42</xdr:row>
      <xdr:rowOff>39688</xdr:rowOff>
    </xdr:from>
    <xdr:to>
      <xdr:col>87</xdr:col>
      <xdr:colOff>460375</xdr:colOff>
      <xdr:row>42</xdr:row>
      <xdr:rowOff>293688</xdr:rowOff>
    </xdr:to>
    <xdr:pic>
      <xdr:nvPicPr>
        <xdr:cNvPr id="678" name="Picture 54677">
          <a:extLst>
            <a:ext uri="{FF2B5EF4-FFF2-40B4-BE49-F238E27FC236}">
              <a16:creationId xmlns:a16="http://schemas.microsoft.com/office/drawing/2014/main" id="{AAE62DBD-71CE-1744-B4AE-986C14A4E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43</xdr:row>
      <xdr:rowOff>39688</xdr:rowOff>
    </xdr:from>
    <xdr:to>
      <xdr:col>219</xdr:col>
      <xdr:colOff>460375</xdr:colOff>
      <xdr:row>43</xdr:row>
      <xdr:rowOff>293688</xdr:rowOff>
    </xdr:to>
    <xdr:pic>
      <xdr:nvPicPr>
        <xdr:cNvPr id="679" name="Picture 54680">
          <a:extLst>
            <a:ext uri="{FF2B5EF4-FFF2-40B4-BE49-F238E27FC236}">
              <a16:creationId xmlns:a16="http://schemas.microsoft.com/office/drawing/2014/main" id="{E12F9E40-DB78-D14C-92E5-194D616F8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43</xdr:row>
      <xdr:rowOff>39688</xdr:rowOff>
    </xdr:from>
    <xdr:to>
      <xdr:col>111</xdr:col>
      <xdr:colOff>460375</xdr:colOff>
      <xdr:row>43</xdr:row>
      <xdr:rowOff>293688</xdr:rowOff>
    </xdr:to>
    <xdr:pic>
      <xdr:nvPicPr>
        <xdr:cNvPr id="680" name="Picture 54683">
          <a:extLst>
            <a:ext uri="{FF2B5EF4-FFF2-40B4-BE49-F238E27FC236}">
              <a16:creationId xmlns:a16="http://schemas.microsoft.com/office/drawing/2014/main" id="{28B7544D-0801-CA4D-BDD4-BE0DEA504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42</xdr:row>
      <xdr:rowOff>39688</xdr:rowOff>
    </xdr:from>
    <xdr:to>
      <xdr:col>123</xdr:col>
      <xdr:colOff>460375</xdr:colOff>
      <xdr:row>42</xdr:row>
      <xdr:rowOff>293688</xdr:rowOff>
    </xdr:to>
    <xdr:pic>
      <xdr:nvPicPr>
        <xdr:cNvPr id="681" name="Picture 54686">
          <a:extLst>
            <a:ext uri="{FF2B5EF4-FFF2-40B4-BE49-F238E27FC236}">
              <a16:creationId xmlns:a16="http://schemas.microsoft.com/office/drawing/2014/main" id="{E9383E76-06CC-AD4A-8EAF-B4514DFB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43</xdr:row>
      <xdr:rowOff>39688</xdr:rowOff>
    </xdr:from>
    <xdr:to>
      <xdr:col>3</xdr:col>
      <xdr:colOff>460375</xdr:colOff>
      <xdr:row>43</xdr:row>
      <xdr:rowOff>293688</xdr:rowOff>
    </xdr:to>
    <xdr:pic>
      <xdr:nvPicPr>
        <xdr:cNvPr id="682" name="Picture 54689">
          <a:extLst>
            <a:ext uri="{FF2B5EF4-FFF2-40B4-BE49-F238E27FC236}">
              <a16:creationId xmlns:a16="http://schemas.microsoft.com/office/drawing/2014/main" id="{18E06053-732D-2646-9808-A0C0E0A65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41</xdr:row>
      <xdr:rowOff>39688</xdr:rowOff>
    </xdr:from>
    <xdr:to>
      <xdr:col>75</xdr:col>
      <xdr:colOff>460375</xdr:colOff>
      <xdr:row>41</xdr:row>
      <xdr:rowOff>293688</xdr:rowOff>
    </xdr:to>
    <xdr:pic>
      <xdr:nvPicPr>
        <xdr:cNvPr id="683" name="Picture 54692">
          <a:extLst>
            <a:ext uri="{FF2B5EF4-FFF2-40B4-BE49-F238E27FC236}">
              <a16:creationId xmlns:a16="http://schemas.microsoft.com/office/drawing/2014/main" id="{C749A9CF-4930-C141-8ABC-D9290F7CB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83708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43</xdr:row>
      <xdr:rowOff>39688</xdr:rowOff>
    </xdr:from>
    <xdr:to>
      <xdr:col>231</xdr:col>
      <xdr:colOff>460375</xdr:colOff>
      <xdr:row>43</xdr:row>
      <xdr:rowOff>293688</xdr:rowOff>
    </xdr:to>
    <xdr:pic>
      <xdr:nvPicPr>
        <xdr:cNvPr id="684" name="Picture 54695">
          <a:extLst>
            <a:ext uri="{FF2B5EF4-FFF2-40B4-BE49-F238E27FC236}">
              <a16:creationId xmlns:a16="http://schemas.microsoft.com/office/drawing/2014/main" id="{5C8B1380-CEDC-AB4D-B5DC-08F689B4B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43</xdr:row>
      <xdr:rowOff>39688</xdr:rowOff>
    </xdr:from>
    <xdr:to>
      <xdr:col>27</xdr:col>
      <xdr:colOff>460375</xdr:colOff>
      <xdr:row>43</xdr:row>
      <xdr:rowOff>293688</xdr:rowOff>
    </xdr:to>
    <xdr:pic>
      <xdr:nvPicPr>
        <xdr:cNvPr id="685" name="Picture 54698">
          <a:extLst>
            <a:ext uri="{FF2B5EF4-FFF2-40B4-BE49-F238E27FC236}">
              <a16:creationId xmlns:a16="http://schemas.microsoft.com/office/drawing/2014/main" id="{B6EBC8E1-5DFA-234B-87E2-E624BA0F0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43</xdr:row>
      <xdr:rowOff>39688</xdr:rowOff>
    </xdr:from>
    <xdr:to>
      <xdr:col>87</xdr:col>
      <xdr:colOff>460375</xdr:colOff>
      <xdr:row>43</xdr:row>
      <xdr:rowOff>293688</xdr:rowOff>
    </xdr:to>
    <xdr:pic>
      <xdr:nvPicPr>
        <xdr:cNvPr id="686" name="Picture 54701">
          <a:extLst>
            <a:ext uri="{FF2B5EF4-FFF2-40B4-BE49-F238E27FC236}">
              <a16:creationId xmlns:a16="http://schemas.microsoft.com/office/drawing/2014/main" id="{4727EFE7-D9FF-9E45-94A2-74F007C0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42</xdr:row>
      <xdr:rowOff>39688</xdr:rowOff>
    </xdr:from>
    <xdr:to>
      <xdr:col>171</xdr:col>
      <xdr:colOff>460375</xdr:colOff>
      <xdr:row>42</xdr:row>
      <xdr:rowOff>293688</xdr:rowOff>
    </xdr:to>
    <xdr:pic>
      <xdr:nvPicPr>
        <xdr:cNvPr id="687" name="Picture 54704">
          <a:extLst>
            <a:ext uri="{FF2B5EF4-FFF2-40B4-BE49-F238E27FC236}">
              <a16:creationId xmlns:a16="http://schemas.microsoft.com/office/drawing/2014/main" id="{09F1F889-7FEC-1C48-83F8-33418F549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43</xdr:row>
      <xdr:rowOff>39688</xdr:rowOff>
    </xdr:from>
    <xdr:to>
      <xdr:col>99</xdr:col>
      <xdr:colOff>460375</xdr:colOff>
      <xdr:row>43</xdr:row>
      <xdr:rowOff>293688</xdr:rowOff>
    </xdr:to>
    <xdr:pic>
      <xdr:nvPicPr>
        <xdr:cNvPr id="688" name="Picture 54707">
          <a:extLst>
            <a:ext uri="{FF2B5EF4-FFF2-40B4-BE49-F238E27FC236}">
              <a16:creationId xmlns:a16="http://schemas.microsoft.com/office/drawing/2014/main" id="{103B3C4E-8BD4-684C-BEF5-E763AB92C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43</xdr:row>
      <xdr:rowOff>39688</xdr:rowOff>
    </xdr:from>
    <xdr:to>
      <xdr:col>123</xdr:col>
      <xdr:colOff>460375</xdr:colOff>
      <xdr:row>43</xdr:row>
      <xdr:rowOff>293688</xdr:rowOff>
    </xdr:to>
    <xdr:pic>
      <xdr:nvPicPr>
        <xdr:cNvPr id="689" name="Picture 54710">
          <a:extLst>
            <a:ext uri="{FF2B5EF4-FFF2-40B4-BE49-F238E27FC236}">
              <a16:creationId xmlns:a16="http://schemas.microsoft.com/office/drawing/2014/main" id="{4E1AE0A4-8A5A-EC46-B09D-A93ABDEDC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42</xdr:row>
      <xdr:rowOff>39688</xdr:rowOff>
    </xdr:from>
    <xdr:to>
      <xdr:col>159</xdr:col>
      <xdr:colOff>460375</xdr:colOff>
      <xdr:row>42</xdr:row>
      <xdr:rowOff>293688</xdr:rowOff>
    </xdr:to>
    <xdr:pic>
      <xdr:nvPicPr>
        <xdr:cNvPr id="690" name="Picture 54713">
          <a:extLst>
            <a:ext uri="{FF2B5EF4-FFF2-40B4-BE49-F238E27FC236}">
              <a16:creationId xmlns:a16="http://schemas.microsoft.com/office/drawing/2014/main" id="{CE1C6CEA-B62B-A646-BA0B-27F5C05AE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43</xdr:row>
      <xdr:rowOff>39688</xdr:rowOff>
    </xdr:from>
    <xdr:to>
      <xdr:col>195</xdr:col>
      <xdr:colOff>460375</xdr:colOff>
      <xdr:row>43</xdr:row>
      <xdr:rowOff>293688</xdr:rowOff>
    </xdr:to>
    <xdr:pic>
      <xdr:nvPicPr>
        <xdr:cNvPr id="691" name="Picture 54716">
          <a:extLst>
            <a:ext uri="{FF2B5EF4-FFF2-40B4-BE49-F238E27FC236}">
              <a16:creationId xmlns:a16="http://schemas.microsoft.com/office/drawing/2014/main" id="{C3C83904-9BAB-B747-9490-6810BD7F3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42</xdr:row>
      <xdr:rowOff>39688</xdr:rowOff>
    </xdr:from>
    <xdr:to>
      <xdr:col>51</xdr:col>
      <xdr:colOff>460375</xdr:colOff>
      <xdr:row>42</xdr:row>
      <xdr:rowOff>293688</xdr:rowOff>
    </xdr:to>
    <xdr:pic>
      <xdr:nvPicPr>
        <xdr:cNvPr id="692" name="Picture 54719">
          <a:extLst>
            <a:ext uri="{FF2B5EF4-FFF2-40B4-BE49-F238E27FC236}">
              <a16:creationId xmlns:a16="http://schemas.microsoft.com/office/drawing/2014/main" id="{95D09AFC-2589-C343-BBF3-2F8867020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42</xdr:row>
      <xdr:rowOff>39688</xdr:rowOff>
    </xdr:from>
    <xdr:to>
      <xdr:col>147</xdr:col>
      <xdr:colOff>460375</xdr:colOff>
      <xdr:row>42</xdr:row>
      <xdr:rowOff>293688</xdr:rowOff>
    </xdr:to>
    <xdr:pic>
      <xdr:nvPicPr>
        <xdr:cNvPr id="693" name="Picture 54722">
          <a:extLst>
            <a:ext uri="{FF2B5EF4-FFF2-40B4-BE49-F238E27FC236}">
              <a16:creationId xmlns:a16="http://schemas.microsoft.com/office/drawing/2014/main" id="{1AD7C405-734B-6443-9D06-996078D5D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44</xdr:row>
      <xdr:rowOff>39688</xdr:rowOff>
    </xdr:from>
    <xdr:to>
      <xdr:col>219</xdr:col>
      <xdr:colOff>460375</xdr:colOff>
      <xdr:row>44</xdr:row>
      <xdr:rowOff>293688</xdr:rowOff>
    </xdr:to>
    <xdr:pic>
      <xdr:nvPicPr>
        <xdr:cNvPr id="694" name="Picture 54725">
          <a:extLst>
            <a:ext uri="{FF2B5EF4-FFF2-40B4-BE49-F238E27FC236}">
              <a16:creationId xmlns:a16="http://schemas.microsoft.com/office/drawing/2014/main" id="{96E79505-7BB5-AC45-AE59-CD437F9A4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44</xdr:row>
      <xdr:rowOff>39688</xdr:rowOff>
    </xdr:from>
    <xdr:to>
      <xdr:col>123</xdr:col>
      <xdr:colOff>460375</xdr:colOff>
      <xdr:row>44</xdr:row>
      <xdr:rowOff>293688</xdr:rowOff>
    </xdr:to>
    <xdr:pic>
      <xdr:nvPicPr>
        <xdr:cNvPr id="695" name="Picture 54728">
          <a:extLst>
            <a:ext uri="{FF2B5EF4-FFF2-40B4-BE49-F238E27FC236}">
              <a16:creationId xmlns:a16="http://schemas.microsoft.com/office/drawing/2014/main" id="{AD55D69A-3E05-3D45-A9CB-78DD2951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44</xdr:row>
      <xdr:rowOff>39688</xdr:rowOff>
    </xdr:from>
    <xdr:to>
      <xdr:col>111</xdr:col>
      <xdr:colOff>460375</xdr:colOff>
      <xdr:row>44</xdr:row>
      <xdr:rowOff>293688</xdr:rowOff>
    </xdr:to>
    <xdr:pic>
      <xdr:nvPicPr>
        <xdr:cNvPr id="696" name="Picture 54731">
          <a:extLst>
            <a:ext uri="{FF2B5EF4-FFF2-40B4-BE49-F238E27FC236}">
              <a16:creationId xmlns:a16="http://schemas.microsoft.com/office/drawing/2014/main" id="{895B5135-20D7-C34E-B78F-96E80E690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44</xdr:row>
      <xdr:rowOff>39688</xdr:rowOff>
    </xdr:from>
    <xdr:to>
      <xdr:col>87</xdr:col>
      <xdr:colOff>460375</xdr:colOff>
      <xdr:row>44</xdr:row>
      <xdr:rowOff>293688</xdr:rowOff>
    </xdr:to>
    <xdr:pic>
      <xdr:nvPicPr>
        <xdr:cNvPr id="697" name="Picture 54734">
          <a:extLst>
            <a:ext uri="{FF2B5EF4-FFF2-40B4-BE49-F238E27FC236}">
              <a16:creationId xmlns:a16="http://schemas.microsoft.com/office/drawing/2014/main" id="{F0672A63-576B-A04D-9FEA-1C8D5B2C2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223050</xdr:colOff>
      <xdr:row>43</xdr:row>
      <xdr:rowOff>39688</xdr:rowOff>
    </xdr:from>
    <xdr:to>
      <xdr:col>159</xdr:col>
      <xdr:colOff>443706</xdr:colOff>
      <xdr:row>43</xdr:row>
      <xdr:rowOff>293688</xdr:rowOff>
    </xdr:to>
    <xdr:pic>
      <xdr:nvPicPr>
        <xdr:cNvPr id="698" name="Picture 54737">
          <a:extLst>
            <a:ext uri="{FF2B5EF4-FFF2-40B4-BE49-F238E27FC236}">
              <a16:creationId xmlns:a16="http://schemas.microsoft.com/office/drawing/2014/main" id="{00155A1C-FFF7-1B4A-9549-4946485D60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1050" y="87772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44</xdr:row>
      <xdr:rowOff>39688</xdr:rowOff>
    </xdr:from>
    <xdr:to>
      <xdr:col>63</xdr:col>
      <xdr:colOff>460375</xdr:colOff>
      <xdr:row>44</xdr:row>
      <xdr:rowOff>293688</xdr:rowOff>
    </xdr:to>
    <xdr:pic>
      <xdr:nvPicPr>
        <xdr:cNvPr id="699" name="Picture 54740">
          <a:extLst>
            <a:ext uri="{FF2B5EF4-FFF2-40B4-BE49-F238E27FC236}">
              <a16:creationId xmlns:a16="http://schemas.microsoft.com/office/drawing/2014/main" id="{99CC1DE5-841A-A94D-AA17-883D1441A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43</xdr:row>
      <xdr:rowOff>39688</xdr:rowOff>
    </xdr:from>
    <xdr:to>
      <xdr:col>171</xdr:col>
      <xdr:colOff>460375</xdr:colOff>
      <xdr:row>43</xdr:row>
      <xdr:rowOff>293688</xdr:rowOff>
    </xdr:to>
    <xdr:pic>
      <xdr:nvPicPr>
        <xdr:cNvPr id="700" name="Picture 54743">
          <a:extLst>
            <a:ext uri="{FF2B5EF4-FFF2-40B4-BE49-F238E27FC236}">
              <a16:creationId xmlns:a16="http://schemas.microsoft.com/office/drawing/2014/main" id="{5BF2F3C9-0799-1943-A1F5-B0CBCE007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44</xdr:row>
      <xdr:rowOff>39688</xdr:rowOff>
    </xdr:from>
    <xdr:to>
      <xdr:col>195</xdr:col>
      <xdr:colOff>460375</xdr:colOff>
      <xdr:row>44</xdr:row>
      <xdr:rowOff>293688</xdr:rowOff>
    </xdr:to>
    <xdr:pic>
      <xdr:nvPicPr>
        <xdr:cNvPr id="701" name="Picture 54746">
          <a:extLst>
            <a:ext uri="{FF2B5EF4-FFF2-40B4-BE49-F238E27FC236}">
              <a16:creationId xmlns:a16="http://schemas.microsoft.com/office/drawing/2014/main" id="{5D9BA030-1535-C649-9362-D85A4F8C1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205432</xdr:colOff>
      <xdr:row>44</xdr:row>
      <xdr:rowOff>39688</xdr:rowOff>
    </xdr:from>
    <xdr:to>
      <xdr:col>231</xdr:col>
      <xdr:colOff>461328</xdr:colOff>
      <xdr:row>44</xdr:row>
      <xdr:rowOff>293688</xdr:rowOff>
    </xdr:to>
    <xdr:pic>
      <xdr:nvPicPr>
        <xdr:cNvPr id="702" name="Picture 54749">
          <a:extLst>
            <a:ext uri="{FF2B5EF4-FFF2-40B4-BE49-F238E27FC236}">
              <a16:creationId xmlns:a16="http://schemas.microsoft.com/office/drawing/2014/main" id="{40D45C5F-2224-D944-8982-9EBD9F23D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7432" y="89804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44</xdr:row>
      <xdr:rowOff>39688</xdr:rowOff>
    </xdr:from>
    <xdr:to>
      <xdr:col>135</xdr:col>
      <xdr:colOff>460375</xdr:colOff>
      <xdr:row>44</xdr:row>
      <xdr:rowOff>293688</xdr:rowOff>
    </xdr:to>
    <xdr:pic>
      <xdr:nvPicPr>
        <xdr:cNvPr id="703" name="Picture 54752">
          <a:extLst>
            <a:ext uri="{FF2B5EF4-FFF2-40B4-BE49-F238E27FC236}">
              <a16:creationId xmlns:a16="http://schemas.microsoft.com/office/drawing/2014/main" id="{7D6EC6AF-3001-5A41-A356-4B09B839F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44</xdr:row>
      <xdr:rowOff>39688</xdr:rowOff>
    </xdr:from>
    <xdr:to>
      <xdr:col>99</xdr:col>
      <xdr:colOff>460375</xdr:colOff>
      <xdr:row>44</xdr:row>
      <xdr:rowOff>293688</xdr:rowOff>
    </xdr:to>
    <xdr:pic>
      <xdr:nvPicPr>
        <xdr:cNvPr id="704" name="Picture 54755">
          <a:extLst>
            <a:ext uri="{FF2B5EF4-FFF2-40B4-BE49-F238E27FC236}">
              <a16:creationId xmlns:a16="http://schemas.microsoft.com/office/drawing/2014/main" id="{C62FD0D7-BEED-2149-BADB-DE3381BF4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44</xdr:row>
      <xdr:rowOff>39688</xdr:rowOff>
    </xdr:from>
    <xdr:to>
      <xdr:col>39</xdr:col>
      <xdr:colOff>460375</xdr:colOff>
      <xdr:row>44</xdr:row>
      <xdr:rowOff>293688</xdr:rowOff>
    </xdr:to>
    <xdr:pic>
      <xdr:nvPicPr>
        <xdr:cNvPr id="705" name="Picture 54758">
          <a:extLst>
            <a:ext uri="{FF2B5EF4-FFF2-40B4-BE49-F238E27FC236}">
              <a16:creationId xmlns:a16="http://schemas.microsoft.com/office/drawing/2014/main" id="{02FB3BF9-7A22-824B-9508-EC9382FF5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44</xdr:row>
      <xdr:rowOff>39688</xdr:rowOff>
    </xdr:from>
    <xdr:to>
      <xdr:col>15</xdr:col>
      <xdr:colOff>460375</xdr:colOff>
      <xdr:row>44</xdr:row>
      <xdr:rowOff>293688</xdr:rowOff>
    </xdr:to>
    <xdr:pic>
      <xdr:nvPicPr>
        <xdr:cNvPr id="706" name="Picture 54761">
          <a:extLst>
            <a:ext uri="{FF2B5EF4-FFF2-40B4-BE49-F238E27FC236}">
              <a16:creationId xmlns:a16="http://schemas.microsoft.com/office/drawing/2014/main" id="{A77F9036-B64F-F94A-9412-195F54054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42</xdr:row>
      <xdr:rowOff>39688</xdr:rowOff>
    </xdr:from>
    <xdr:to>
      <xdr:col>75</xdr:col>
      <xdr:colOff>460375</xdr:colOff>
      <xdr:row>42</xdr:row>
      <xdr:rowOff>293688</xdr:rowOff>
    </xdr:to>
    <xdr:pic>
      <xdr:nvPicPr>
        <xdr:cNvPr id="707" name="Picture 54764">
          <a:extLst>
            <a:ext uri="{FF2B5EF4-FFF2-40B4-BE49-F238E27FC236}">
              <a16:creationId xmlns:a16="http://schemas.microsoft.com/office/drawing/2014/main" id="{E611BCA4-BA61-8840-82F7-DCEAF3834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44</xdr:row>
      <xdr:rowOff>39688</xdr:rowOff>
    </xdr:from>
    <xdr:to>
      <xdr:col>27</xdr:col>
      <xdr:colOff>460375</xdr:colOff>
      <xdr:row>44</xdr:row>
      <xdr:rowOff>293688</xdr:rowOff>
    </xdr:to>
    <xdr:pic>
      <xdr:nvPicPr>
        <xdr:cNvPr id="708" name="Picture 54767">
          <a:extLst>
            <a:ext uri="{FF2B5EF4-FFF2-40B4-BE49-F238E27FC236}">
              <a16:creationId xmlns:a16="http://schemas.microsoft.com/office/drawing/2014/main" id="{8BBD0731-76DD-2041-96D8-F02D7BAE1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43</xdr:row>
      <xdr:rowOff>39688</xdr:rowOff>
    </xdr:from>
    <xdr:to>
      <xdr:col>51</xdr:col>
      <xdr:colOff>460375</xdr:colOff>
      <xdr:row>43</xdr:row>
      <xdr:rowOff>293688</xdr:rowOff>
    </xdr:to>
    <xdr:pic>
      <xdr:nvPicPr>
        <xdr:cNvPr id="709" name="Picture 54770">
          <a:extLst>
            <a:ext uri="{FF2B5EF4-FFF2-40B4-BE49-F238E27FC236}">
              <a16:creationId xmlns:a16="http://schemas.microsoft.com/office/drawing/2014/main" id="{4F10D67B-70C4-DB4A-AC9F-62F11A4EC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42</xdr:row>
      <xdr:rowOff>39688</xdr:rowOff>
    </xdr:from>
    <xdr:to>
      <xdr:col>207</xdr:col>
      <xdr:colOff>460375</xdr:colOff>
      <xdr:row>42</xdr:row>
      <xdr:rowOff>293688</xdr:rowOff>
    </xdr:to>
    <xdr:pic>
      <xdr:nvPicPr>
        <xdr:cNvPr id="710" name="Picture 54773">
          <a:extLst>
            <a:ext uri="{FF2B5EF4-FFF2-40B4-BE49-F238E27FC236}">
              <a16:creationId xmlns:a16="http://schemas.microsoft.com/office/drawing/2014/main" id="{C7C3CF98-1911-B742-A9B0-BF8F24551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8574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44</xdr:row>
      <xdr:rowOff>39688</xdr:rowOff>
    </xdr:from>
    <xdr:to>
      <xdr:col>3</xdr:col>
      <xdr:colOff>460375</xdr:colOff>
      <xdr:row>44</xdr:row>
      <xdr:rowOff>293688</xdr:rowOff>
    </xdr:to>
    <xdr:pic>
      <xdr:nvPicPr>
        <xdr:cNvPr id="711" name="Picture 54776">
          <a:extLst>
            <a:ext uri="{FF2B5EF4-FFF2-40B4-BE49-F238E27FC236}">
              <a16:creationId xmlns:a16="http://schemas.microsoft.com/office/drawing/2014/main" id="{E72D6BC5-010A-894D-A45A-1E7CEA357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44</xdr:row>
      <xdr:rowOff>39688</xdr:rowOff>
    </xdr:from>
    <xdr:to>
      <xdr:col>183</xdr:col>
      <xdr:colOff>460375</xdr:colOff>
      <xdr:row>44</xdr:row>
      <xdr:rowOff>293688</xdr:rowOff>
    </xdr:to>
    <xdr:pic>
      <xdr:nvPicPr>
        <xdr:cNvPr id="712" name="Picture 54779">
          <a:extLst>
            <a:ext uri="{FF2B5EF4-FFF2-40B4-BE49-F238E27FC236}">
              <a16:creationId xmlns:a16="http://schemas.microsoft.com/office/drawing/2014/main" id="{8464E706-7418-2940-BF51-3AA100C31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43</xdr:row>
      <xdr:rowOff>39688</xdr:rowOff>
    </xdr:from>
    <xdr:to>
      <xdr:col>147</xdr:col>
      <xdr:colOff>460375</xdr:colOff>
      <xdr:row>43</xdr:row>
      <xdr:rowOff>293688</xdr:rowOff>
    </xdr:to>
    <xdr:pic>
      <xdr:nvPicPr>
        <xdr:cNvPr id="713" name="Picture 54782">
          <a:extLst>
            <a:ext uri="{FF2B5EF4-FFF2-40B4-BE49-F238E27FC236}">
              <a16:creationId xmlns:a16="http://schemas.microsoft.com/office/drawing/2014/main" id="{52A528B6-A40C-2540-837B-E13C8FB0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87772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44</xdr:row>
      <xdr:rowOff>39688</xdr:rowOff>
    </xdr:from>
    <xdr:to>
      <xdr:col>75</xdr:col>
      <xdr:colOff>460375</xdr:colOff>
      <xdr:row>44</xdr:row>
      <xdr:rowOff>293688</xdr:rowOff>
    </xdr:to>
    <xdr:pic>
      <xdr:nvPicPr>
        <xdr:cNvPr id="714" name="Picture 54785">
          <a:extLst>
            <a:ext uri="{FF2B5EF4-FFF2-40B4-BE49-F238E27FC236}">
              <a16:creationId xmlns:a16="http://schemas.microsoft.com/office/drawing/2014/main" id="{96B5B818-1C1E-5541-A008-70106398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44</xdr:row>
      <xdr:rowOff>39688</xdr:rowOff>
    </xdr:from>
    <xdr:to>
      <xdr:col>207</xdr:col>
      <xdr:colOff>460375</xdr:colOff>
      <xdr:row>44</xdr:row>
      <xdr:rowOff>293688</xdr:rowOff>
    </xdr:to>
    <xdr:pic>
      <xdr:nvPicPr>
        <xdr:cNvPr id="715" name="Picture 54788">
          <a:extLst>
            <a:ext uri="{FF2B5EF4-FFF2-40B4-BE49-F238E27FC236}">
              <a16:creationId xmlns:a16="http://schemas.microsoft.com/office/drawing/2014/main" id="{4EFEB234-DF31-664A-A275-93E0542C9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89804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46</xdr:row>
      <xdr:rowOff>39688</xdr:rowOff>
    </xdr:from>
    <xdr:to>
      <xdr:col>135</xdr:col>
      <xdr:colOff>460375</xdr:colOff>
      <xdr:row>46</xdr:row>
      <xdr:rowOff>293688</xdr:rowOff>
    </xdr:to>
    <xdr:pic>
      <xdr:nvPicPr>
        <xdr:cNvPr id="716" name="Picture 54791">
          <a:extLst>
            <a:ext uri="{FF2B5EF4-FFF2-40B4-BE49-F238E27FC236}">
              <a16:creationId xmlns:a16="http://schemas.microsoft.com/office/drawing/2014/main" id="{D074117E-FDE7-0C4E-B9E0-878F145CE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205426</xdr:colOff>
      <xdr:row>46</xdr:row>
      <xdr:rowOff>39688</xdr:rowOff>
    </xdr:from>
    <xdr:to>
      <xdr:col>99</xdr:col>
      <xdr:colOff>461322</xdr:colOff>
      <xdr:row>46</xdr:row>
      <xdr:rowOff>293688</xdr:rowOff>
    </xdr:to>
    <xdr:pic>
      <xdr:nvPicPr>
        <xdr:cNvPr id="717" name="Picture 54794">
          <a:extLst>
            <a:ext uri="{FF2B5EF4-FFF2-40B4-BE49-F238E27FC236}">
              <a16:creationId xmlns:a16="http://schemas.microsoft.com/office/drawing/2014/main" id="{1E2F726F-3061-8949-BB8B-26C3737A1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3426" y="9386888"/>
          <a:ext cx="255896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46</xdr:row>
      <xdr:rowOff>39688</xdr:rowOff>
    </xdr:from>
    <xdr:to>
      <xdr:col>3</xdr:col>
      <xdr:colOff>460375</xdr:colOff>
      <xdr:row>46</xdr:row>
      <xdr:rowOff>293688</xdr:rowOff>
    </xdr:to>
    <xdr:pic>
      <xdr:nvPicPr>
        <xdr:cNvPr id="718" name="Picture 54797">
          <a:extLst>
            <a:ext uri="{FF2B5EF4-FFF2-40B4-BE49-F238E27FC236}">
              <a16:creationId xmlns:a16="http://schemas.microsoft.com/office/drawing/2014/main" id="{2F0CC8F6-3D9A-9E44-865D-005897CD1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46</xdr:row>
      <xdr:rowOff>39688</xdr:rowOff>
    </xdr:from>
    <xdr:to>
      <xdr:col>27</xdr:col>
      <xdr:colOff>460375</xdr:colOff>
      <xdr:row>46</xdr:row>
      <xdr:rowOff>293688</xdr:rowOff>
    </xdr:to>
    <xdr:pic>
      <xdr:nvPicPr>
        <xdr:cNvPr id="719" name="Picture 54800">
          <a:extLst>
            <a:ext uri="{FF2B5EF4-FFF2-40B4-BE49-F238E27FC236}">
              <a16:creationId xmlns:a16="http://schemas.microsoft.com/office/drawing/2014/main" id="{0735C9CD-FEA0-2946-92D9-3B5262D65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46</xdr:row>
      <xdr:rowOff>39688</xdr:rowOff>
    </xdr:from>
    <xdr:to>
      <xdr:col>39</xdr:col>
      <xdr:colOff>460375</xdr:colOff>
      <xdr:row>46</xdr:row>
      <xdr:rowOff>293688</xdr:rowOff>
    </xdr:to>
    <xdr:pic>
      <xdr:nvPicPr>
        <xdr:cNvPr id="720" name="Picture 54803">
          <a:extLst>
            <a:ext uri="{FF2B5EF4-FFF2-40B4-BE49-F238E27FC236}">
              <a16:creationId xmlns:a16="http://schemas.microsoft.com/office/drawing/2014/main" id="{B42E6E29-AC60-744D-BED0-74AB66C1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46</xdr:row>
      <xdr:rowOff>39688</xdr:rowOff>
    </xdr:from>
    <xdr:to>
      <xdr:col>111</xdr:col>
      <xdr:colOff>460375</xdr:colOff>
      <xdr:row>46</xdr:row>
      <xdr:rowOff>293688</xdr:rowOff>
    </xdr:to>
    <xdr:pic>
      <xdr:nvPicPr>
        <xdr:cNvPr id="721" name="Picture 54806">
          <a:extLst>
            <a:ext uri="{FF2B5EF4-FFF2-40B4-BE49-F238E27FC236}">
              <a16:creationId xmlns:a16="http://schemas.microsoft.com/office/drawing/2014/main" id="{4889277C-859C-0D44-A8D3-A96EC111A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46</xdr:row>
      <xdr:rowOff>39688</xdr:rowOff>
    </xdr:from>
    <xdr:to>
      <xdr:col>63</xdr:col>
      <xdr:colOff>460375</xdr:colOff>
      <xdr:row>46</xdr:row>
      <xdr:rowOff>293688</xdr:rowOff>
    </xdr:to>
    <xdr:pic>
      <xdr:nvPicPr>
        <xdr:cNvPr id="722" name="Picture 54809">
          <a:extLst>
            <a:ext uri="{FF2B5EF4-FFF2-40B4-BE49-F238E27FC236}">
              <a16:creationId xmlns:a16="http://schemas.microsoft.com/office/drawing/2014/main" id="{5BF98EEE-A782-A04B-9C37-2D223B012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223044</xdr:colOff>
      <xdr:row>45</xdr:row>
      <xdr:rowOff>39688</xdr:rowOff>
    </xdr:from>
    <xdr:to>
      <xdr:col>171</xdr:col>
      <xdr:colOff>443700</xdr:colOff>
      <xdr:row>45</xdr:row>
      <xdr:rowOff>293688</xdr:rowOff>
    </xdr:to>
    <xdr:pic>
      <xdr:nvPicPr>
        <xdr:cNvPr id="723" name="Picture 54812">
          <a:extLst>
            <a:ext uri="{FF2B5EF4-FFF2-40B4-BE49-F238E27FC236}">
              <a16:creationId xmlns:a16="http://schemas.microsoft.com/office/drawing/2014/main" id="{D20B1377-8B36-1440-9AB4-E49E15A53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25044" y="9183688"/>
          <a:ext cx="220656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46</xdr:row>
      <xdr:rowOff>39688</xdr:rowOff>
    </xdr:from>
    <xdr:to>
      <xdr:col>195</xdr:col>
      <xdr:colOff>460375</xdr:colOff>
      <xdr:row>46</xdr:row>
      <xdr:rowOff>293688</xdr:rowOff>
    </xdr:to>
    <xdr:pic>
      <xdr:nvPicPr>
        <xdr:cNvPr id="724" name="Picture 54815">
          <a:extLst>
            <a:ext uri="{FF2B5EF4-FFF2-40B4-BE49-F238E27FC236}">
              <a16:creationId xmlns:a16="http://schemas.microsoft.com/office/drawing/2014/main" id="{4665718E-5846-3646-8657-63365CFC7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46</xdr:row>
      <xdr:rowOff>39688</xdr:rowOff>
    </xdr:from>
    <xdr:to>
      <xdr:col>183</xdr:col>
      <xdr:colOff>460375</xdr:colOff>
      <xdr:row>46</xdr:row>
      <xdr:rowOff>293688</xdr:rowOff>
    </xdr:to>
    <xdr:pic>
      <xdr:nvPicPr>
        <xdr:cNvPr id="725" name="Picture 54818">
          <a:extLst>
            <a:ext uri="{FF2B5EF4-FFF2-40B4-BE49-F238E27FC236}">
              <a16:creationId xmlns:a16="http://schemas.microsoft.com/office/drawing/2014/main" id="{C6AFDBFF-0D22-C14F-A2A7-641536471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45</xdr:row>
      <xdr:rowOff>39688</xdr:rowOff>
    </xdr:from>
    <xdr:to>
      <xdr:col>147</xdr:col>
      <xdr:colOff>460375</xdr:colOff>
      <xdr:row>45</xdr:row>
      <xdr:rowOff>293688</xdr:rowOff>
    </xdr:to>
    <xdr:pic>
      <xdr:nvPicPr>
        <xdr:cNvPr id="726" name="Picture 54821">
          <a:extLst>
            <a:ext uri="{FF2B5EF4-FFF2-40B4-BE49-F238E27FC236}">
              <a16:creationId xmlns:a16="http://schemas.microsoft.com/office/drawing/2014/main" id="{72813ED8-9350-2B4C-BED4-4C429574E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91836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46</xdr:row>
      <xdr:rowOff>39688</xdr:rowOff>
    </xdr:from>
    <xdr:to>
      <xdr:col>231</xdr:col>
      <xdr:colOff>460375</xdr:colOff>
      <xdr:row>46</xdr:row>
      <xdr:rowOff>293688</xdr:rowOff>
    </xdr:to>
    <xdr:pic>
      <xdr:nvPicPr>
        <xdr:cNvPr id="727" name="Picture 54824">
          <a:extLst>
            <a:ext uri="{FF2B5EF4-FFF2-40B4-BE49-F238E27FC236}">
              <a16:creationId xmlns:a16="http://schemas.microsoft.com/office/drawing/2014/main" id="{898D2D1E-89E8-944F-8A5E-6E8868B8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45</xdr:row>
      <xdr:rowOff>39688</xdr:rowOff>
    </xdr:from>
    <xdr:to>
      <xdr:col>51</xdr:col>
      <xdr:colOff>460375</xdr:colOff>
      <xdr:row>45</xdr:row>
      <xdr:rowOff>293688</xdr:rowOff>
    </xdr:to>
    <xdr:pic>
      <xdr:nvPicPr>
        <xdr:cNvPr id="728" name="Picture 54827">
          <a:extLst>
            <a:ext uri="{FF2B5EF4-FFF2-40B4-BE49-F238E27FC236}">
              <a16:creationId xmlns:a16="http://schemas.microsoft.com/office/drawing/2014/main" id="{92E65D11-5B4F-D24A-9174-DF6F8315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91836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46</xdr:row>
      <xdr:rowOff>39688</xdr:rowOff>
    </xdr:from>
    <xdr:to>
      <xdr:col>15</xdr:col>
      <xdr:colOff>460375</xdr:colOff>
      <xdr:row>46</xdr:row>
      <xdr:rowOff>293688</xdr:rowOff>
    </xdr:to>
    <xdr:pic>
      <xdr:nvPicPr>
        <xdr:cNvPr id="729" name="Picture 54830">
          <a:extLst>
            <a:ext uri="{FF2B5EF4-FFF2-40B4-BE49-F238E27FC236}">
              <a16:creationId xmlns:a16="http://schemas.microsoft.com/office/drawing/2014/main" id="{8EE331F2-42F7-6B43-AFDA-ECF38FCF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45</xdr:row>
      <xdr:rowOff>39688</xdr:rowOff>
    </xdr:from>
    <xdr:to>
      <xdr:col>75</xdr:col>
      <xdr:colOff>460375</xdr:colOff>
      <xdr:row>45</xdr:row>
      <xdr:rowOff>293688</xdr:rowOff>
    </xdr:to>
    <xdr:pic>
      <xdr:nvPicPr>
        <xdr:cNvPr id="730" name="Picture 54833">
          <a:extLst>
            <a:ext uri="{FF2B5EF4-FFF2-40B4-BE49-F238E27FC236}">
              <a16:creationId xmlns:a16="http://schemas.microsoft.com/office/drawing/2014/main" id="{97EE9C11-2463-0E4F-BFA1-86DA89A94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91836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46</xdr:row>
      <xdr:rowOff>39688</xdr:rowOff>
    </xdr:from>
    <xdr:to>
      <xdr:col>219</xdr:col>
      <xdr:colOff>460375</xdr:colOff>
      <xdr:row>46</xdr:row>
      <xdr:rowOff>293688</xdr:rowOff>
    </xdr:to>
    <xdr:pic>
      <xdr:nvPicPr>
        <xdr:cNvPr id="731" name="Picture 54836">
          <a:extLst>
            <a:ext uri="{FF2B5EF4-FFF2-40B4-BE49-F238E27FC236}">
              <a16:creationId xmlns:a16="http://schemas.microsoft.com/office/drawing/2014/main" id="{ECD5F320-7FF0-C848-9A45-C2D31F764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46</xdr:row>
      <xdr:rowOff>39688</xdr:rowOff>
    </xdr:from>
    <xdr:to>
      <xdr:col>123</xdr:col>
      <xdr:colOff>460375</xdr:colOff>
      <xdr:row>46</xdr:row>
      <xdr:rowOff>293688</xdr:rowOff>
    </xdr:to>
    <xdr:pic>
      <xdr:nvPicPr>
        <xdr:cNvPr id="732" name="Picture 54839">
          <a:extLst>
            <a:ext uri="{FF2B5EF4-FFF2-40B4-BE49-F238E27FC236}">
              <a16:creationId xmlns:a16="http://schemas.microsoft.com/office/drawing/2014/main" id="{FCAEEB0C-C0C1-924D-888A-FAC9403C6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45</xdr:row>
      <xdr:rowOff>39688</xdr:rowOff>
    </xdr:from>
    <xdr:to>
      <xdr:col>207</xdr:col>
      <xdr:colOff>460375</xdr:colOff>
      <xdr:row>45</xdr:row>
      <xdr:rowOff>293688</xdr:rowOff>
    </xdr:to>
    <xdr:pic>
      <xdr:nvPicPr>
        <xdr:cNvPr id="733" name="Picture 54842">
          <a:extLst>
            <a:ext uri="{FF2B5EF4-FFF2-40B4-BE49-F238E27FC236}">
              <a16:creationId xmlns:a16="http://schemas.microsoft.com/office/drawing/2014/main" id="{6CFD8F85-21ED-E344-9A3C-C41B48119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91836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46</xdr:row>
      <xdr:rowOff>39688</xdr:rowOff>
    </xdr:from>
    <xdr:to>
      <xdr:col>87</xdr:col>
      <xdr:colOff>460375</xdr:colOff>
      <xdr:row>46</xdr:row>
      <xdr:rowOff>293688</xdr:rowOff>
    </xdr:to>
    <xdr:pic>
      <xdr:nvPicPr>
        <xdr:cNvPr id="734" name="Picture 54845">
          <a:extLst>
            <a:ext uri="{FF2B5EF4-FFF2-40B4-BE49-F238E27FC236}">
              <a16:creationId xmlns:a16="http://schemas.microsoft.com/office/drawing/2014/main" id="{F8E4F20F-B662-8D4B-BEB1-9BFC28C4C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45</xdr:row>
      <xdr:rowOff>39688</xdr:rowOff>
    </xdr:from>
    <xdr:to>
      <xdr:col>159</xdr:col>
      <xdr:colOff>460375</xdr:colOff>
      <xdr:row>45</xdr:row>
      <xdr:rowOff>293688</xdr:rowOff>
    </xdr:to>
    <xdr:pic>
      <xdr:nvPicPr>
        <xdr:cNvPr id="735" name="Picture 54848">
          <a:extLst>
            <a:ext uri="{FF2B5EF4-FFF2-40B4-BE49-F238E27FC236}">
              <a16:creationId xmlns:a16="http://schemas.microsoft.com/office/drawing/2014/main" id="{3DD8459E-13A3-3841-AB67-A0D576DD6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91836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206375</xdr:colOff>
      <xdr:row>47</xdr:row>
      <xdr:rowOff>39688</xdr:rowOff>
    </xdr:from>
    <xdr:to>
      <xdr:col>111</xdr:col>
      <xdr:colOff>460375</xdr:colOff>
      <xdr:row>47</xdr:row>
      <xdr:rowOff>293688</xdr:rowOff>
    </xdr:to>
    <xdr:pic>
      <xdr:nvPicPr>
        <xdr:cNvPr id="736" name="Picture 54851">
          <a:extLst>
            <a:ext uri="{FF2B5EF4-FFF2-40B4-BE49-F238E27FC236}">
              <a16:creationId xmlns:a16="http://schemas.microsoft.com/office/drawing/2014/main" id="{B3BD5865-931D-9D46-AA7A-550F7BE3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8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46</xdr:row>
      <xdr:rowOff>39688</xdr:rowOff>
    </xdr:from>
    <xdr:to>
      <xdr:col>147</xdr:col>
      <xdr:colOff>460375</xdr:colOff>
      <xdr:row>46</xdr:row>
      <xdr:rowOff>293688</xdr:rowOff>
    </xdr:to>
    <xdr:pic>
      <xdr:nvPicPr>
        <xdr:cNvPr id="737" name="Picture 54854">
          <a:extLst>
            <a:ext uri="{FF2B5EF4-FFF2-40B4-BE49-F238E27FC236}">
              <a16:creationId xmlns:a16="http://schemas.microsoft.com/office/drawing/2014/main" id="{B56399FE-BF02-2B47-82A8-7CE8A8099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47</xdr:row>
      <xdr:rowOff>39688</xdr:rowOff>
    </xdr:from>
    <xdr:to>
      <xdr:col>27</xdr:col>
      <xdr:colOff>460375</xdr:colOff>
      <xdr:row>47</xdr:row>
      <xdr:rowOff>293688</xdr:rowOff>
    </xdr:to>
    <xdr:pic>
      <xdr:nvPicPr>
        <xdr:cNvPr id="738" name="Picture 54857">
          <a:extLst>
            <a:ext uri="{FF2B5EF4-FFF2-40B4-BE49-F238E27FC236}">
              <a16:creationId xmlns:a16="http://schemas.microsoft.com/office/drawing/2014/main" id="{8B7841C4-C3EB-A845-BCFF-D049C49EF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47</xdr:row>
      <xdr:rowOff>39688</xdr:rowOff>
    </xdr:from>
    <xdr:to>
      <xdr:col>39</xdr:col>
      <xdr:colOff>460375</xdr:colOff>
      <xdr:row>47</xdr:row>
      <xdr:rowOff>293688</xdr:rowOff>
    </xdr:to>
    <xdr:pic>
      <xdr:nvPicPr>
        <xdr:cNvPr id="739" name="Picture 54860">
          <a:extLst>
            <a:ext uri="{FF2B5EF4-FFF2-40B4-BE49-F238E27FC236}">
              <a16:creationId xmlns:a16="http://schemas.microsoft.com/office/drawing/2014/main" id="{A281BD5D-E187-1D42-8801-0EF60BA1C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47</xdr:row>
      <xdr:rowOff>39688</xdr:rowOff>
    </xdr:from>
    <xdr:to>
      <xdr:col>99</xdr:col>
      <xdr:colOff>460375</xdr:colOff>
      <xdr:row>47</xdr:row>
      <xdr:rowOff>293688</xdr:rowOff>
    </xdr:to>
    <xdr:pic>
      <xdr:nvPicPr>
        <xdr:cNvPr id="740" name="Picture 54863">
          <a:extLst>
            <a:ext uri="{FF2B5EF4-FFF2-40B4-BE49-F238E27FC236}">
              <a16:creationId xmlns:a16="http://schemas.microsoft.com/office/drawing/2014/main" id="{BE62B5FC-3304-D14A-AE55-CF1DFAB67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47</xdr:row>
      <xdr:rowOff>39688</xdr:rowOff>
    </xdr:from>
    <xdr:to>
      <xdr:col>195</xdr:col>
      <xdr:colOff>460375</xdr:colOff>
      <xdr:row>47</xdr:row>
      <xdr:rowOff>293688</xdr:rowOff>
    </xdr:to>
    <xdr:pic>
      <xdr:nvPicPr>
        <xdr:cNvPr id="741" name="Picture 54866">
          <a:extLst>
            <a:ext uri="{FF2B5EF4-FFF2-40B4-BE49-F238E27FC236}">
              <a16:creationId xmlns:a16="http://schemas.microsoft.com/office/drawing/2014/main" id="{6314F583-3FB1-E84C-AABB-BC6C98E0D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46</xdr:row>
      <xdr:rowOff>39688</xdr:rowOff>
    </xdr:from>
    <xdr:to>
      <xdr:col>171</xdr:col>
      <xdr:colOff>460375</xdr:colOff>
      <xdr:row>46</xdr:row>
      <xdr:rowOff>293688</xdr:rowOff>
    </xdr:to>
    <xdr:pic>
      <xdr:nvPicPr>
        <xdr:cNvPr id="742" name="Picture 54869">
          <a:extLst>
            <a:ext uri="{FF2B5EF4-FFF2-40B4-BE49-F238E27FC236}">
              <a16:creationId xmlns:a16="http://schemas.microsoft.com/office/drawing/2014/main" id="{927EE574-3B18-6243-BA31-B27D2E5B0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46</xdr:row>
      <xdr:rowOff>39688</xdr:rowOff>
    </xdr:from>
    <xdr:to>
      <xdr:col>51</xdr:col>
      <xdr:colOff>460375</xdr:colOff>
      <xdr:row>46</xdr:row>
      <xdr:rowOff>293688</xdr:rowOff>
    </xdr:to>
    <xdr:pic>
      <xdr:nvPicPr>
        <xdr:cNvPr id="743" name="Picture 54872">
          <a:extLst>
            <a:ext uri="{FF2B5EF4-FFF2-40B4-BE49-F238E27FC236}">
              <a16:creationId xmlns:a16="http://schemas.microsoft.com/office/drawing/2014/main" id="{AD647EF7-E68E-B449-B934-D61C7E5E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223044</xdr:colOff>
      <xdr:row>46</xdr:row>
      <xdr:rowOff>39688</xdr:rowOff>
    </xdr:from>
    <xdr:to>
      <xdr:col>207</xdr:col>
      <xdr:colOff>443700</xdr:colOff>
      <xdr:row>46</xdr:row>
      <xdr:rowOff>293688</xdr:rowOff>
    </xdr:to>
    <xdr:pic>
      <xdr:nvPicPr>
        <xdr:cNvPr id="744" name="Picture 54875">
          <a:extLst>
            <a:ext uri="{FF2B5EF4-FFF2-40B4-BE49-F238E27FC236}">
              <a16:creationId xmlns:a16="http://schemas.microsoft.com/office/drawing/2014/main" id="{021E0600-0BB6-F441-A5E3-0B2BB3D3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57044" y="9386888"/>
          <a:ext cx="220656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47</xdr:row>
      <xdr:rowOff>39688</xdr:rowOff>
    </xdr:from>
    <xdr:to>
      <xdr:col>63</xdr:col>
      <xdr:colOff>460375</xdr:colOff>
      <xdr:row>47</xdr:row>
      <xdr:rowOff>293688</xdr:rowOff>
    </xdr:to>
    <xdr:pic>
      <xdr:nvPicPr>
        <xdr:cNvPr id="745" name="Picture 54878">
          <a:extLst>
            <a:ext uri="{FF2B5EF4-FFF2-40B4-BE49-F238E27FC236}">
              <a16:creationId xmlns:a16="http://schemas.microsoft.com/office/drawing/2014/main" id="{A4C373AE-9F5F-C043-833E-CA3F43BA5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205432</xdr:colOff>
      <xdr:row>47</xdr:row>
      <xdr:rowOff>39688</xdr:rowOff>
    </xdr:from>
    <xdr:to>
      <xdr:col>219</xdr:col>
      <xdr:colOff>461328</xdr:colOff>
      <xdr:row>47</xdr:row>
      <xdr:rowOff>293688</xdr:rowOff>
    </xdr:to>
    <xdr:pic>
      <xdr:nvPicPr>
        <xdr:cNvPr id="746" name="Picture 54881">
          <a:extLst>
            <a:ext uri="{FF2B5EF4-FFF2-40B4-BE49-F238E27FC236}">
              <a16:creationId xmlns:a16="http://schemas.microsoft.com/office/drawing/2014/main" id="{C7190E5C-69D3-CC4A-AB67-4AC9610E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3432" y="9590088"/>
          <a:ext cx="255896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47</xdr:row>
      <xdr:rowOff>39688</xdr:rowOff>
    </xdr:from>
    <xdr:to>
      <xdr:col>135</xdr:col>
      <xdr:colOff>460375</xdr:colOff>
      <xdr:row>47</xdr:row>
      <xdr:rowOff>293688</xdr:rowOff>
    </xdr:to>
    <xdr:pic>
      <xdr:nvPicPr>
        <xdr:cNvPr id="747" name="Picture 54884">
          <a:extLst>
            <a:ext uri="{FF2B5EF4-FFF2-40B4-BE49-F238E27FC236}">
              <a16:creationId xmlns:a16="http://schemas.microsoft.com/office/drawing/2014/main" id="{D4C2B257-AAD3-474A-BE17-1D5A08989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47</xdr:row>
      <xdr:rowOff>39688</xdr:rowOff>
    </xdr:from>
    <xdr:to>
      <xdr:col>231</xdr:col>
      <xdr:colOff>460375</xdr:colOff>
      <xdr:row>47</xdr:row>
      <xdr:rowOff>293688</xdr:rowOff>
    </xdr:to>
    <xdr:pic>
      <xdr:nvPicPr>
        <xdr:cNvPr id="748" name="Picture 54887">
          <a:extLst>
            <a:ext uri="{FF2B5EF4-FFF2-40B4-BE49-F238E27FC236}">
              <a16:creationId xmlns:a16="http://schemas.microsoft.com/office/drawing/2014/main" id="{836853F2-74A9-F048-A1E3-82635C8A7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47</xdr:row>
      <xdr:rowOff>39688</xdr:rowOff>
    </xdr:from>
    <xdr:to>
      <xdr:col>87</xdr:col>
      <xdr:colOff>460375</xdr:colOff>
      <xdr:row>47</xdr:row>
      <xdr:rowOff>293688</xdr:rowOff>
    </xdr:to>
    <xdr:pic>
      <xdr:nvPicPr>
        <xdr:cNvPr id="749" name="Picture 54890">
          <a:extLst>
            <a:ext uri="{FF2B5EF4-FFF2-40B4-BE49-F238E27FC236}">
              <a16:creationId xmlns:a16="http://schemas.microsoft.com/office/drawing/2014/main" id="{F16D4ACD-B84C-FB4D-B7BB-BD9634E10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206375</xdr:colOff>
      <xdr:row>47</xdr:row>
      <xdr:rowOff>39688</xdr:rowOff>
    </xdr:from>
    <xdr:to>
      <xdr:col>183</xdr:col>
      <xdr:colOff>460375</xdr:colOff>
      <xdr:row>47</xdr:row>
      <xdr:rowOff>293688</xdr:rowOff>
    </xdr:to>
    <xdr:pic>
      <xdr:nvPicPr>
        <xdr:cNvPr id="750" name="Picture 54893">
          <a:extLst>
            <a:ext uri="{FF2B5EF4-FFF2-40B4-BE49-F238E27FC236}">
              <a16:creationId xmlns:a16="http://schemas.microsoft.com/office/drawing/2014/main" id="{E3D89FDB-32BA-F44F-AC29-D3352A293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52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46</xdr:row>
      <xdr:rowOff>39688</xdr:rowOff>
    </xdr:from>
    <xdr:to>
      <xdr:col>75</xdr:col>
      <xdr:colOff>460375</xdr:colOff>
      <xdr:row>46</xdr:row>
      <xdr:rowOff>293688</xdr:rowOff>
    </xdr:to>
    <xdr:pic>
      <xdr:nvPicPr>
        <xdr:cNvPr id="751" name="Picture 54896">
          <a:extLst>
            <a:ext uri="{FF2B5EF4-FFF2-40B4-BE49-F238E27FC236}">
              <a16:creationId xmlns:a16="http://schemas.microsoft.com/office/drawing/2014/main" id="{57F853FD-0BB4-EB48-9018-39B2BB68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46</xdr:row>
      <xdr:rowOff>39688</xdr:rowOff>
    </xdr:from>
    <xdr:to>
      <xdr:col>159</xdr:col>
      <xdr:colOff>460375</xdr:colOff>
      <xdr:row>46</xdr:row>
      <xdr:rowOff>293688</xdr:rowOff>
    </xdr:to>
    <xdr:pic>
      <xdr:nvPicPr>
        <xdr:cNvPr id="752" name="Picture 54899">
          <a:extLst>
            <a:ext uri="{FF2B5EF4-FFF2-40B4-BE49-F238E27FC236}">
              <a16:creationId xmlns:a16="http://schemas.microsoft.com/office/drawing/2014/main" id="{6E56A9F4-8140-F541-BE46-2F9BF6BCC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93868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47</xdr:row>
      <xdr:rowOff>39688</xdr:rowOff>
    </xdr:from>
    <xdr:to>
      <xdr:col>3</xdr:col>
      <xdr:colOff>460375</xdr:colOff>
      <xdr:row>47</xdr:row>
      <xdr:rowOff>293688</xdr:rowOff>
    </xdr:to>
    <xdr:pic>
      <xdr:nvPicPr>
        <xdr:cNvPr id="753" name="Picture 54902">
          <a:extLst>
            <a:ext uri="{FF2B5EF4-FFF2-40B4-BE49-F238E27FC236}">
              <a16:creationId xmlns:a16="http://schemas.microsoft.com/office/drawing/2014/main" id="{3A093296-722C-1E40-B761-C6BF563FE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47</xdr:row>
      <xdr:rowOff>39688</xdr:rowOff>
    </xdr:from>
    <xdr:to>
      <xdr:col>15</xdr:col>
      <xdr:colOff>460375</xdr:colOff>
      <xdr:row>47</xdr:row>
      <xdr:rowOff>293688</xdr:rowOff>
    </xdr:to>
    <xdr:pic>
      <xdr:nvPicPr>
        <xdr:cNvPr id="754" name="Picture 54905">
          <a:extLst>
            <a:ext uri="{FF2B5EF4-FFF2-40B4-BE49-F238E27FC236}">
              <a16:creationId xmlns:a16="http://schemas.microsoft.com/office/drawing/2014/main" id="{051E8E50-C0AF-2E41-B505-1E0957623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47</xdr:row>
      <xdr:rowOff>39688</xdr:rowOff>
    </xdr:from>
    <xdr:to>
      <xdr:col>123</xdr:col>
      <xdr:colOff>460375</xdr:colOff>
      <xdr:row>47</xdr:row>
      <xdr:rowOff>293688</xdr:rowOff>
    </xdr:to>
    <xdr:pic>
      <xdr:nvPicPr>
        <xdr:cNvPr id="755" name="Picture 54908">
          <a:extLst>
            <a:ext uri="{FF2B5EF4-FFF2-40B4-BE49-F238E27FC236}">
              <a16:creationId xmlns:a16="http://schemas.microsoft.com/office/drawing/2014/main" id="{EB919E30-8F79-1B45-AA6D-51CB735DF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47</xdr:row>
      <xdr:rowOff>39688</xdr:rowOff>
    </xdr:from>
    <xdr:to>
      <xdr:col>207</xdr:col>
      <xdr:colOff>460375</xdr:colOff>
      <xdr:row>47</xdr:row>
      <xdr:rowOff>293688</xdr:rowOff>
    </xdr:to>
    <xdr:pic>
      <xdr:nvPicPr>
        <xdr:cNvPr id="756" name="Picture 54911">
          <a:extLst>
            <a:ext uri="{FF2B5EF4-FFF2-40B4-BE49-F238E27FC236}">
              <a16:creationId xmlns:a16="http://schemas.microsoft.com/office/drawing/2014/main" id="{E34F2BCE-6BDD-B84C-928B-80427B574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47</xdr:row>
      <xdr:rowOff>39688</xdr:rowOff>
    </xdr:from>
    <xdr:to>
      <xdr:col>147</xdr:col>
      <xdr:colOff>460375</xdr:colOff>
      <xdr:row>47</xdr:row>
      <xdr:rowOff>293688</xdr:rowOff>
    </xdr:to>
    <xdr:pic>
      <xdr:nvPicPr>
        <xdr:cNvPr id="757" name="Picture 54914">
          <a:extLst>
            <a:ext uri="{FF2B5EF4-FFF2-40B4-BE49-F238E27FC236}">
              <a16:creationId xmlns:a16="http://schemas.microsoft.com/office/drawing/2014/main" id="{A3980B52-1C93-2843-AB48-768AE9CB8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47</xdr:row>
      <xdr:rowOff>39688</xdr:rowOff>
    </xdr:from>
    <xdr:to>
      <xdr:col>51</xdr:col>
      <xdr:colOff>460375</xdr:colOff>
      <xdr:row>47</xdr:row>
      <xdr:rowOff>293688</xdr:rowOff>
    </xdr:to>
    <xdr:pic>
      <xdr:nvPicPr>
        <xdr:cNvPr id="758" name="Picture 54917">
          <a:extLst>
            <a:ext uri="{FF2B5EF4-FFF2-40B4-BE49-F238E27FC236}">
              <a16:creationId xmlns:a16="http://schemas.microsoft.com/office/drawing/2014/main" id="{01C48ECF-7E37-C54A-BDE9-BBC6B452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47</xdr:row>
      <xdr:rowOff>39688</xdr:rowOff>
    </xdr:from>
    <xdr:to>
      <xdr:col>75</xdr:col>
      <xdr:colOff>460375</xdr:colOff>
      <xdr:row>47</xdr:row>
      <xdr:rowOff>293688</xdr:rowOff>
    </xdr:to>
    <xdr:pic>
      <xdr:nvPicPr>
        <xdr:cNvPr id="759" name="Picture 54920">
          <a:extLst>
            <a:ext uri="{FF2B5EF4-FFF2-40B4-BE49-F238E27FC236}">
              <a16:creationId xmlns:a16="http://schemas.microsoft.com/office/drawing/2014/main" id="{67B895B3-F666-F749-9ABC-E2388CF3E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47</xdr:row>
      <xdr:rowOff>39688</xdr:rowOff>
    </xdr:from>
    <xdr:to>
      <xdr:col>159</xdr:col>
      <xdr:colOff>460375</xdr:colOff>
      <xdr:row>47</xdr:row>
      <xdr:rowOff>293688</xdr:rowOff>
    </xdr:to>
    <xdr:pic>
      <xdr:nvPicPr>
        <xdr:cNvPr id="760" name="Picture 54923">
          <a:extLst>
            <a:ext uri="{FF2B5EF4-FFF2-40B4-BE49-F238E27FC236}">
              <a16:creationId xmlns:a16="http://schemas.microsoft.com/office/drawing/2014/main" id="{787229C5-06E7-0E4C-9F5F-B34DCEB91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47</xdr:row>
      <xdr:rowOff>39688</xdr:rowOff>
    </xdr:from>
    <xdr:to>
      <xdr:col>171</xdr:col>
      <xdr:colOff>460375</xdr:colOff>
      <xdr:row>47</xdr:row>
      <xdr:rowOff>293688</xdr:rowOff>
    </xdr:to>
    <xdr:pic>
      <xdr:nvPicPr>
        <xdr:cNvPr id="761" name="Picture 54926">
          <a:extLst>
            <a:ext uri="{FF2B5EF4-FFF2-40B4-BE49-F238E27FC236}">
              <a16:creationId xmlns:a16="http://schemas.microsoft.com/office/drawing/2014/main" id="{389AD403-3D72-8745-9C43-EF263B45F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9590088"/>
          <a:ext cx="254000" cy="165100"/>
        </a:xfrm>
        <a:prstGeom prst="rect">
          <a:avLst/>
        </a:prstGeom>
      </xdr:spPr>
    </xdr:pic>
    <xdr:clientData/>
  </xdr:twoCellAnchor>
  <xdr:twoCellAnchor>
    <xdr:from>
      <xdr:col>3</xdr:col>
      <xdr:colOff>206375</xdr:colOff>
      <xdr:row>48</xdr:row>
      <xdr:rowOff>39688</xdr:rowOff>
    </xdr:from>
    <xdr:to>
      <xdr:col>3</xdr:col>
      <xdr:colOff>460375</xdr:colOff>
      <xdr:row>48</xdr:row>
      <xdr:rowOff>293688</xdr:rowOff>
    </xdr:to>
    <xdr:pic>
      <xdr:nvPicPr>
        <xdr:cNvPr id="762" name="Picture 54929">
          <a:extLst>
            <a:ext uri="{FF2B5EF4-FFF2-40B4-BE49-F238E27FC236}">
              <a16:creationId xmlns:a16="http://schemas.microsoft.com/office/drawing/2014/main" id="{34619093-0594-914A-8F8A-6BDC1931F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99</xdr:col>
      <xdr:colOff>206375</xdr:colOff>
      <xdr:row>48</xdr:row>
      <xdr:rowOff>39688</xdr:rowOff>
    </xdr:from>
    <xdr:to>
      <xdr:col>99</xdr:col>
      <xdr:colOff>460375</xdr:colOff>
      <xdr:row>48</xdr:row>
      <xdr:rowOff>293688</xdr:rowOff>
    </xdr:to>
    <xdr:pic>
      <xdr:nvPicPr>
        <xdr:cNvPr id="763" name="Picture 54932">
          <a:extLst>
            <a:ext uri="{FF2B5EF4-FFF2-40B4-BE49-F238E27FC236}">
              <a16:creationId xmlns:a16="http://schemas.microsoft.com/office/drawing/2014/main" id="{06BA0D38-71CF-0C42-9B06-1EE4E4D89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44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39</xdr:col>
      <xdr:colOff>206375</xdr:colOff>
      <xdr:row>48</xdr:row>
      <xdr:rowOff>39688</xdr:rowOff>
    </xdr:from>
    <xdr:to>
      <xdr:col>39</xdr:col>
      <xdr:colOff>460375</xdr:colOff>
      <xdr:row>48</xdr:row>
      <xdr:rowOff>293688</xdr:rowOff>
    </xdr:to>
    <xdr:pic>
      <xdr:nvPicPr>
        <xdr:cNvPr id="764" name="Picture 54935">
          <a:extLst>
            <a:ext uri="{FF2B5EF4-FFF2-40B4-BE49-F238E27FC236}">
              <a16:creationId xmlns:a16="http://schemas.microsoft.com/office/drawing/2014/main" id="{6396A50E-CC4C-0B43-9DCF-C386CD0E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24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171</xdr:col>
      <xdr:colOff>206375</xdr:colOff>
      <xdr:row>48</xdr:row>
      <xdr:rowOff>39688</xdr:rowOff>
    </xdr:from>
    <xdr:to>
      <xdr:col>171</xdr:col>
      <xdr:colOff>460375</xdr:colOff>
      <xdr:row>48</xdr:row>
      <xdr:rowOff>293688</xdr:rowOff>
    </xdr:to>
    <xdr:pic>
      <xdr:nvPicPr>
        <xdr:cNvPr id="765" name="Picture 54938">
          <a:extLst>
            <a:ext uri="{FF2B5EF4-FFF2-40B4-BE49-F238E27FC236}">
              <a16:creationId xmlns:a16="http://schemas.microsoft.com/office/drawing/2014/main" id="{71D7122E-2897-584C-BA10-6AB430231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8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51</xdr:col>
      <xdr:colOff>206375</xdr:colOff>
      <xdr:row>48</xdr:row>
      <xdr:rowOff>39688</xdr:rowOff>
    </xdr:from>
    <xdr:to>
      <xdr:col>51</xdr:col>
      <xdr:colOff>460375</xdr:colOff>
      <xdr:row>48</xdr:row>
      <xdr:rowOff>293688</xdr:rowOff>
    </xdr:to>
    <xdr:pic>
      <xdr:nvPicPr>
        <xdr:cNvPr id="766" name="Picture 54941">
          <a:extLst>
            <a:ext uri="{FF2B5EF4-FFF2-40B4-BE49-F238E27FC236}">
              <a16:creationId xmlns:a16="http://schemas.microsoft.com/office/drawing/2014/main" id="{53778994-AED0-354E-A4CF-4B79952FB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68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159</xdr:col>
      <xdr:colOff>206375</xdr:colOff>
      <xdr:row>48</xdr:row>
      <xdr:rowOff>39688</xdr:rowOff>
    </xdr:from>
    <xdr:to>
      <xdr:col>159</xdr:col>
      <xdr:colOff>460375</xdr:colOff>
      <xdr:row>48</xdr:row>
      <xdr:rowOff>293688</xdr:rowOff>
    </xdr:to>
    <xdr:pic>
      <xdr:nvPicPr>
        <xdr:cNvPr id="767" name="Picture 54944">
          <a:extLst>
            <a:ext uri="{FF2B5EF4-FFF2-40B4-BE49-F238E27FC236}">
              <a16:creationId xmlns:a16="http://schemas.microsoft.com/office/drawing/2014/main" id="{C6C1A199-A50F-9B49-A92B-DD03D368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4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63</xdr:col>
      <xdr:colOff>206375</xdr:colOff>
      <xdr:row>48</xdr:row>
      <xdr:rowOff>39688</xdr:rowOff>
    </xdr:from>
    <xdr:to>
      <xdr:col>63</xdr:col>
      <xdr:colOff>460375</xdr:colOff>
      <xdr:row>48</xdr:row>
      <xdr:rowOff>293688</xdr:rowOff>
    </xdr:to>
    <xdr:pic>
      <xdr:nvPicPr>
        <xdr:cNvPr id="768" name="Picture 54947">
          <a:extLst>
            <a:ext uri="{FF2B5EF4-FFF2-40B4-BE49-F238E27FC236}">
              <a16:creationId xmlns:a16="http://schemas.microsoft.com/office/drawing/2014/main" id="{EEDB3604-170F-3849-8F1D-7D433948F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183</xdr:col>
      <xdr:colOff>223044</xdr:colOff>
      <xdr:row>48</xdr:row>
      <xdr:rowOff>39688</xdr:rowOff>
    </xdr:from>
    <xdr:to>
      <xdr:col>183</xdr:col>
      <xdr:colOff>443700</xdr:colOff>
      <xdr:row>48</xdr:row>
      <xdr:rowOff>293688</xdr:rowOff>
    </xdr:to>
    <xdr:pic>
      <xdr:nvPicPr>
        <xdr:cNvPr id="769" name="Picture 54950">
          <a:extLst>
            <a:ext uri="{FF2B5EF4-FFF2-40B4-BE49-F238E27FC236}">
              <a16:creationId xmlns:a16="http://schemas.microsoft.com/office/drawing/2014/main" id="{D8E19F32-BB1F-FE4D-B541-256FC8044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69044" y="9793288"/>
          <a:ext cx="220656" cy="165100"/>
        </a:xfrm>
        <a:prstGeom prst="rect">
          <a:avLst/>
        </a:prstGeom>
      </xdr:spPr>
    </xdr:pic>
    <xdr:clientData/>
  </xdr:twoCellAnchor>
  <xdr:twoCellAnchor>
    <xdr:from>
      <xdr:col>75</xdr:col>
      <xdr:colOff>206375</xdr:colOff>
      <xdr:row>48</xdr:row>
      <xdr:rowOff>39688</xdr:rowOff>
    </xdr:from>
    <xdr:to>
      <xdr:col>75</xdr:col>
      <xdr:colOff>460375</xdr:colOff>
      <xdr:row>48</xdr:row>
      <xdr:rowOff>293688</xdr:rowOff>
    </xdr:to>
    <xdr:pic>
      <xdr:nvPicPr>
        <xdr:cNvPr id="770" name="Picture 54953">
          <a:extLst>
            <a:ext uri="{FF2B5EF4-FFF2-40B4-BE49-F238E27FC236}">
              <a16:creationId xmlns:a16="http://schemas.microsoft.com/office/drawing/2014/main" id="{AFA60DF6-6E53-7A40-9168-CB8AA1738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56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27</xdr:col>
      <xdr:colOff>206375</xdr:colOff>
      <xdr:row>48</xdr:row>
      <xdr:rowOff>39688</xdr:rowOff>
    </xdr:from>
    <xdr:to>
      <xdr:col>27</xdr:col>
      <xdr:colOff>460375</xdr:colOff>
      <xdr:row>48</xdr:row>
      <xdr:rowOff>293688</xdr:rowOff>
    </xdr:to>
    <xdr:pic>
      <xdr:nvPicPr>
        <xdr:cNvPr id="771" name="Picture 54956">
          <a:extLst>
            <a:ext uri="{FF2B5EF4-FFF2-40B4-BE49-F238E27FC236}">
              <a16:creationId xmlns:a16="http://schemas.microsoft.com/office/drawing/2014/main" id="{6221EEE1-FCAD-3344-88BA-AF12C1541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0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87</xdr:col>
      <xdr:colOff>206375</xdr:colOff>
      <xdr:row>48</xdr:row>
      <xdr:rowOff>39688</xdr:rowOff>
    </xdr:from>
    <xdr:to>
      <xdr:col>87</xdr:col>
      <xdr:colOff>460375</xdr:colOff>
      <xdr:row>48</xdr:row>
      <xdr:rowOff>293688</xdr:rowOff>
    </xdr:to>
    <xdr:pic>
      <xdr:nvPicPr>
        <xdr:cNvPr id="772" name="Picture 54959">
          <a:extLst>
            <a:ext uri="{FF2B5EF4-FFF2-40B4-BE49-F238E27FC236}">
              <a16:creationId xmlns:a16="http://schemas.microsoft.com/office/drawing/2014/main" id="{79C5ADEC-AEFE-2D45-8131-276B36EE0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00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15</xdr:col>
      <xdr:colOff>206375</xdr:colOff>
      <xdr:row>48</xdr:row>
      <xdr:rowOff>39688</xdr:rowOff>
    </xdr:from>
    <xdr:to>
      <xdr:col>15</xdr:col>
      <xdr:colOff>460375</xdr:colOff>
      <xdr:row>48</xdr:row>
      <xdr:rowOff>293688</xdr:rowOff>
    </xdr:to>
    <xdr:pic>
      <xdr:nvPicPr>
        <xdr:cNvPr id="773" name="Picture 54962">
          <a:extLst>
            <a:ext uri="{FF2B5EF4-FFF2-40B4-BE49-F238E27FC236}">
              <a16:creationId xmlns:a16="http://schemas.microsoft.com/office/drawing/2014/main" id="{0A532B54-7ED8-4646-8A4C-199D6F9B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6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123</xdr:col>
      <xdr:colOff>206375</xdr:colOff>
      <xdr:row>48</xdr:row>
      <xdr:rowOff>39688</xdr:rowOff>
    </xdr:from>
    <xdr:to>
      <xdr:col>123</xdr:col>
      <xdr:colOff>460375</xdr:colOff>
      <xdr:row>48</xdr:row>
      <xdr:rowOff>293688</xdr:rowOff>
    </xdr:to>
    <xdr:pic>
      <xdr:nvPicPr>
        <xdr:cNvPr id="774" name="Picture 54965">
          <a:extLst>
            <a:ext uri="{FF2B5EF4-FFF2-40B4-BE49-F238E27FC236}">
              <a16:creationId xmlns:a16="http://schemas.microsoft.com/office/drawing/2014/main" id="{D91567C4-5FBA-F248-8CE9-3F017BA74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32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231</xdr:col>
      <xdr:colOff>206375</xdr:colOff>
      <xdr:row>48</xdr:row>
      <xdr:rowOff>39688</xdr:rowOff>
    </xdr:from>
    <xdr:to>
      <xdr:col>231</xdr:col>
      <xdr:colOff>460375</xdr:colOff>
      <xdr:row>48</xdr:row>
      <xdr:rowOff>293688</xdr:rowOff>
    </xdr:to>
    <xdr:pic>
      <xdr:nvPicPr>
        <xdr:cNvPr id="775" name="Picture 54968">
          <a:extLst>
            <a:ext uri="{FF2B5EF4-FFF2-40B4-BE49-F238E27FC236}">
              <a16:creationId xmlns:a16="http://schemas.microsoft.com/office/drawing/2014/main" id="{AA7C2D87-155B-6B4F-9079-F0DEEC5DD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28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135</xdr:col>
      <xdr:colOff>206375</xdr:colOff>
      <xdr:row>48</xdr:row>
      <xdr:rowOff>39688</xdr:rowOff>
    </xdr:from>
    <xdr:to>
      <xdr:col>135</xdr:col>
      <xdr:colOff>460375</xdr:colOff>
      <xdr:row>48</xdr:row>
      <xdr:rowOff>293688</xdr:rowOff>
    </xdr:to>
    <xdr:pic>
      <xdr:nvPicPr>
        <xdr:cNvPr id="776" name="Picture 54971">
          <a:extLst>
            <a:ext uri="{FF2B5EF4-FFF2-40B4-BE49-F238E27FC236}">
              <a16:creationId xmlns:a16="http://schemas.microsoft.com/office/drawing/2014/main" id="{C774FC05-8CE3-9F4B-BC4E-4EEC5E323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76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111</xdr:col>
      <xdr:colOff>205426</xdr:colOff>
      <xdr:row>48</xdr:row>
      <xdr:rowOff>39688</xdr:rowOff>
    </xdr:from>
    <xdr:to>
      <xdr:col>111</xdr:col>
      <xdr:colOff>461322</xdr:colOff>
      <xdr:row>48</xdr:row>
      <xdr:rowOff>293688</xdr:rowOff>
    </xdr:to>
    <xdr:pic>
      <xdr:nvPicPr>
        <xdr:cNvPr id="777" name="Picture 54974">
          <a:extLst>
            <a:ext uri="{FF2B5EF4-FFF2-40B4-BE49-F238E27FC236}">
              <a16:creationId xmlns:a16="http://schemas.microsoft.com/office/drawing/2014/main" id="{6176124C-A7DB-E049-9004-E791C86FB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7426" y="9793288"/>
          <a:ext cx="255896" cy="165100"/>
        </a:xfrm>
        <a:prstGeom prst="rect">
          <a:avLst/>
        </a:prstGeom>
      </xdr:spPr>
    </xdr:pic>
    <xdr:clientData/>
  </xdr:twoCellAnchor>
  <xdr:twoCellAnchor>
    <xdr:from>
      <xdr:col>147</xdr:col>
      <xdr:colOff>206375</xdr:colOff>
      <xdr:row>48</xdr:row>
      <xdr:rowOff>39688</xdr:rowOff>
    </xdr:from>
    <xdr:to>
      <xdr:col>147</xdr:col>
      <xdr:colOff>460375</xdr:colOff>
      <xdr:row>48</xdr:row>
      <xdr:rowOff>293688</xdr:rowOff>
    </xdr:to>
    <xdr:pic>
      <xdr:nvPicPr>
        <xdr:cNvPr id="778" name="Picture 54977">
          <a:extLst>
            <a:ext uri="{FF2B5EF4-FFF2-40B4-BE49-F238E27FC236}">
              <a16:creationId xmlns:a16="http://schemas.microsoft.com/office/drawing/2014/main" id="{56A3CEC2-F822-AA4E-B67E-95C4CCBEE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20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219</xdr:col>
      <xdr:colOff>206375</xdr:colOff>
      <xdr:row>48</xdr:row>
      <xdr:rowOff>39688</xdr:rowOff>
    </xdr:from>
    <xdr:to>
      <xdr:col>219</xdr:col>
      <xdr:colOff>460375</xdr:colOff>
      <xdr:row>48</xdr:row>
      <xdr:rowOff>293688</xdr:rowOff>
    </xdr:to>
    <xdr:pic>
      <xdr:nvPicPr>
        <xdr:cNvPr id="779" name="Picture 54980">
          <a:extLst>
            <a:ext uri="{FF2B5EF4-FFF2-40B4-BE49-F238E27FC236}">
              <a16:creationId xmlns:a16="http://schemas.microsoft.com/office/drawing/2014/main" id="{AF140052-E895-F84E-801B-3B5104C32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84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195</xdr:col>
      <xdr:colOff>206375</xdr:colOff>
      <xdr:row>48</xdr:row>
      <xdr:rowOff>39688</xdr:rowOff>
    </xdr:from>
    <xdr:to>
      <xdr:col>195</xdr:col>
      <xdr:colOff>460375</xdr:colOff>
      <xdr:row>48</xdr:row>
      <xdr:rowOff>293688</xdr:rowOff>
    </xdr:to>
    <xdr:pic>
      <xdr:nvPicPr>
        <xdr:cNvPr id="780" name="Picture 54983">
          <a:extLst>
            <a:ext uri="{FF2B5EF4-FFF2-40B4-BE49-F238E27FC236}">
              <a16:creationId xmlns:a16="http://schemas.microsoft.com/office/drawing/2014/main" id="{63F0A5DC-253A-2A49-9D9E-A09F3EED3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96375" y="9793288"/>
          <a:ext cx="254000" cy="165100"/>
        </a:xfrm>
        <a:prstGeom prst="rect">
          <a:avLst/>
        </a:prstGeom>
      </xdr:spPr>
    </xdr:pic>
    <xdr:clientData/>
  </xdr:twoCellAnchor>
  <xdr:twoCellAnchor>
    <xdr:from>
      <xdr:col>207</xdr:col>
      <xdr:colOff>206375</xdr:colOff>
      <xdr:row>48</xdr:row>
      <xdr:rowOff>39688</xdr:rowOff>
    </xdr:from>
    <xdr:to>
      <xdr:col>207</xdr:col>
      <xdr:colOff>460375</xdr:colOff>
      <xdr:row>48</xdr:row>
      <xdr:rowOff>293688</xdr:rowOff>
    </xdr:to>
    <xdr:pic>
      <xdr:nvPicPr>
        <xdr:cNvPr id="781" name="Picture 54986">
          <a:extLst>
            <a:ext uri="{FF2B5EF4-FFF2-40B4-BE49-F238E27FC236}">
              <a16:creationId xmlns:a16="http://schemas.microsoft.com/office/drawing/2014/main" id="{7EF99E9E-DD80-EF43-B762-575C01B29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0375" y="9793288"/>
          <a:ext cx="254000" cy="165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lomiasraf/Downloads/Premier_League_Interactive_Table_2023-24_NM_Final_20240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eague Table"/>
      <sheetName val="tableTmp"/>
      <sheetName val="Deduction"/>
      <sheetName val="fixtures"/>
      <sheetName val="fixtures_tmp"/>
      <sheetName val="Fixtures_by_Clubs"/>
      <sheetName val="Fixtures_by_Date"/>
    </sheetNames>
    <sheetDataSet>
      <sheetData sheetId="0">
        <row r="1">
          <cell r="D1" t="str">
            <v>London</v>
          </cell>
          <cell r="J1" t="str">
            <v>D</v>
          </cell>
          <cell r="K1">
            <v>0</v>
          </cell>
        </row>
      </sheetData>
      <sheetData sheetId="1">
        <row r="2">
          <cell r="B2" t="str">
            <v>Man City</v>
          </cell>
          <cell r="S2" t="str">
            <v>West Ham</v>
          </cell>
        </row>
        <row r="3">
          <cell r="B3" t="str">
            <v>Arsenal</v>
          </cell>
          <cell r="S3" t="str">
            <v>Everton</v>
          </cell>
        </row>
        <row r="4">
          <cell r="B4" t="str">
            <v>Liverpool</v>
          </cell>
          <cell r="S4" t="str">
            <v>Wolves</v>
          </cell>
        </row>
        <row r="5">
          <cell r="B5" t="str">
            <v>Aston Villa</v>
          </cell>
          <cell r="S5" t="str">
            <v>Crystal Palace</v>
          </cell>
        </row>
        <row r="6">
          <cell r="B6" t="str">
            <v>Spurs</v>
          </cell>
          <cell r="S6" t="str">
            <v>Sheffield Utd</v>
          </cell>
        </row>
        <row r="7">
          <cell r="B7" t="str">
            <v>Chelsea</v>
          </cell>
          <cell r="S7" t="str">
            <v>Bournemouth</v>
          </cell>
        </row>
        <row r="8">
          <cell r="B8" t="str">
            <v>Newcastle</v>
          </cell>
          <cell r="S8" t="str">
            <v>Brentford</v>
          </cell>
        </row>
        <row r="9">
          <cell r="B9" t="str">
            <v>Man Utd</v>
          </cell>
          <cell r="S9" t="str">
            <v>Brighton</v>
          </cell>
        </row>
        <row r="10">
          <cell r="B10" t="str">
            <v>West Ham</v>
          </cell>
          <cell r="S10" t="str">
            <v>Man City</v>
          </cell>
        </row>
        <row r="11">
          <cell r="B11" t="str">
            <v>Crystal Palace</v>
          </cell>
          <cell r="S11" t="str">
            <v>Aston Villa</v>
          </cell>
        </row>
        <row r="12">
          <cell r="B12" t="str">
            <v>Brighton</v>
          </cell>
          <cell r="S12" t="str">
            <v>Man Utd</v>
          </cell>
        </row>
        <row r="13">
          <cell r="B13" t="str">
            <v>Bournemouth</v>
          </cell>
          <cell r="S13" t="str">
            <v>Chelsea</v>
          </cell>
        </row>
        <row r="14">
          <cell r="B14" t="str">
            <v>Fulham</v>
          </cell>
          <cell r="S14" t="str">
            <v>Luton</v>
          </cell>
        </row>
        <row r="15">
          <cell r="B15" t="str">
            <v>Wolves</v>
          </cell>
          <cell r="S15" t="str">
            <v>Liverpool</v>
          </cell>
        </row>
        <row r="16">
          <cell r="B16" t="str">
            <v>Everton</v>
          </cell>
          <cell r="S16" t="str">
            <v>Arsenal</v>
          </cell>
        </row>
        <row r="17">
          <cell r="B17" t="str">
            <v>Brentford</v>
          </cell>
          <cell r="S17" t="str">
            <v>Newcastle</v>
          </cell>
        </row>
        <row r="18">
          <cell r="B18" t="str">
            <v>Nott'm Forest</v>
          </cell>
          <cell r="S18" t="str">
            <v>Burnley</v>
          </cell>
        </row>
        <row r="19">
          <cell r="B19" t="str">
            <v>Luton</v>
          </cell>
          <cell r="S19" t="str">
            <v>Fulham</v>
          </cell>
        </row>
        <row r="20">
          <cell r="B20" t="str">
            <v>Burnley</v>
          </cell>
          <cell r="S20" t="str">
            <v>Nott'm Forest</v>
          </cell>
        </row>
        <row r="21">
          <cell r="B21" t="str">
            <v>Sheffield Utd</v>
          </cell>
          <cell r="S21" t="str">
            <v>Spurs</v>
          </cell>
        </row>
      </sheetData>
      <sheetData sheetId="2">
        <row r="2">
          <cell r="A2">
            <v>2</v>
          </cell>
          <cell r="B2" t="str">
            <v>Arsenal</v>
          </cell>
          <cell r="C2" t="e">
            <v>#VALUE!</v>
          </cell>
        </row>
        <row r="3">
          <cell r="A3">
            <v>4</v>
          </cell>
          <cell r="B3" t="str">
            <v>Aston Villa</v>
          </cell>
          <cell r="C3" t="e">
            <v>#VALUE!</v>
          </cell>
        </row>
        <row r="4">
          <cell r="A4">
            <v>12</v>
          </cell>
          <cell r="B4" t="str">
            <v>Bournemouth</v>
          </cell>
          <cell r="C4" t="e">
            <v>#VALUE!</v>
          </cell>
        </row>
        <row r="5">
          <cell r="A5">
            <v>16</v>
          </cell>
          <cell r="B5" t="str">
            <v>Brentford</v>
          </cell>
          <cell r="C5" t="e">
            <v>#VALUE!</v>
          </cell>
        </row>
        <row r="6">
          <cell r="A6">
            <v>11</v>
          </cell>
          <cell r="B6" t="str">
            <v>Brighton</v>
          </cell>
          <cell r="C6" t="e">
            <v>#VALUE!</v>
          </cell>
        </row>
        <row r="7">
          <cell r="A7">
            <v>19</v>
          </cell>
          <cell r="B7" t="str">
            <v>Burnley</v>
          </cell>
          <cell r="C7" t="e">
            <v>#VALUE!</v>
          </cell>
        </row>
        <row r="8">
          <cell r="A8">
            <v>6</v>
          </cell>
          <cell r="B8" t="str">
            <v>Chelsea</v>
          </cell>
          <cell r="C8" t="e">
            <v>#VALUE!</v>
          </cell>
        </row>
        <row r="9">
          <cell r="A9">
            <v>10</v>
          </cell>
          <cell r="B9" t="str">
            <v>Crystal Palace</v>
          </cell>
          <cell r="C9" t="e">
            <v>#VALUE!</v>
          </cell>
        </row>
        <row r="10">
          <cell r="A10">
            <v>15</v>
          </cell>
          <cell r="B10" t="str">
            <v>Everton</v>
          </cell>
          <cell r="C10" t="e">
            <v>#VALUE!</v>
          </cell>
        </row>
        <row r="11">
          <cell r="A11">
            <v>13</v>
          </cell>
          <cell r="B11" t="str">
            <v>Fulham</v>
          </cell>
          <cell r="C11" t="e">
            <v>#VALUE!</v>
          </cell>
        </row>
        <row r="12">
          <cell r="A12">
            <v>3</v>
          </cell>
          <cell r="B12" t="str">
            <v>Liverpool</v>
          </cell>
          <cell r="C12" t="e">
            <v>#VALUE!</v>
          </cell>
        </row>
        <row r="13">
          <cell r="A13">
            <v>18</v>
          </cell>
          <cell r="B13" t="str">
            <v>Luton</v>
          </cell>
          <cell r="C13" t="e">
            <v>#VALUE!</v>
          </cell>
        </row>
        <row r="14">
          <cell r="A14">
            <v>1</v>
          </cell>
          <cell r="B14" t="str">
            <v>Man City</v>
          </cell>
          <cell r="C14" t="e">
            <v>#VALUE!</v>
          </cell>
        </row>
        <row r="15">
          <cell r="A15">
            <v>8</v>
          </cell>
          <cell r="B15" t="str">
            <v>Man Utd</v>
          </cell>
          <cell r="C15" t="e">
            <v>#VALUE!</v>
          </cell>
        </row>
        <row r="16">
          <cell r="A16">
            <v>7</v>
          </cell>
          <cell r="B16" t="str">
            <v>Newcastle</v>
          </cell>
          <cell r="C16" t="e">
            <v>#VALUE!</v>
          </cell>
        </row>
        <row r="17">
          <cell r="A17">
            <v>17</v>
          </cell>
          <cell r="B17" t="str">
            <v>Nott'm Forest</v>
          </cell>
          <cell r="C17" t="e">
            <v>#VALUE!</v>
          </cell>
        </row>
        <row r="18">
          <cell r="A18">
            <v>20</v>
          </cell>
          <cell r="B18" t="str">
            <v>Sheffield Utd</v>
          </cell>
          <cell r="C18" t="e">
            <v>#VALUE!</v>
          </cell>
        </row>
        <row r="19">
          <cell r="A19">
            <v>5</v>
          </cell>
          <cell r="B19" t="str">
            <v>Spurs</v>
          </cell>
          <cell r="C19" t="e">
            <v>#VALUE!</v>
          </cell>
        </row>
        <row r="20">
          <cell r="A20">
            <v>9</v>
          </cell>
          <cell r="B20" t="str">
            <v>West Ham</v>
          </cell>
          <cell r="C20" t="e">
            <v>#VALUE!</v>
          </cell>
        </row>
        <row r="21">
          <cell r="A21">
            <v>14</v>
          </cell>
          <cell r="B21" t="str">
            <v>Wolves</v>
          </cell>
          <cell r="C21" t="e">
            <v>#VALUE!</v>
          </cell>
        </row>
        <row r="22">
          <cell r="B22" t="str">
            <v>BLK</v>
          </cell>
        </row>
      </sheetData>
      <sheetData sheetId="3"/>
      <sheetData sheetId="4">
        <row r="2">
          <cell r="K2">
            <v>0</v>
          </cell>
          <cell r="L2">
            <v>3</v>
          </cell>
        </row>
        <row r="3">
          <cell r="K3">
            <v>2</v>
          </cell>
          <cell r="L3">
            <v>1</v>
          </cell>
        </row>
        <row r="4">
          <cell r="K4">
            <v>1</v>
          </cell>
          <cell r="L4">
            <v>1</v>
          </cell>
        </row>
        <row r="5">
          <cell r="K5">
            <v>4</v>
          </cell>
          <cell r="L5">
            <v>1</v>
          </cell>
        </row>
        <row r="6">
          <cell r="K6">
            <v>0</v>
          </cell>
          <cell r="L6">
            <v>1</v>
          </cell>
        </row>
        <row r="7">
          <cell r="K7">
            <v>0</v>
          </cell>
          <cell r="L7">
            <v>1</v>
          </cell>
        </row>
        <row r="8">
          <cell r="K8">
            <v>5</v>
          </cell>
          <cell r="L8">
            <v>1</v>
          </cell>
        </row>
        <row r="9">
          <cell r="K9">
            <v>2</v>
          </cell>
          <cell r="L9">
            <v>2</v>
          </cell>
        </row>
        <row r="10">
          <cell r="K10">
            <v>1</v>
          </cell>
          <cell r="L10">
            <v>1</v>
          </cell>
        </row>
        <row r="11">
          <cell r="K11">
            <v>1</v>
          </cell>
          <cell r="L11">
            <v>0</v>
          </cell>
        </row>
        <row r="12">
          <cell r="K12">
            <v>2</v>
          </cell>
          <cell r="L12">
            <v>1</v>
          </cell>
        </row>
        <row r="13">
          <cell r="K13">
            <v>0</v>
          </cell>
          <cell r="L13">
            <v>3</v>
          </cell>
        </row>
        <row r="14">
          <cell r="K14">
            <v>3</v>
          </cell>
          <cell r="L14">
            <v>1</v>
          </cell>
        </row>
        <row r="15">
          <cell r="K15">
            <v>1</v>
          </cell>
          <cell r="L15">
            <v>4</v>
          </cell>
        </row>
        <row r="16">
          <cell r="K16">
            <v>2</v>
          </cell>
          <cell r="L16">
            <v>0</v>
          </cell>
        </row>
        <row r="17">
          <cell r="K17">
            <v>1</v>
          </cell>
          <cell r="L17">
            <v>0</v>
          </cell>
        </row>
        <row r="18">
          <cell r="K18">
            <v>4</v>
          </cell>
          <cell r="L18">
            <v>0</v>
          </cell>
        </row>
        <row r="19">
          <cell r="K19">
            <v>3</v>
          </cell>
          <cell r="L19">
            <v>1</v>
          </cell>
        </row>
        <row r="20">
          <cell r="K20">
            <v>0</v>
          </cell>
          <cell r="L20">
            <v>1</v>
          </cell>
        </row>
        <row r="21">
          <cell r="K21">
            <v>3</v>
          </cell>
          <cell r="L21">
            <v>0</v>
          </cell>
        </row>
        <row r="22">
          <cell r="K22">
            <v>0</v>
          </cell>
          <cell r="L22">
            <v>2</v>
          </cell>
        </row>
        <row r="23">
          <cell r="K23">
            <v>2</v>
          </cell>
          <cell r="L23">
            <v>2</v>
          </cell>
        </row>
        <row r="24">
          <cell r="K24">
            <v>1</v>
          </cell>
          <cell r="L24">
            <v>1</v>
          </cell>
        </row>
        <row r="25">
          <cell r="K25">
            <v>0</v>
          </cell>
          <cell r="L25">
            <v>1</v>
          </cell>
        </row>
        <row r="26">
          <cell r="K26">
            <v>3</v>
          </cell>
          <cell r="L26">
            <v>2</v>
          </cell>
        </row>
        <row r="27">
          <cell r="K27">
            <v>1</v>
          </cell>
          <cell r="L27">
            <v>3</v>
          </cell>
        </row>
        <row r="28">
          <cell r="K28">
            <v>1</v>
          </cell>
          <cell r="L28">
            <v>3</v>
          </cell>
        </row>
        <row r="29">
          <cell r="K29">
            <v>1</v>
          </cell>
          <cell r="L29">
            <v>2</v>
          </cell>
        </row>
        <row r="30">
          <cell r="K30">
            <v>1</v>
          </cell>
          <cell r="L30">
            <v>2</v>
          </cell>
        </row>
        <row r="31">
          <cell r="K31">
            <v>1</v>
          </cell>
          <cell r="L31">
            <v>2</v>
          </cell>
        </row>
        <row r="32">
          <cell r="K32">
            <v>2</v>
          </cell>
          <cell r="L32">
            <v>2</v>
          </cell>
        </row>
        <row r="33">
          <cell r="K33">
            <v>2</v>
          </cell>
          <cell r="L33">
            <v>2</v>
          </cell>
        </row>
        <row r="34">
          <cell r="K34">
            <v>2</v>
          </cell>
          <cell r="L34">
            <v>5</v>
          </cell>
        </row>
        <row r="35">
          <cell r="K35">
            <v>0</v>
          </cell>
          <cell r="L35">
            <v>1</v>
          </cell>
        </row>
        <row r="36">
          <cell r="K36">
            <v>5</v>
          </cell>
          <cell r="L36">
            <v>1</v>
          </cell>
        </row>
        <row r="37">
          <cell r="K37">
            <v>3</v>
          </cell>
          <cell r="L37">
            <v>1</v>
          </cell>
        </row>
        <row r="38">
          <cell r="K38">
            <v>3</v>
          </cell>
          <cell r="L38">
            <v>2</v>
          </cell>
        </row>
        <row r="39">
          <cell r="K39">
            <v>3</v>
          </cell>
          <cell r="L39">
            <v>0</v>
          </cell>
        </row>
        <row r="40">
          <cell r="K40">
            <v>3</v>
          </cell>
          <cell r="L40">
            <v>1</v>
          </cell>
        </row>
        <row r="41">
          <cell r="K41">
            <v>1</v>
          </cell>
          <cell r="L41">
            <v>3</v>
          </cell>
        </row>
        <row r="42">
          <cell r="K42">
            <v>3</v>
          </cell>
          <cell r="L42">
            <v>1</v>
          </cell>
        </row>
        <row r="43">
          <cell r="K43">
            <v>1</v>
          </cell>
          <cell r="L43">
            <v>0</v>
          </cell>
        </row>
        <row r="44">
          <cell r="K44">
            <v>1</v>
          </cell>
          <cell r="L44">
            <v>3</v>
          </cell>
        </row>
        <row r="45">
          <cell r="K45">
            <v>2</v>
          </cell>
          <cell r="L45">
            <v>1</v>
          </cell>
        </row>
        <row r="46">
          <cell r="K46">
            <v>1</v>
          </cell>
          <cell r="L46">
            <v>3</v>
          </cell>
        </row>
        <row r="47">
          <cell r="K47">
            <v>1</v>
          </cell>
          <cell r="L47">
            <v>0</v>
          </cell>
        </row>
        <row r="48">
          <cell r="K48">
            <v>0</v>
          </cell>
          <cell r="L48">
            <v>0</v>
          </cell>
        </row>
        <row r="49">
          <cell r="K49">
            <v>0</v>
          </cell>
          <cell r="L49">
            <v>1</v>
          </cell>
        </row>
        <row r="50">
          <cell r="K50">
            <v>1</v>
          </cell>
          <cell r="L50">
            <v>1</v>
          </cell>
        </row>
        <row r="51">
          <cell r="K51">
            <v>0</v>
          </cell>
          <cell r="L51">
            <v>0</v>
          </cell>
        </row>
        <row r="52">
          <cell r="K52">
            <v>1</v>
          </cell>
          <cell r="L52">
            <v>1</v>
          </cell>
        </row>
        <row r="53">
          <cell r="K53">
            <v>2</v>
          </cell>
          <cell r="L53">
            <v>0</v>
          </cell>
        </row>
        <row r="54">
          <cell r="K54">
            <v>1</v>
          </cell>
          <cell r="L54">
            <v>3</v>
          </cell>
        </row>
        <row r="55">
          <cell r="K55">
            <v>0</v>
          </cell>
          <cell r="L55">
            <v>1</v>
          </cell>
        </row>
        <row r="56">
          <cell r="K56">
            <v>2</v>
          </cell>
          <cell r="L56">
            <v>2</v>
          </cell>
        </row>
        <row r="57">
          <cell r="K57">
            <v>3</v>
          </cell>
          <cell r="L57">
            <v>1</v>
          </cell>
        </row>
        <row r="58">
          <cell r="K58">
            <v>0</v>
          </cell>
          <cell r="L58">
            <v>1</v>
          </cell>
        </row>
        <row r="59">
          <cell r="K59">
            <v>3</v>
          </cell>
          <cell r="L59">
            <v>1</v>
          </cell>
        </row>
        <row r="60">
          <cell r="K60">
            <v>0</v>
          </cell>
          <cell r="L60">
            <v>8</v>
          </cell>
        </row>
        <row r="61">
          <cell r="K61">
            <v>6</v>
          </cell>
          <cell r="L61">
            <v>1</v>
          </cell>
        </row>
        <row r="62">
          <cell r="K62">
            <v>0</v>
          </cell>
          <cell r="L62">
            <v>4</v>
          </cell>
        </row>
        <row r="63">
          <cell r="K63">
            <v>1</v>
          </cell>
          <cell r="L63">
            <v>2</v>
          </cell>
        </row>
        <row r="64">
          <cell r="K64">
            <v>0</v>
          </cell>
          <cell r="L64">
            <v>1</v>
          </cell>
        </row>
        <row r="65">
          <cell r="K65">
            <v>2</v>
          </cell>
          <cell r="L65">
            <v>0</v>
          </cell>
        </row>
        <row r="66">
          <cell r="K66">
            <v>2</v>
          </cell>
          <cell r="L66">
            <v>0</v>
          </cell>
        </row>
        <row r="67">
          <cell r="K67">
            <v>2</v>
          </cell>
          <cell r="L67">
            <v>1</v>
          </cell>
        </row>
        <row r="68">
          <cell r="K68">
            <v>2</v>
          </cell>
          <cell r="L68">
            <v>1</v>
          </cell>
        </row>
        <row r="69">
          <cell r="K69">
            <v>1</v>
          </cell>
          <cell r="L69">
            <v>1</v>
          </cell>
        </row>
        <row r="70">
          <cell r="K70">
            <v>0</v>
          </cell>
          <cell r="L70">
            <v>2</v>
          </cell>
        </row>
        <row r="71">
          <cell r="K71">
            <v>1</v>
          </cell>
          <cell r="L71">
            <v>2</v>
          </cell>
        </row>
        <row r="72">
          <cell r="K72">
            <v>0</v>
          </cell>
          <cell r="L72">
            <v>1</v>
          </cell>
        </row>
        <row r="73">
          <cell r="K73">
            <v>1</v>
          </cell>
          <cell r="L73">
            <v>4</v>
          </cell>
        </row>
        <row r="74">
          <cell r="K74">
            <v>3</v>
          </cell>
          <cell r="L74">
            <v>0</v>
          </cell>
        </row>
        <row r="75">
          <cell r="K75">
            <v>3</v>
          </cell>
          <cell r="L75">
            <v>1</v>
          </cell>
        </row>
        <row r="76">
          <cell r="K76">
            <v>2</v>
          </cell>
          <cell r="L76">
            <v>1</v>
          </cell>
        </row>
        <row r="77">
          <cell r="K77">
            <v>0</v>
          </cell>
          <cell r="L77">
            <v>0</v>
          </cell>
        </row>
        <row r="78">
          <cell r="K78">
            <v>2</v>
          </cell>
          <cell r="L78">
            <v>2</v>
          </cell>
        </row>
        <row r="79">
          <cell r="K79">
            <v>2</v>
          </cell>
          <cell r="L79">
            <v>2</v>
          </cell>
        </row>
        <row r="80">
          <cell r="K80">
            <v>1</v>
          </cell>
          <cell r="L80">
            <v>1</v>
          </cell>
        </row>
        <row r="81">
          <cell r="K81">
            <v>1</v>
          </cell>
          <cell r="L81">
            <v>0</v>
          </cell>
        </row>
        <row r="82">
          <cell r="K82">
            <v>2</v>
          </cell>
          <cell r="L82">
            <v>0</v>
          </cell>
        </row>
        <row r="83">
          <cell r="K83">
            <v>1</v>
          </cell>
          <cell r="L83">
            <v>2</v>
          </cell>
        </row>
        <row r="84">
          <cell r="K84">
            <v>3</v>
          </cell>
          <cell r="L84">
            <v>0</v>
          </cell>
        </row>
        <row r="85">
          <cell r="K85">
            <v>2</v>
          </cell>
          <cell r="L85">
            <v>1</v>
          </cell>
        </row>
        <row r="86">
          <cell r="K86">
            <v>4</v>
          </cell>
          <cell r="L86">
            <v>0</v>
          </cell>
        </row>
        <row r="87">
          <cell r="K87">
            <v>2</v>
          </cell>
          <cell r="L87">
            <v>2</v>
          </cell>
        </row>
        <row r="88">
          <cell r="K88">
            <v>2</v>
          </cell>
          <cell r="L88">
            <v>2</v>
          </cell>
        </row>
        <row r="89">
          <cell r="K89">
            <v>1</v>
          </cell>
          <cell r="L89">
            <v>2</v>
          </cell>
        </row>
        <row r="90">
          <cell r="K90">
            <v>4</v>
          </cell>
          <cell r="L90">
            <v>1</v>
          </cell>
        </row>
        <row r="91">
          <cell r="K91">
            <v>2</v>
          </cell>
          <cell r="L91">
            <v>0</v>
          </cell>
        </row>
        <row r="92">
          <cell r="K92">
            <v>1</v>
          </cell>
          <cell r="L92">
            <v>2</v>
          </cell>
        </row>
        <row r="93">
          <cell r="K93">
            <v>0</v>
          </cell>
          <cell r="L93">
            <v>2</v>
          </cell>
        </row>
        <row r="94">
          <cell r="K94">
            <v>5</v>
          </cell>
          <cell r="L94">
            <v>0</v>
          </cell>
        </row>
        <row r="95">
          <cell r="K95">
            <v>2</v>
          </cell>
          <cell r="L95">
            <v>1</v>
          </cell>
        </row>
        <row r="96">
          <cell r="K96">
            <v>2</v>
          </cell>
          <cell r="L96">
            <v>2</v>
          </cell>
        </row>
        <row r="97">
          <cell r="K97">
            <v>0</v>
          </cell>
          <cell r="L97">
            <v>1</v>
          </cell>
        </row>
        <row r="98">
          <cell r="K98">
            <v>3</v>
          </cell>
          <cell r="L98">
            <v>1</v>
          </cell>
        </row>
        <row r="99">
          <cell r="K99">
            <v>1</v>
          </cell>
          <cell r="L99">
            <v>1</v>
          </cell>
        </row>
        <row r="100">
          <cell r="K100">
            <v>3</v>
          </cell>
          <cell r="L100">
            <v>0</v>
          </cell>
        </row>
        <row r="101">
          <cell r="K101">
            <v>0</v>
          </cell>
          <cell r="L101">
            <v>3</v>
          </cell>
        </row>
        <row r="102">
          <cell r="K102">
            <v>0</v>
          </cell>
          <cell r="L102">
            <v>1</v>
          </cell>
        </row>
        <row r="103">
          <cell r="K103">
            <v>3</v>
          </cell>
          <cell r="L103">
            <v>2</v>
          </cell>
        </row>
        <row r="104">
          <cell r="K104">
            <v>0</v>
          </cell>
          <cell r="L104">
            <v>2</v>
          </cell>
        </row>
        <row r="105">
          <cell r="K105">
            <v>1</v>
          </cell>
          <cell r="L105">
            <v>1</v>
          </cell>
        </row>
        <row r="106">
          <cell r="K106">
            <v>6</v>
          </cell>
          <cell r="L106">
            <v>1</v>
          </cell>
        </row>
        <row r="107">
          <cell r="K107">
            <v>2</v>
          </cell>
          <cell r="L107">
            <v>1</v>
          </cell>
        </row>
        <row r="108">
          <cell r="K108">
            <v>1</v>
          </cell>
          <cell r="L108">
            <v>0</v>
          </cell>
        </row>
        <row r="109">
          <cell r="K109">
            <v>2</v>
          </cell>
          <cell r="L109">
            <v>0</v>
          </cell>
        </row>
        <row r="110">
          <cell r="K110">
            <v>1</v>
          </cell>
          <cell r="L110">
            <v>1</v>
          </cell>
        </row>
        <row r="111">
          <cell r="K111">
            <v>1</v>
          </cell>
          <cell r="L111">
            <v>4</v>
          </cell>
        </row>
        <row r="112">
          <cell r="K112">
            <v>2</v>
          </cell>
          <cell r="L112">
            <v>1</v>
          </cell>
        </row>
        <row r="113">
          <cell r="K113">
            <v>3</v>
          </cell>
          <cell r="L113">
            <v>1</v>
          </cell>
        </row>
        <row r="114">
          <cell r="K114">
            <v>2</v>
          </cell>
          <cell r="L114">
            <v>3</v>
          </cell>
        </row>
        <row r="115">
          <cell r="K115">
            <v>1</v>
          </cell>
          <cell r="L115">
            <v>0</v>
          </cell>
        </row>
        <row r="116">
          <cell r="K116">
            <v>2</v>
          </cell>
          <cell r="L116">
            <v>0</v>
          </cell>
        </row>
        <row r="117">
          <cell r="K117">
            <v>3</v>
          </cell>
          <cell r="L117">
            <v>1</v>
          </cell>
        </row>
        <row r="118">
          <cell r="K118">
            <v>1</v>
          </cell>
          <cell r="L118">
            <v>1</v>
          </cell>
        </row>
        <row r="119">
          <cell r="K119">
            <v>3</v>
          </cell>
          <cell r="L119">
            <v>0</v>
          </cell>
        </row>
        <row r="120">
          <cell r="K120">
            <v>3</v>
          </cell>
          <cell r="L120">
            <v>2</v>
          </cell>
        </row>
        <row r="121">
          <cell r="K121">
            <v>4</v>
          </cell>
          <cell r="L121">
            <v>4</v>
          </cell>
        </row>
        <row r="122">
          <cell r="K122">
            <v>1</v>
          </cell>
          <cell r="L122">
            <v>1</v>
          </cell>
        </row>
        <row r="123">
          <cell r="K123">
            <v>1</v>
          </cell>
          <cell r="L123">
            <v>2</v>
          </cell>
        </row>
        <row r="124">
          <cell r="K124">
            <v>2</v>
          </cell>
          <cell r="L124">
            <v>1</v>
          </cell>
        </row>
        <row r="125">
          <cell r="K125">
            <v>4</v>
          </cell>
          <cell r="L125">
            <v>1</v>
          </cell>
        </row>
        <row r="126">
          <cell r="K126">
            <v>2</v>
          </cell>
          <cell r="L126">
            <v>3</v>
          </cell>
        </row>
        <row r="127">
          <cell r="K127">
            <v>1</v>
          </cell>
          <cell r="L127">
            <v>3</v>
          </cell>
        </row>
        <row r="128">
          <cell r="K128">
            <v>0</v>
          </cell>
          <cell r="L128">
            <v>1</v>
          </cell>
        </row>
        <row r="129">
          <cell r="K129">
            <v>1</v>
          </cell>
          <cell r="L129">
            <v>2</v>
          </cell>
        </row>
        <row r="130">
          <cell r="K130">
            <v>0</v>
          </cell>
          <cell r="L130">
            <v>3</v>
          </cell>
        </row>
        <row r="131">
          <cell r="K131">
            <v>3</v>
          </cell>
          <cell r="L131">
            <v>2</v>
          </cell>
        </row>
        <row r="132">
          <cell r="K132">
            <v>2</v>
          </cell>
          <cell r="L132">
            <v>1</v>
          </cell>
        </row>
        <row r="133">
          <cell r="K133">
            <v>3</v>
          </cell>
          <cell r="L133">
            <v>1</v>
          </cell>
        </row>
        <row r="134">
          <cell r="K134">
            <v>5</v>
          </cell>
          <cell r="L134">
            <v>0</v>
          </cell>
        </row>
        <row r="135">
          <cell r="K135">
            <v>0</v>
          </cell>
          <cell r="L135">
            <v>1</v>
          </cell>
        </row>
        <row r="136">
          <cell r="K136">
            <v>1</v>
          </cell>
          <cell r="L136">
            <v>0</v>
          </cell>
        </row>
        <row r="137">
          <cell r="K137">
            <v>2</v>
          </cell>
          <cell r="L137">
            <v>2</v>
          </cell>
        </row>
        <row r="138">
          <cell r="K138">
            <v>3</v>
          </cell>
          <cell r="L138">
            <v>2</v>
          </cell>
        </row>
        <row r="139">
          <cell r="K139">
            <v>4</v>
          </cell>
          <cell r="L139">
            <v>3</v>
          </cell>
        </row>
        <row r="140">
          <cell r="K140">
            <v>1</v>
          </cell>
          <cell r="L140">
            <v>1</v>
          </cell>
        </row>
        <row r="141">
          <cell r="K141">
            <v>3</v>
          </cell>
          <cell r="L141">
            <v>3</v>
          </cell>
        </row>
        <row r="142">
          <cell r="K142">
            <v>1</v>
          </cell>
          <cell r="L142">
            <v>0</v>
          </cell>
        </row>
        <row r="143">
          <cell r="K143">
            <v>3</v>
          </cell>
          <cell r="L143">
            <v>4</v>
          </cell>
        </row>
        <row r="144">
          <cell r="K144">
            <v>2</v>
          </cell>
          <cell r="L144">
            <v>1</v>
          </cell>
        </row>
        <row r="145">
          <cell r="K145">
            <v>0</v>
          </cell>
          <cell r="L145">
            <v>2</v>
          </cell>
        </row>
        <row r="146">
          <cell r="K146">
            <v>5</v>
          </cell>
          <cell r="L146">
            <v>0</v>
          </cell>
        </row>
        <row r="147">
          <cell r="K147">
            <v>0</v>
          </cell>
          <cell r="L147">
            <v>2</v>
          </cell>
        </row>
        <row r="148">
          <cell r="K148">
            <v>1</v>
          </cell>
          <cell r="L148">
            <v>0</v>
          </cell>
        </row>
        <row r="149">
          <cell r="K149">
            <v>2</v>
          </cell>
          <cell r="L149">
            <v>1</v>
          </cell>
        </row>
        <row r="150">
          <cell r="K150">
            <v>3</v>
          </cell>
          <cell r="L150">
            <v>0</v>
          </cell>
        </row>
        <row r="151">
          <cell r="K151">
            <v>1</v>
          </cell>
          <cell r="L151">
            <v>2</v>
          </cell>
        </row>
        <row r="152">
          <cell r="K152">
            <v>1</v>
          </cell>
          <cell r="L152">
            <v>2</v>
          </cell>
        </row>
        <row r="153">
          <cell r="K153">
            <v>1</v>
          </cell>
          <cell r="L153">
            <v>1</v>
          </cell>
        </row>
        <row r="154">
          <cell r="K154">
            <v>0</v>
          </cell>
          <cell r="L154">
            <v>3</v>
          </cell>
        </row>
        <row r="155">
          <cell r="K155">
            <v>1</v>
          </cell>
          <cell r="L155">
            <v>0</v>
          </cell>
        </row>
        <row r="156">
          <cell r="K156">
            <v>1</v>
          </cell>
          <cell r="L156">
            <v>1</v>
          </cell>
        </row>
        <row r="157">
          <cell r="K157">
            <v>1</v>
          </cell>
          <cell r="L157">
            <v>0</v>
          </cell>
        </row>
        <row r="158">
          <cell r="K158">
            <v>2</v>
          </cell>
          <cell r="L158">
            <v>0</v>
          </cell>
        </row>
        <row r="159">
          <cell r="K159">
            <v>5</v>
          </cell>
          <cell r="L159">
            <v>0</v>
          </cell>
        </row>
        <row r="160">
          <cell r="K160">
            <v>1</v>
          </cell>
          <cell r="L160">
            <v>2</v>
          </cell>
        </row>
        <row r="161">
          <cell r="K161">
            <v>4</v>
          </cell>
          <cell r="L161">
            <v>1</v>
          </cell>
        </row>
        <row r="162">
          <cell r="K162">
            <v>0</v>
          </cell>
          <cell r="L162">
            <v>2</v>
          </cell>
        </row>
        <row r="163">
          <cell r="K163">
            <v>2</v>
          </cell>
          <cell r="L163">
            <v>0</v>
          </cell>
        </row>
        <row r="164">
          <cell r="K164">
            <v>2</v>
          </cell>
          <cell r="L164">
            <v>2</v>
          </cell>
        </row>
        <row r="165">
          <cell r="K165">
            <v>3</v>
          </cell>
          <cell r="L165">
            <v>0</v>
          </cell>
        </row>
        <row r="166">
          <cell r="K166">
            <v>0</v>
          </cell>
          <cell r="L166">
            <v>2</v>
          </cell>
        </row>
        <row r="167">
          <cell r="K167">
            <v>2</v>
          </cell>
          <cell r="L167">
            <v>0</v>
          </cell>
        </row>
        <row r="168">
          <cell r="K168">
            <v>1</v>
          </cell>
          <cell r="L168">
            <v>2</v>
          </cell>
        </row>
        <row r="169">
          <cell r="K169">
            <v>3</v>
          </cell>
          <cell r="L169">
            <v>0</v>
          </cell>
        </row>
        <row r="170">
          <cell r="K170">
            <v>0</v>
          </cell>
          <cell r="L170">
            <v>0</v>
          </cell>
        </row>
        <row r="171">
          <cell r="K171">
            <v>1</v>
          </cell>
          <cell r="L171">
            <v>1</v>
          </cell>
        </row>
        <row r="172">
          <cell r="K172">
            <v>1</v>
          </cell>
          <cell r="L172">
            <v>1</v>
          </cell>
        </row>
        <row r="173">
          <cell r="K173">
            <v>2</v>
          </cell>
          <cell r="L173">
            <v>0</v>
          </cell>
        </row>
        <row r="174">
          <cell r="K174">
            <v>0</v>
          </cell>
          <cell r="L174">
            <v>2</v>
          </cell>
        </row>
        <row r="175">
          <cell r="K175">
            <v>1</v>
          </cell>
          <cell r="L175">
            <v>0</v>
          </cell>
        </row>
        <row r="176">
          <cell r="K176">
            <v>2</v>
          </cell>
          <cell r="L176">
            <v>3</v>
          </cell>
        </row>
        <row r="177">
          <cell r="K177">
            <v>2</v>
          </cell>
          <cell r="L177">
            <v>1</v>
          </cell>
        </row>
        <row r="178">
          <cell r="K178">
            <v>1</v>
          </cell>
          <cell r="L178">
            <v>1</v>
          </cell>
        </row>
        <row r="179">
          <cell r="K179">
            <v>2</v>
          </cell>
          <cell r="L179">
            <v>1</v>
          </cell>
        </row>
        <row r="180">
          <cell r="K180">
            <v>1</v>
          </cell>
          <cell r="L180">
            <v>3</v>
          </cell>
        </row>
        <row r="181">
          <cell r="K181">
            <v>3</v>
          </cell>
          <cell r="L181">
            <v>0</v>
          </cell>
        </row>
        <row r="182">
          <cell r="K182">
            <v>2</v>
          </cell>
          <cell r="L182">
            <v>3</v>
          </cell>
        </row>
        <row r="183">
          <cell r="K183">
            <v>0</v>
          </cell>
          <cell r="L183">
            <v>2</v>
          </cell>
        </row>
        <row r="184">
          <cell r="K184">
            <v>3</v>
          </cell>
          <cell r="L184">
            <v>2</v>
          </cell>
        </row>
        <row r="185">
          <cell r="K185">
            <v>1</v>
          </cell>
          <cell r="L185">
            <v>4</v>
          </cell>
        </row>
        <row r="186">
          <cell r="K186">
            <v>2</v>
          </cell>
          <cell r="L186">
            <v>1</v>
          </cell>
        </row>
        <row r="187">
          <cell r="K187">
            <v>1</v>
          </cell>
          <cell r="L187">
            <v>3</v>
          </cell>
        </row>
        <row r="188">
          <cell r="K188">
            <v>4</v>
          </cell>
          <cell r="L188">
            <v>2</v>
          </cell>
        </row>
        <row r="189">
          <cell r="K189">
            <v>0</v>
          </cell>
          <cell r="L189">
            <v>2</v>
          </cell>
        </row>
        <row r="190">
          <cell r="K190">
            <v>2</v>
          </cell>
          <cell r="L190">
            <v>3</v>
          </cell>
        </row>
        <row r="191">
          <cell r="K191">
            <v>3</v>
          </cell>
          <cell r="L191">
            <v>2</v>
          </cell>
        </row>
        <row r="192">
          <cell r="K192">
            <v>3</v>
          </cell>
          <cell r="L192">
            <v>1</v>
          </cell>
        </row>
        <row r="193">
          <cell r="K193">
            <v>2</v>
          </cell>
          <cell r="L193">
            <v>0</v>
          </cell>
        </row>
        <row r="194">
          <cell r="K194">
            <v>3</v>
          </cell>
          <cell r="L194">
            <v>0</v>
          </cell>
        </row>
        <row r="195">
          <cell r="K195">
            <v>2</v>
          </cell>
          <cell r="L195">
            <v>1</v>
          </cell>
        </row>
        <row r="196">
          <cell r="K196">
            <v>2</v>
          </cell>
          <cell r="L196">
            <v>1</v>
          </cell>
        </row>
        <row r="197">
          <cell r="K197">
            <v>3</v>
          </cell>
          <cell r="L197">
            <v>1</v>
          </cell>
        </row>
        <row r="198">
          <cell r="K198">
            <v>4</v>
          </cell>
          <cell r="L198">
            <v>2</v>
          </cell>
        </row>
        <row r="199">
          <cell r="K199">
            <v>0</v>
          </cell>
          <cell r="L199">
            <v>0</v>
          </cell>
        </row>
        <row r="200">
          <cell r="K200">
            <v>1</v>
          </cell>
          <cell r="L200">
            <v>1</v>
          </cell>
        </row>
        <row r="201">
          <cell r="K201">
            <v>1</v>
          </cell>
          <cell r="L201">
            <v>0</v>
          </cell>
        </row>
        <row r="202">
          <cell r="K202">
            <v>2</v>
          </cell>
          <cell r="L202">
            <v>3</v>
          </cell>
        </row>
        <row r="203">
          <cell r="K203">
            <v>0</v>
          </cell>
          <cell r="L203">
            <v>0</v>
          </cell>
        </row>
        <row r="204">
          <cell r="K204">
            <v>2</v>
          </cell>
          <cell r="L204">
            <v>2</v>
          </cell>
        </row>
        <row r="205">
          <cell r="K205">
            <v>5</v>
          </cell>
          <cell r="L205">
            <v>0</v>
          </cell>
        </row>
        <row r="206">
          <cell r="K206">
            <v>3</v>
          </cell>
          <cell r="L206">
            <v>2</v>
          </cell>
        </row>
        <row r="207">
          <cell r="K207">
            <v>2</v>
          </cell>
          <cell r="L207">
            <v>2</v>
          </cell>
        </row>
        <row r="208">
          <cell r="K208">
            <v>0</v>
          </cell>
          <cell r="L208">
            <v>4</v>
          </cell>
        </row>
        <row r="209">
          <cell r="K209">
            <v>0</v>
          </cell>
          <cell r="L209">
            <v>0</v>
          </cell>
        </row>
        <row r="210">
          <cell r="K210">
            <v>1</v>
          </cell>
          <cell r="L210">
            <v>2</v>
          </cell>
        </row>
        <row r="211">
          <cell r="K211">
            <v>0</v>
          </cell>
          <cell r="L211">
            <v>0</v>
          </cell>
        </row>
        <row r="212">
          <cell r="K212">
            <v>4</v>
          </cell>
          <cell r="L212">
            <v>0</v>
          </cell>
        </row>
        <row r="213">
          <cell r="K213">
            <v>3</v>
          </cell>
          <cell r="L213">
            <v>2</v>
          </cell>
        </row>
        <row r="214">
          <cell r="K214">
            <v>1</v>
          </cell>
          <cell r="L214">
            <v>3</v>
          </cell>
        </row>
        <row r="215">
          <cell r="K215">
            <v>3</v>
          </cell>
          <cell r="L215">
            <v>1</v>
          </cell>
        </row>
        <row r="216">
          <cell r="K216">
            <v>3</v>
          </cell>
          <cell r="L216">
            <v>2</v>
          </cell>
        </row>
        <row r="217">
          <cell r="K217">
            <v>4</v>
          </cell>
          <cell r="L217">
            <v>1</v>
          </cell>
        </row>
        <row r="218">
          <cell r="K218">
            <v>1</v>
          </cell>
          <cell r="L218">
            <v>1</v>
          </cell>
        </row>
        <row r="219">
          <cell r="K219">
            <v>3</v>
          </cell>
          <cell r="L219">
            <v>4</v>
          </cell>
        </row>
        <row r="220">
          <cell r="K220">
            <v>2</v>
          </cell>
          <cell r="L220">
            <v>2</v>
          </cell>
        </row>
        <row r="221">
          <cell r="K221">
            <v>4</v>
          </cell>
          <cell r="L221">
            <v>1</v>
          </cell>
        </row>
        <row r="222">
          <cell r="K222">
            <v>2</v>
          </cell>
          <cell r="L222">
            <v>2</v>
          </cell>
        </row>
        <row r="223">
          <cell r="K223">
            <v>4</v>
          </cell>
          <cell r="L223">
            <v>4</v>
          </cell>
        </row>
        <row r="224">
          <cell r="K224">
            <v>0</v>
          </cell>
          <cell r="L224">
            <v>5</v>
          </cell>
        </row>
        <row r="225">
          <cell r="K225">
            <v>1</v>
          </cell>
          <cell r="L225">
            <v>1</v>
          </cell>
        </row>
        <row r="226">
          <cell r="K226">
            <v>2</v>
          </cell>
          <cell r="L226">
            <v>4</v>
          </cell>
        </row>
        <row r="227">
          <cell r="K227">
            <v>3</v>
          </cell>
          <cell r="L227">
            <v>0</v>
          </cell>
        </row>
        <row r="228">
          <cell r="K228">
            <v>3</v>
          </cell>
          <cell r="L228">
            <v>1</v>
          </cell>
        </row>
        <row r="229">
          <cell r="K229">
            <v>1</v>
          </cell>
          <cell r="L229">
            <v>3</v>
          </cell>
        </row>
        <row r="230">
          <cell r="K230">
            <v>2</v>
          </cell>
          <cell r="L230">
            <v>0</v>
          </cell>
        </row>
        <row r="231">
          <cell r="K231">
            <v>3</v>
          </cell>
          <cell r="L231">
            <v>1</v>
          </cell>
        </row>
        <row r="232">
          <cell r="K232">
            <v>3</v>
          </cell>
          <cell r="L232">
            <v>1</v>
          </cell>
        </row>
        <row r="233">
          <cell r="K233">
            <v>1</v>
          </cell>
          <cell r="L233">
            <v>3</v>
          </cell>
        </row>
        <row r="234">
          <cell r="K234">
            <v>2</v>
          </cell>
          <cell r="L234">
            <v>1</v>
          </cell>
        </row>
        <row r="235">
          <cell r="K235">
            <v>0</v>
          </cell>
          <cell r="L235">
            <v>2</v>
          </cell>
        </row>
        <row r="236">
          <cell r="K236">
            <v>2</v>
          </cell>
          <cell r="L236">
            <v>3</v>
          </cell>
        </row>
        <row r="237">
          <cell r="K237">
            <v>0</v>
          </cell>
          <cell r="L237">
            <v>6</v>
          </cell>
        </row>
        <row r="238">
          <cell r="K238">
            <v>1</v>
          </cell>
          <cell r="L238">
            <v>2</v>
          </cell>
        </row>
        <row r="239">
          <cell r="K239">
            <v>1</v>
          </cell>
          <cell r="L239">
            <v>3</v>
          </cell>
        </row>
        <row r="240">
          <cell r="K240">
            <v>1</v>
          </cell>
          <cell r="L240">
            <v>4</v>
          </cell>
        </row>
        <row r="241">
          <cell r="K241">
            <v>0</v>
          </cell>
          <cell r="L241">
            <v>5</v>
          </cell>
        </row>
        <row r="242">
          <cell r="K242">
            <v>1</v>
          </cell>
          <cell r="L242">
            <v>2</v>
          </cell>
        </row>
        <row r="243">
          <cell r="K243">
            <v>2</v>
          </cell>
          <cell r="L243">
            <v>2</v>
          </cell>
        </row>
        <row r="244">
          <cell r="K244">
            <v>2</v>
          </cell>
          <cell r="L244">
            <v>0</v>
          </cell>
        </row>
        <row r="245">
          <cell r="K245">
            <v>1</v>
          </cell>
          <cell r="L245">
            <v>2</v>
          </cell>
        </row>
        <row r="246">
          <cell r="K246">
            <v>1</v>
          </cell>
          <cell r="L246">
            <v>1</v>
          </cell>
        </row>
        <row r="247">
          <cell r="K247">
            <v>0</v>
          </cell>
          <cell r="L247">
            <v>5</v>
          </cell>
        </row>
        <row r="248">
          <cell r="K248">
            <v>1</v>
          </cell>
          <cell r="L248">
            <v>2</v>
          </cell>
        </row>
        <row r="249">
          <cell r="K249">
            <v>1</v>
          </cell>
          <cell r="L249">
            <v>1</v>
          </cell>
        </row>
        <row r="250">
          <cell r="K250">
            <v>1</v>
          </cell>
          <cell r="L250">
            <v>0</v>
          </cell>
        </row>
        <row r="251">
          <cell r="K251">
            <v>4</v>
          </cell>
          <cell r="L251">
            <v>1</v>
          </cell>
        </row>
        <row r="252">
          <cell r="K252">
            <v>4</v>
          </cell>
          <cell r="L252">
            <v>2</v>
          </cell>
        </row>
        <row r="253">
          <cell r="K253">
            <v>1</v>
          </cell>
          <cell r="L253">
            <v>1</v>
          </cell>
        </row>
        <row r="254">
          <cell r="K254">
            <v>3</v>
          </cell>
          <cell r="L254">
            <v>0</v>
          </cell>
        </row>
        <row r="255">
          <cell r="K255">
            <v>1</v>
          </cell>
          <cell r="L255">
            <v>2</v>
          </cell>
        </row>
        <row r="256">
          <cell r="K256">
            <v>0</v>
          </cell>
          <cell r="L256">
            <v>1</v>
          </cell>
        </row>
        <row r="257">
          <cell r="K257">
            <v>4</v>
          </cell>
          <cell r="L257">
            <v>1</v>
          </cell>
        </row>
        <row r="258">
          <cell r="K258">
            <v>1</v>
          </cell>
          <cell r="L258">
            <v>0</v>
          </cell>
        </row>
        <row r="259">
          <cell r="K259">
            <v>4</v>
          </cell>
          <cell r="L259">
            <v>2</v>
          </cell>
        </row>
        <row r="260">
          <cell r="K260">
            <v>2</v>
          </cell>
          <cell r="L260">
            <v>2</v>
          </cell>
        </row>
        <row r="261">
          <cell r="K261">
            <v>1</v>
          </cell>
          <cell r="L261">
            <v>3</v>
          </cell>
        </row>
        <row r="262">
          <cell r="K262">
            <v>3</v>
          </cell>
          <cell r="L262">
            <v>0</v>
          </cell>
        </row>
        <row r="263">
          <cell r="K263">
            <v>3</v>
          </cell>
          <cell r="L263">
            <v>0</v>
          </cell>
        </row>
        <row r="264">
          <cell r="K264">
            <v>0</v>
          </cell>
          <cell r="L264">
            <v>1</v>
          </cell>
        </row>
        <row r="265">
          <cell r="K265">
            <v>3</v>
          </cell>
          <cell r="L265">
            <v>1</v>
          </cell>
        </row>
        <row r="266">
          <cell r="K266">
            <v>2</v>
          </cell>
          <cell r="L266">
            <v>3</v>
          </cell>
        </row>
        <row r="267">
          <cell r="K267">
            <v>0</v>
          </cell>
          <cell r="L267">
            <v>2</v>
          </cell>
        </row>
        <row r="268">
          <cell r="K268">
            <v>3</v>
          </cell>
          <cell r="L268">
            <v>1</v>
          </cell>
        </row>
        <row r="269">
          <cell r="K269">
            <v>0</v>
          </cell>
          <cell r="L269">
            <v>6</v>
          </cell>
        </row>
        <row r="270">
          <cell r="K270">
            <v>2</v>
          </cell>
          <cell r="L270">
            <v>0</v>
          </cell>
        </row>
        <row r="271">
          <cell r="K271">
            <v>2</v>
          </cell>
          <cell r="L271">
            <v>2</v>
          </cell>
        </row>
        <row r="272">
          <cell r="K272">
            <v>1</v>
          </cell>
          <cell r="L272">
            <v>1</v>
          </cell>
        </row>
        <row r="273">
          <cell r="K273">
            <v>2</v>
          </cell>
          <cell r="L273">
            <v>1</v>
          </cell>
        </row>
        <row r="274">
          <cell r="K274">
            <v>2</v>
          </cell>
          <cell r="L274">
            <v>1</v>
          </cell>
        </row>
        <row r="275">
          <cell r="K275">
            <v>0</v>
          </cell>
          <cell r="L275">
            <v>4</v>
          </cell>
        </row>
        <row r="276">
          <cell r="K276">
            <v>1</v>
          </cell>
          <cell r="L276">
            <v>0</v>
          </cell>
        </row>
        <row r="277">
          <cell r="K277">
            <v>2</v>
          </cell>
          <cell r="L277">
            <v>2</v>
          </cell>
        </row>
        <row r="278">
          <cell r="K278">
            <v>1</v>
          </cell>
          <cell r="L278">
            <v>1</v>
          </cell>
        </row>
        <row r="279">
          <cell r="K279">
            <v>3</v>
          </cell>
          <cell r="L279">
            <v>2</v>
          </cell>
        </row>
        <row r="280">
          <cell r="K280">
            <v>4</v>
          </cell>
          <cell r="L280">
            <v>3</v>
          </cell>
        </row>
        <row r="281">
          <cell r="K281">
            <v>2</v>
          </cell>
          <cell r="L281">
            <v>1</v>
          </cell>
        </row>
        <row r="282">
          <cell r="K282">
            <v>1</v>
          </cell>
          <cell r="L282">
            <v>1</v>
          </cell>
        </row>
        <row r="283">
          <cell r="K283">
            <v>3</v>
          </cell>
          <cell r="L283">
            <v>0</v>
          </cell>
        </row>
        <row r="284">
          <cell r="K284">
            <v>1</v>
          </cell>
          <cell r="L284">
            <v>1</v>
          </cell>
        </row>
        <row r="285">
          <cell r="K285">
            <v>4</v>
          </cell>
          <cell r="L285">
            <v>3</v>
          </cell>
        </row>
        <row r="286">
          <cell r="K286">
            <v>2</v>
          </cell>
          <cell r="L286">
            <v>1</v>
          </cell>
        </row>
        <row r="287">
          <cell r="K287">
            <v>2</v>
          </cell>
          <cell r="L287">
            <v>2</v>
          </cell>
        </row>
        <row r="288">
          <cell r="K288">
            <v>1</v>
          </cell>
          <cell r="L288">
            <v>1</v>
          </cell>
        </row>
        <row r="289">
          <cell r="K289">
            <v>3</v>
          </cell>
          <cell r="L289">
            <v>3</v>
          </cell>
        </row>
        <row r="290">
          <cell r="K290">
            <v>2</v>
          </cell>
          <cell r="L290">
            <v>1</v>
          </cell>
        </row>
        <row r="291">
          <cell r="K291">
            <v>2</v>
          </cell>
          <cell r="L291">
            <v>0</v>
          </cell>
        </row>
        <row r="292">
          <cell r="K292">
            <v>1</v>
          </cell>
          <cell r="L292">
            <v>1</v>
          </cell>
        </row>
        <row r="293">
          <cell r="K293">
            <v>2</v>
          </cell>
          <cell r="L293">
            <v>1</v>
          </cell>
        </row>
        <row r="294">
          <cell r="K294">
            <v>0</v>
          </cell>
          <cell r="L294">
            <v>0</v>
          </cell>
        </row>
        <row r="295">
          <cell r="K295">
            <v>1</v>
          </cell>
          <cell r="L295">
            <v>1</v>
          </cell>
        </row>
        <row r="296">
          <cell r="K296">
            <v>3</v>
          </cell>
          <cell r="L296">
            <v>1</v>
          </cell>
        </row>
        <row r="297">
          <cell r="K297">
            <v>1</v>
          </cell>
          <cell r="L297">
            <v>0</v>
          </cell>
        </row>
        <row r="298">
          <cell r="K298">
            <v>1</v>
          </cell>
          <cell r="L298">
            <v>1</v>
          </cell>
        </row>
        <row r="299">
          <cell r="K299">
            <v>1</v>
          </cell>
          <cell r="L299">
            <v>1</v>
          </cell>
        </row>
        <row r="300">
          <cell r="K300">
            <v>2</v>
          </cell>
          <cell r="L300">
            <v>0</v>
          </cell>
        </row>
        <row r="301">
          <cell r="K301">
            <v>0</v>
          </cell>
          <cell r="L301">
            <v>0</v>
          </cell>
        </row>
        <row r="302">
          <cell r="K302">
            <v>4</v>
          </cell>
          <cell r="L302">
            <v>1</v>
          </cell>
        </row>
        <row r="303">
          <cell r="K303">
            <v>3</v>
          </cell>
          <cell r="L303">
            <v>1</v>
          </cell>
        </row>
        <row r="304">
          <cell r="K304">
            <v>4</v>
          </cell>
          <cell r="L304">
            <v>3</v>
          </cell>
        </row>
        <row r="305">
          <cell r="K305">
            <v>2</v>
          </cell>
          <cell r="L305">
            <v>4</v>
          </cell>
        </row>
        <row r="306">
          <cell r="K306">
            <v>3</v>
          </cell>
          <cell r="L306">
            <v>3</v>
          </cell>
        </row>
        <row r="307">
          <cell r="K307">
            <v>1</v>
          </cell>
          <cell r="L307">
            <v>0</v>
          </cell>
        </row>
        <row r="308">
          <cell r="K308">
            <v>0</v>
          </cell>
          <cell r="L308">
            <v>1</v>
          </cell>
        </row>
        <row r="309">
          <cell r="K309">
            <v>2</v>
          </cell>
          <cell r="L309">
            <v>1</v>
          </cell>
        </row>
        <row r="310">
          <cell r="K310">
            <v>1</v>
          </cell>
          <cell r="L310">
            <v>2</v>
          </cell>
        </row>
        <row r="311">
          <cell r="K311">
            <v>0</v>
          </cell>
          <cell r="L311">
            <v>3</v>
          </cell>
        </row>
        <row r="312">
          <cell r="K312">
            <v>2</v>
          </cell>
          <cell r="L312">
            <v>2</v>
          </cell>
        </row>
        <row r="313">
          <cell r="K313">
            <v>2</v>
          </cell>
          <cell r="L313">
            <v>2</v>
          </cell>
        </row>
        <row r="314">
          <cell r="K314">
            <v>3</v>
          </cell>
          <cell r="L314">
            <v>1</v>
          </cell>
        </row>
        <row r="315">
          <cell r="K315">
            <v>4</v>
          </cell>
          <cell r="L315">
            <v>0</v>
          </cell>
        </row>
        <row r="316">
          <cell r="K316">
            <v>2</v>
          </cell>
          <cell r="L316">
            <v>0</v>
          </cell>
        </row>
        <row r="317">
          <cell r="K317">
            <v>1</v>
          </cell>
          <cell r="L317">
            <v>1</v>
          </cell>
        </row>
        <row r="318">
          <cell r="K318">
            <v>5</v>
          </cell>
          <cell r="L318">
            <v>1</v>
          </cell>
        </row>
        <row r="319">
          <cell r="K319">
            <v>2</v>
          </cell>
          <cell r="L319">
            <v>2</v>
          </cell>
        </row>
        <row r="320">
          <cell r="K320">
            <v>2</v>
          </cell>
          <cell r="L320">
            <v>2</v>
          </cell>
        </row>
        <row r="321">
          <cell r="K321">
            <v>0</v>
          </cell>
          <cell r="L321">
            <v>1</v>
          </cell>
        </row>
        <row r="322">
          <cell r="K322">
            <v>0</v>
          </cell>
          <cell r="L322">
            <v>2</v>
          </cell>
        </row>
        <row r="323">
          <cell r="K323">
            <v>0</v>
          </cell>
          <cell r="L323">
            <v>2</v>
          </cell>
        </row>
        <row r="324">
          <cell r="K324">
            <v>6</v>
          </cell>
          <cell r="L324">
            <v>0</v>
          </cell>
        </row>
        <row r="325">
          <cell r="K325">
            <v>1</v>
          </cell>
          <cell r="L325">
            <v>5</v>
          </cell>
        </row>
        <row r="326">
          <cell r="K326">
            <v>1</v>
          </cell>
          <cell r="L326">
            <v>4</v>
          </cell>
        </row>
        <row r="327">
          <cell r="K327">
            <v>0</v>
          </cell>
          <cell r="L327">
            <v>2</v>
          </cell>
        </row>
        <row r="328">
          <cell r="K328">
            <v>2</v>
          </cell>
          <cell r="L328">
            <v>0</v>
          </cell>
        </row>
        <row r="329">
          <cell r="K329">
            <v>3</v>
          </cell>
          <cell r="L329">
            <v>1</v>
          </cell>
        </row>
        <row r="330">
          <cell r="K330">
            <v>5</v>
          </cell>
          <cell r="L330">
            <v>2</v>
          </cell>
        </row>
        <row r="331">
          <cell r="K331">
            <v>1</v>
          </cell>
          <cell r="L331">
            <v>3</v>
          </cell>
        </row>
        <row r="332">
          <cell r="K332">
            <v>5</v>
          </cell>
          <cell r="L332">
            <v>0</v>
          </cell>
        </row>
        <row r="333">
          <cell r="K333">
            <v>0</v>
          </cell>
          <cell r="L333">
            <v>1</v>
          </cell>
        </row>
        <row r="334">
          <cell r="K334">
            <v>2</v>
          </cell>
          <cell r="L334">
            <v>0</v>
          </cell>
        </row>
        <row r="335">
          <cell r="K335">
            <v>2</v>
          </cell>
          <cell r="L335">
            <v>0</v>
          </cell>
        </row>
        <row r="336">
          <cell r="K336">
            <v>4</v>
          </cell>
          <cell r="L336">
            <v>2</v>
          </cell>
        </row>
        <row r="337">
          <cell r="K337">
            <v>0</v>
          </cell>
          <cell r="L337">
            <v>4</v>
          </cell>
        </row>
        <row r="338">
          <cell r="K338">
            <v>2</v>
          </cell>
          <cell r="L338">
            <v>2</v>
          </cell>
        </row>
        <row r="339">
          <cell r="K339">
            <v>1</v>
          </cell>
          <cell r="L339">
            <v>1</v>
          </cell>
        </row>
        <row r="340">
          <cell r="K340">
            <v>1</v>
          </cell>
          <cell r="L340">
            <v>1</v>
          </cell>
        </row>
        <row r="341">
          <cell r="K341">
            <v>5</v>
          </cell>
          <cell r="L341">
            <v>1</v>
          </cell>
        </row>
        <row r="342">
          <cell r="K342">
            <v>2</v>
          </cell>
          <cell r="L342">
            <v>1</v>
          </cell>
        </row>
        <row r="343">
          <cell r="K343">
            <v>1</v>
          </cell>
          <cell r="L343">
            <v>0</v>
          </cell>
        </row>
        <row r="344">
          <cell r="K344">
            <v>2</v>
          </cell>
          <cell r="L344">
            <v>2</v>
          </cell>
        </row>
        <row r="345">
          <cell r="K345">
            <v>3</v>
          </cell>
          <cell r="L345">
            <v>0</v>
          </cell>
        </row>
        <row r="346">
          <cell r="K346">
            <v>2</v>
          </cell>
          <cell r="L346">
            <v>3</v>
          </cell>
        </row>
        <row r="347">
          <cell r="K347">
            <v>0</v>
          </cell>
          <cell r="L347">
            <v>2</v>
          </cell>
        </row>
        <row r="348">
          <cell r="K348">
            <v>2</v>
          </cell>
          <cell r="L348">
            <v>0</v>
          </cell>
        </row>
        <row r="349">
          <cell r="K349">
            <v>1</v>
          </cell>
          <cell r="L349">
            <v>1</v>
          </cell>
        </row>
        <row r="350">
          <cell r="K350">
            <v>3</v>
          </cell>
          <cell r="L350">
            <v>0</v>
          </cell>
        </row>
        <row r="351">
          <cell r="K351">
            <v>0</v>
          </cell>
          <cell r="L351">
            <v>0</v>
          </cell>
        </row>
        <row r="352">
          <cell r="K352">
            <v>1</v>
          </cell>
          <cell r="L352">
            <v>4</v>
          </cell>
        </row>
        <row r="353">
          <cell r="K353">
            <v>1</v>
          </cell>
          <cell r="L353">
            <v>3</v>
          </cell>
        </row>
        <row r="354">
          <cell r="K354">
            <v>5</v>
          </cell>
          <cell r="L354">
            <v>1</v>
          </cell>
        </row>
        <row r="355">
          <cell r="K355">
            <v>1</v>
          </cell>
          <cell r="L355">
            <v>0</v>
          </cell>
        </row>
        <row r="356">
          <cell r="K356">
            <v>5</v>
          </cell>
          <cell r="L356">
            <v>0</v>
          </cell>
        </row>
        <row r="357">
          <cell r="K357">
            <v>4</v>
          </cell>
          <cell r="L357">
            <v>2</v>
          </cell>
        </row>
        <row r="358">
          <cell r="K358">
            <v>4</v>
          </cell>
          <cell r="L358">
            <v>0</v>
          </cell>
        </row>
        <row r="359">
          <cell r="K359">
            <v>0</v>
          </cell>
          <cell r="L359">
            <v>4</v>
          </cell>
        </row>
        <row r="360">
          <cell r="K360">
            <v>1</v>
          </cell>
          <cell r="L360">
            <v>2</v>
          </cell>
        </row>
        <row r="361">
          <cell r="K361">
            <v>1</v>
          </cell>
          <cell r="L361">
            <v>0</v>
          </cell>
        </row>
        <row r="362">
          <cell r="K362">
            <v>1</v>
          </cell>
          <cell r="L362">
            <v>1</v>
          </cell>
        </row>
        <row r="363">
          <cell r="K363">
            <v>2</v>
          </cell>
          <cell r="L363">
            <v>1</v>
          </cell>
        </row>
        <row r="364">
          <cell r="K364">
            <v>3</v>
          </cell>
          <cell r="L364">
            <v>1</v>
          </cell>
        </row>
        <row r="365">
          <cell r="K365">
            <v>1</v>
          </cell>
          <cell r="L365">
            <v>3</v>
          </cell>
        </row>
        <row r="366">
          <cell r="K366">
            <v>2</v>
          </cell>
          <cell r="L366">
            <v>3</v>
          </cell>
        </row>
        <row r="367">
          <cell r="K367">
            <v>0</v>
          </cell>
          <cell r="L367">
            <v>1</v>
          </cell>
        </row>
        <row r="368">
          <cell r="K368">
            <v>3</v>
          </cell>
          <cell r="L368">
            <v>3</v>
          </cell>
        </row>
        <row r="369">
          <cell r="K369">
            <v>0</v>
          </cell>
          <cell r="L369">
            <v>2</v>
          </cell>
        </row>
        <row r="370">
          <cell r="K370">
            <v>1</v>
          </cell>
          <cell r="L370">
            <v>2</v>
          </cell>
        </row>
        <row r="371">
          <cell r="K371">
            <v>3</v>
          </cell>
          <cell r="L371">
            <v>2</v>
          </cell>
        </row>
        <row r="372">
          <cell r="K372">
            <v>2</v>
          </cell>
          <cell r="L372">
            <v>1</v>
          </cell>
        </row>
        <row r="373">
          <cell r="K373">
            <v>2</v>
          </cell>
          <cell r="L373">
            <v>4</v>
          </cell>
        </row>
        <row r="374">
          <cell r="K374">
            <v>0</v>
          </cell>
          <cell r="L374">
            <v>2</v>
          </cell>
        </row>
        <row r="375">
          <cell r="K375">
            <v>1</v>
          </cell>
          <cell r="L375">
            <v>2</v>
          </cell>
        </row>
        <row r="376">
          <cell r="K376">
            <v>2</v>
          </cell>
          <cell r="L376">
            <v>1</v>
          </cell>
        </row>
        <row r="377">
          <cell r="K377">
            <v>5</v>
          </cell>
          <cell r="L377">
            <v>0</v>
          </cell>
        </row>
        <row r="378">
          <cell r="K378">
            <v>2</v>
          </cell>
          <cell r="L378">
            <v>0</v>
          </cell>
        </row>
        <row r="379">
          <cell r="K379">
            <v>2</v>
          </cell>
          <cell r="L379">
            <v>4</v>
          </cell>
        </row>
        <row r="380">
          <cell r="K380">
            <v>3</v>
          </cell>
          <cell r="L380">
            <v>1</v>
          </cell>
        </row>
        <row r="381">
          <cell r="K381">
            <v>0</v>
          </cell>
          <cell r="L381">
            <v>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FA09-B86F-C045-807A-6969E5725737}">
  <sheetPr>
    <pageSetUpPr fitToPage="1"/>
  </sheetPr>
  <dimension ref="A1:IR801"/>
  <sheetViews>
    <sheetView showGridLines="0" tabSelected="1" topLeftCell="A17" zoomScale="55" zoomScaleNormal="55" workbookViewId="0">
      <selection activeCell="A52" sqref="A52:A62"/>
    </sheetView>
  </sheetViews>
  <sheetFormatPr baseColWidth="10" defaultColWidth="8.5703125" defaultRowHeight="25" x14ac:dyDescent="0.25"/>
  <cols>
    <col min="1" max="1" width="18.7109375" style="1" customWidth="1"/>
    <col min="2" max="2" width="8.7109375" style="1" bestFit="1" customWidth="1"/>
    <col min="3" max="3" width="10.7109375" style="1" customWidth="1"/>
    <col min="4" max="4" width="8.5703125" style="1"/>
    <col min="5" max="5" width="26.140625" style="1" bestFit="1" customWidth="1"/>
    <col min="6" max="6" width="4.140625" style="1" bestFit="1" customWidth="1"/>
    <col min="7" max="7" width="13.140625" style="1" bestFit="1" customWidth="1"/>
    <col min="8" max="8" width="3" style="1" bestFit="1" customWidth="1"/>
    <col min="9" max="9" width="5.140625" style="1" customWidth="1"/>
    <col min="10" max="10" width="13.140625" style="1" bestFit="1" customWidth="1"/>
    <col min="11" max="11" width="6.42578125" style="1" bestFit="1" customWidth="1"/>
    <col min="12" max="12" width="5.5703125" style="1" bestFit="1" customWidth="1"/>
    <col min="13" max="13" width="14.85546875" style="1" bestFit="1" customWidth="1"/>
    <col min="14" max="14" width="8.7109375" style="1" bestFit="1" customWidth="1"/>
    <col min="15" max="15" width="10.7109375" style="1" customWidth="1"/>
    <col min="16" max="16" width="8.5703125" style="1"/>
    <col min="17" max="17" width="21" style="1" bestFit="1" customWidth="1"/>
    <col min="18" max="18" width="4.140625" style="1" bestFit="1" customWidth="1"/>
    <col min="19" max="19" width="3.85546875" style="1" bestFit="1" customWidth="1"/>
    <col min="20" max="20" width="3" style="1" bestFit="1" customWidth="1"/>
    <col min="21" max="21" width="3.85546875" style="1" bestFit="1" customWidth="1"/>
    <col min="22" max="22" width="5" style="1" bestFit="1" customWidth="1"/>
    <col min="23" max="24" width="5.5703125" style="1" bestFit="1" customWidth="1"/>
    <col min="25" max="25" width="18.7109375" style="1" customWidth="1"/>
    <col min="26" max="26" width="8.7109375" style="1" bestFit="1" customWidth="1"/>
    <col min="27" max="27" width="10.7109375" style="1" customWidth="1"/>
    <col min="28" max="28" width="8.5703125" style="1"/>
    <col min="29" max="29" width="20.85546875" style="1" bestFit="1" customWidth="1"/>
    <col min="30" max="30" width="4.140625" style="1" bestFit="1" customWidth="1"/>
    <col min="31" max="31" width="3.85546875" style="1" bestFit="1" customWidth="1"/>
    <col min="32" max="32" width="3" style="1" bestFit="1" customWidth="1"/>
    <col min="33" max="33" width="3.85546875" style="1" bestFit="1" customWidth="1"/>
    <col min="34" max="34" width="5" style="1" bestFit="1" customWidth="1"/>
    <col min="35" max="36" width="5.5703125" style="1" bestFit="1" customWidth="1"/>
    <col min="37" max="37" width="14.85546875" style="1" bestFit="1" customWidth="1"/>
    <col min="38" max="38" width="8.7109375" style="1" bestFit="1" customWidth="1"/>
    <col min="39" max="39" width="10.7109375" style="1" customWidth="1"/>
    <col min="40" max="40" width="8.5703125" style="1"/>
    <col min="41" max="41" width="21" style="1" bestFit="1" customWidth="1"/>
    <col min="42" max="42" width="4.140625" style="1" bestFit="1" customWidth="1"/>
    <col min="43" max="43" width="3.85546875" style="1" bestFit="1" customWidth="1"/>
    <col min="44" max="44" width="3" style="1" bestFit="1" customWidth="1"/>
    <col min="45" max="45" width="3.85546875" style="1" bestFit="1" customWidth="1"/>
    <col min="46" max="46" width="5" style="1" bestFit="1" customWidth="1"/>
    <col min="47" max="47" width="6.42578125" style="1" bestFit="1" customWidth="1"/>
    <col min="48" max="48" width="5.5703125" style="1" bestFit="1" customWidth="1"/>
    <col min="49" max="49" width="18.7109375" style="1" customWidth="1"/>
    <col min="50" max="50" width="8.7109375" style="1" bestFit="1" customWidth="1"/>
    <col min="51" max="51" width="10.7109375" style="1" customWidth="1"/>
    <col min="52" max="52" width="8.5703125" style="1"/>
    <col min="53" max="53" width="21" style="1" bestFit="1" customWidth="1"/>
    <col min="54" max="54" width="4.140625" style="1" bestFit="1" customWidth="1"/>
    <col min="55" max="55" width="3.85546875" style="1" bestFit="1" customWidth="1"/>
    <col min="56" max="56" width="3" style="1" bestFit="1" customWidth="1"/>
    <col min="57" max="57" width="3.85546875" style="1" bestFit="1" customWidth="1"/>
    <col min="58" max="58" width="5" style="1" bestFit="1" customWidth="1"/>
    <col min="59" max="59" width="6.42578125" style="1" bestFit="1" customWidth="1"/>
    <col min="60" max="60" width="5.5703125" style="1" bestFit="1" customWidth="1"/>
    <col min="61" max="61" width="14.85546875" style="1" bestFit="1" customWidth="1"/>
    <col min="62" max="62" width="8.7109375" style="1" bestFit="1" customWidth="1"/>
    <col min="63" max="63" width="10.7109375" style="1" customWidth="1"/>
    <col min="64" max="64" width="8.5703125" style="1"/>
    <col min="65" max="65" width="21" style="1" bestFit="1" customWidth="1"/>
    <col min="66" max="66" width="4.140625" style="1" bestFit="1" customWidth="1"/>
    <col min="67" max="67" width="3.85546875" style="1" bestFit="1" customWidth="1"/>
    <col min="68" max="68" width="3" style="1" bestFit="1" customWidth="1"/>
    <col min="69" max="69" width="3.85546875" style="1" bestFit="1" customWidth="1"/>
    <col min="70" max="70" width="5" style="1" bestFit="1" customWidth="1"/>
    <col min="71" max="71" width="6.42578125" style="1" bestFit="1" customWidth="1"/>
    <col min="72" max="72" width="5.5703125" style="1" bestFit="1" customWidth="1"/>
    <col min="73" max="73" width="18.7109375" style="1" customWidth="1"/>
    <col min="74" max="74" width="8.7109375" style="1" bestFit="1" customWidth="1"/>
    <col min="75" max="75" width="10.7109375" style="1" customWidth="1"/>
    <col min="76" max="76" width="8.5703125" style="1" customWidth="1"/>
    <col min="77" max="77" width="21" style="1" bestFit="1" customWidth="1"/>
    <col min="78" max="78" width="4.140625" style="1" bestFit="1" customWidth="1"/>
    <col min="79" max="79" width="3.85546875" style="1" bestFit="1" customWidth="1"/>
    <col min="80" max="80" width="3" style="1" bestFit="1" customWidth="1"/>
    <col min="81" max="81" width="3.85546875" style="1" bestFit="1" customWidth="1"/>
    <col min="82" max="82" width="5" style="1" bestFit="1" customWidth="1"/>
    <col min="83" max="83" width="6.42578125" style="1" bestFit="1" customWidth="1"/>
    <col min="84" max="84" width="5.5703125" style="1" bestFit="1" customWidth="1"/>
    <col min="85" max="85" width="14.85546875" style="1" bestFit="1" customWidth="1"/>
    <col min="86" max="86" width="8.7109375" style="1" bestFit="1" customWidth="1"/>
    <col min="87" max="87" width="10.7109375" style="1" customWidth="1"/>
    <col min="88" max="88" width="8.5703125" style="1"/>
    <col min="89" max="89" width="21" style="1" bestFit="1" customWidth="1"/>
    <col min="90" max="90" width="4.140625" style="1" bestFit="1" customWidth="1"/>
    <col min="91" max="91" width="3.85546875" style="1" bestFit="1" customWidth="1"/>
    <col min="92" max="92" width="3" style="1" bestFit="1" customWidth="1"/>
    <col min="93" max="93" width="3.85546875" style="1" bestFit="1" customWidth="1"/>
    <col min="94" max="94" width="5" style="1" bestFit="1" customWidth="1"/>
    <col min="95" max="95" width="6.42578125" style="1" bestFit="1" customWidth="1"/>
    <col min="96" max="96" width="5.5703125" style="1" bestFit="1" customWidth="1"/>
    <col min="97" max="97" width="18.7109375" style="1" customWidth="1"/>
    <col min="98" max="98" width="8.7109375" style="1" bestFit="1" customWidth="1"/>
    <col min="99" max="99" width="10.7109375" style="1" customWidth="1"/>
    <col min="100" max="100" width="8.5703125" style="1"/>
    <col min="101" max="101" width="21" style="1" bestFit="1" customWidth="1"/>
    <col min="102" max="102" width="4.140625" style="1" bestFit="1" customWidth="1"/>
    <col min="103" max="103" width="3.85546875" style="1" bestFit="1" customWidth="1"/>
    <col min="104" max="104" width="3" style="1" bestFit="1" customWidth="1"/>
    <col min="105" max="105" width="3.85546875" style="1" bestFit="1" customWidth="1"/>
    <col min="106" max="106" width="5" style="1" bestFit="1" customWidth="1"/>
    <col min="107" max="108" width="5.5703125" style="1" bestFit="1" customWidth="1"/>
    <col min="109" max="109" width="14.85546875" style="1" bestFit="1" customWidth="1"/>
    <col min="110" max="110" width="8.7109375" style="1" bestFit="1" customWidth="1"/>
    <col min="111" max="111" width="10.7109375" style="1" customWidth="1"/>
    <col min="112" max="112" width="8.5703125" style="1"/>
    <col min="113" max="113" width="21" style="1" bestFit="1" customWidth="1"/>
    <col min="114" max="114" width="4.140625" style="1" bestFit="1" customWidth="1"/>
    <col min="115" max="115" width="3.85546875" style="1" bestFit="1" customWidth="1"/>
    <col min="116" max="116" width="3" style="1" bestFit="1" customWidth="1"/>
    <col min="117" max="117" width="3.85546875" style="1" bestFit="1" customWidth="1"/>
    <col min="118" max="118" width="5" style="1" bestFit="1" customWidth="1"/>
    <col min="119" max="120" width="5.5703125" style="1" bestFit="1" customWidth="1"/>
    <col min="121" max="121" width="18.7109375" style="1" customWidth="1"/>
    <col min="122" max="122" width="8.7109375" style="1" bestFit="1" customWidth="1"/>
    <col min="123" max="123" width="10.7109375" style="1" customWidth="1"/>
    <col min="124" max="124" width="8.5703125" style="1"/>
    <col min="125" max="125" width="21" style="1" bestFit="1" customWidth="1"/>
    <col min="126" max="126" width="4.140625" style="1" bestFit="1" customWidth="1"/>
    <col min="127" max="127" width="3.85546875" style="1" bestFit="1" customWidth="1"/>
    <col min="128" max="128" width="3" style="1" bestFit="1" customWidth="1"/>
    <col min="129" max="129" width="3.85546875" style="1" bestFit="1" customWidth="1"/>
    <col min="130" max="130" width="5" style="1" bestFit="1" customWidth="1"/>
    <col min="131" max="131" width="6.42578125" style="1" bestFit="1" customWidth="1"/>
    <col min="132" max="132" width="5.5703125" style="1" bestFit="1" customWidth="1"/>
    <col min="133" max="133" width="14.85546875" style="1" bestFit="1" customWidth="1"/>
    <col min="134" max="134" width="8.7109375" style="1" bestFit="1" customWidth="1"/>
    <col min="135" max="135" width="10.7109375" style="1" customWidth="1"/>
    <col min="136" max="136" width="8.5703125" style="1"/>
    <col min="137" max="137" width="21" style="1" bestFit="1" customWidth="1"/>
    <col min="138" max="138" width="4.140625" style="1" bestFit="1" customWidth="1"/>
    <col min="139" max="139" width="3.85546875" style="1" bestFit="1" customWidth="1"/>
    <col min="140" max="140" width="3" style="1" bestFit="1" customWidth="1"/>
    <col min="141" max="141" width="3.85546875" style="1" bestFit="1" customWidth="1"/>
    <col min="142" max="142" width="5" style="1" bestFit="1" customWidth="1"/>
    <col min="143" max="143" width="6.42578125" style="1" bestFit="1" customWidth="1"/>
    <col min="144" max="144" width="5.5703125" style="1" bestFit="1" customWidth="1"/>
    <col min="145" max="145" width="18.7109375" style="1" customWidth="1"/>
    <col min="146" max="146" width="8.7109375" style="1" bestFit="1" customWidth="1"/>
    <col min="147" max="147" width="10.7109375" style="1" customWidth="1"/>
    <col min="148" max="148" width="8.5703125" style="1"/>
    <col min="149" max="149" width="21" style="1" bestFit="1" customWidth="1"/>
    <col min="150" max="150" width="4.140625" style="1" bestFit="1" customWidth="1"/>
    <col min="151" max="151" width="3.85546875" style="1" bestFit="1" customWidth="1"/>
    <col min="152" max="152" width="3" style="1" bestFit="1" customWidth="1"/>
    <col min="153" max="153" width="3.85546875" style="1" bestFit="1" customWidth="1"/>
    <col min="154" max="154" width="5" style="1" bestFit="1" customWidth="1"/>
    <col min="155" max="155" width="6.42578125" style="1" bestFit="1" customWidth="1"/>
    <col min="156" max="156" width="5.5703125" style="1" bestFit="1" customWidth="1"/>
    <col min="157" max="157" width="14.85546875" style="1" bestFit="1" customWidth="1"/>
    <col min="158" max="158" width="8.7109375" style="1" bestFit="1" customWidth="1"/>
    <col min="159" max="159" width="10.7109375" style="1" customWidth="1"/>
    <col min="160" max="160" width="8.5703125" style="1"/>
    <col min="161" max="161" width="21" style="1" bestFit="1" customWidth="1"/>
    <col min="162" max="162" width="4.140625" style="1" bestFit="1" customWidth="1"/>
    <col min="163" max="163" width="3.85546875" style="1" bestFit="1" customWidth="1"/>
    <col min="164" max="164" width="3" style="1" bestFit="1" customWidth="1"/>
    <col min="165" max="165" width="3.85546875" style="1" bestFit="1" customWidth="1"/>
    <col min="166" max="166" width="5" style="1" bestFit="1" customWidth="1"/>
    <col min="167" max="168" width="5.5703125" style="1" bestFit="1" customWidth="1"/>
    <col min="169" max="169" width="18.7109375" style="1" customWidth="1"/>
    <col min="170" max="170" width="8.7109375" style="1" bestFit="1" customWidth="1"/>
    <col min="171" max="171" width="10.7109375" style="1" customWidth="1"/>
    <col min="172" max="172" width="8.5703125" style="1"/>
    <col min="173" max="173" width="21" style="1" bestFit="1" customWidth="1"/>
    <col min="174" max="174" width="4.140625" style="1" bestFit="1" customWidth="1"/>
    <col min="175" max="175" width="3.85546875" style="1" bestFit="1" customWidth="1"/>
    <col min="176" max="176" width="3" style="1" bestFit="1" customWidth="1"/>
    <col min="177" max="177" width="3.85546875" style="1" bestFit="1" customWidth="1"/>
    <col min="178" max="178" width="5" style="1" bestFit="1" customWidth="1"/>
    <col min="179" max="180" width="5.5703125" style="1" bestFit="1" customWidth="1"/>
    <col min="181" max="181" width="14.85546875" style="1" bestFit="1" customWidth="1"/>
    <col min="182" max="182" width="8.7109375" style="1" bestFit="1" customWidth="1"/>
    <col min="183" max="183" width="10.7109375" style="1" customWidth="1"/>
    <col min="184" max="184" width="8.5703125" style="1"/>
    <col min="185" max="185" width="21" style="1" bestFit="1" customWidth="1"/>
    <col min="186" max="186" width="4.140625" style="1" bestFit="1" customWidth="1"/>
    <col min="187" max="187" width="3.85546875" style="1" bestFit="1" customWidth="1"/>
    <col min="188" max="188" width="3" style="1" bestFit="1" customWidth="1"/>
    <col min="189" max="189" width="3.85546875" style="1" bestFit="1" customWidth="1"/>
    <col min="190" max="190" width="5" style="1" bestFit="1" customWidth="1"/>
    <col min="191" max="192" width="5.5703125" style="1" bestFit="1" customWidth="1"/>
    <col min="193" max="193" width="18.7109375" style="1" customWidth="1"/>
    <col min="194" max="194" width="8.7109375" style="1" bestFit="1" customWidth="1"/>
    <col min="195" max="195" width="10.7109375" style="1" customWidth="1"/>
    <col min="196" max="196" width="8.5703125" style="1"/>
    <col min="197" max="197" width="21" style="1" bestFit="1" customWidth="1"/>
    <col min="198" max="198" width="4.140625" style="1" bestFit="1" customWidth="1"/>
    <col min="199" max="199" width="3.85546875" style="1" bestFit="1" customWidth="1"/>
    <col min="200" max="200" width="3" style="1" bestFit="1" customWidth="1"/>
    <col min="201" max="201" width="3.85546875" style="1" bestFit="1" customWidth="1"/>
    <col min="202" max="202" width="5" style="1" bestFit="1" customWidth="1"/>
    <col min="203" max="203" width="6.42578125" style="1" bestFit="1" customWidth="1"/>
    <col min="204" max="204" width="5.5703125" style="1" bestFit="1" customWidth="1"/>
    <col min="205" max="205" width="14.85546875" style="1" bestFit="1" customWidth="1"/>
    <col min="206" max="206" width="8.7109375" style="1" bestFit="1" customWidth="1"/>
    <col min="207" max="207" width="10.7109375" style="1" customWidth="1"/>
    <col min="208" max="208" width="8.5703125" style="1"/>
    <col min="209" max="209" width="21" style="1" bestFit="1" customWidth="1"/>
    <col min="210" max="210" width="4.140625" style="1" bestFit="1" customWidth="1"/>
    <col min="211" max="211" width="3.85546875" style="1" bestFit="1" customWidth="1"/>
    <col min="212" max="212" width="3" style="1" bestFit="1" customWidth="1"/>
    <col min="213" max="213" width="3.85546875" style="1" bestFit="1" customWidth="1"/>
    <col min="214" max="214" width="5" style="1" bestFit="1" customWidth="1"/>
    <col min="215" max="216" width="5.5703125" style="1" bestFit="1" customWidth="1"/>
    <col min="217" max="217" width="18.7109375" style="1" customWidth="1"/>
    <col min="218" max="218" width="8.7109375" style="1" bestFit="1" customWidth="1"/>
    <col min="219" max="219" width="10.7109375" style="1" customWidth="1"/>
    <col min="220" max="220" width="8.5703125" style="1"/>
    <col min="221" max="221" width="21" style="1" bestFit="1" customWidth="1"/>
    <col min="222" max="222" width="4.140625" style="1" bestFit="1" customWidth="1"/>
    <col min="223" max="223" width="3.85546875" style="1" bestFit="1" customWidth="1"/>
    <col min="224" max="224" width="3" style="1" bestFit="1" customWidth="1"/>
    <col min="225" max="225" width="3.85546875" style="1" bestFit="1" customWidth="1"/>
    <col min="226" max="226" width="5" style="1" bestFit="1" customWidth="1"/>
    <col min="227" max="228" width="5.5703125" style="1" bestFit="1" customWidth="1"/>
    <col min="229" max="229" width="14.85546875" style="1" bestFit="1" customWidth="1"/>
    <col min="230" max="230" width="8.7109375" style="1" bestFit="1" customWidth="1"/>
    <col min="231" max="231" width="10.7109375" style="1" customWidth="1"/>
    <col min="232" max="232" width="8.5703125" style="1"/>
    <col min="233" max="233" width="21" style="1" bestFit="1" customWidth="1"/>
    <col min="234" max="234" width="4.140625" style="1" bestFit="1" customWidth="1"/>
    <col min="235" max="235" width="3.85546875" style="1" bestFit="1" customWidth="1"/>
    <col min="236" max="236" width="3" style="1" bestFit="1" customWidth="1"/>
    <col min="237" max="237" width="3.85546875" style="1" bestFit="1" customWidth="1"/>
    <col min="238" max="238" width="5" style="1" bestFit="1" customWidth="1"/>
    <col min="239" max="240" width="5.5703125" style="1" bestFit="1" customWidth="1"/>
    <col min="241" max="241" width="14" style="1" bestFit="1" customWidth="1"/>
    <col min="242" max="242" width="8.7109375" style="1" bestFit="1" customWidth="1"/>
    <col min="243" max="243" width="10.28515625" style="1" bestFit="1" customWidth="1"/>
    <col min="244" max="244" width="8.5703125" style="1"/>
    <col min="245" max="245" width="29.28515625" style="1" bestFit="1" customWidth="1"/>
    <col min="246" max="246" width="4.140625" style="1" bestFit="1" customWidth="1"/>
    <col min="247" max="247" width="3.85546875" style="1" bestFit="1" customWidth="1"/>
    <col min="248" max="248" width="3" style="1" bestFit="1" customWidth="1"/>
    <col min="249" max="249" width="3.85546875" style="1" bestFit="1" customWidth="1"/>
    <col min="250" max="250" width="5" style="1" bestFit="1" customWidth="1"/>
    <col min="251" max="252" width="5.5703125" style="1" bestFit="1" customWidth="1"/>
    <col min="253" max="16384" width="8.5703125" style="1"/>
  </cols>
  <sheetData>
    <row r="1" spans="1:243" ht="45" x14ac:dyDescent="0.45">
      <c r="A1" s="213"/>
      <c r="B1" s="213" t="s">
        <v>30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2"/>
      <c r="N1" s="212" t="s">
        <v>31</v>
      </c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1"/>
      <c r="Z1" s="211" t="s">
        <v>32</v>
      </c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0"/>
      <c r="AL1" s="210" t="s">
        <v>24</v>
      </c>
      <c r="AM1" s="210"/>
      <c r="AN1" s="210"/>
      <c r="AO1" s="210"/>
      <c r="AP1" s="210"/>
      <c r="AQ1" s="210"/>
      <c r="AR1" s="210"/>
      <c r="AS1" s="210"/>
      <c r="AT1" s="210"/>
      <c r="AU1" s="210"/>
      <c r="AV1" s="210"/>
      <c r="AW1" s="209"/>
      <c r="AX1" s="209" t="s">
        <v>25</v>
      </c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8"/>
      <c r="BJ1" s="208" t="s">
        <v>23</v>
      </c>
      <c r="BK1" s="208"/>
      <c r="BL1" s="208"/>
      <c r="BM1" s="208"/>
      <c r="BN1" s="208"/>
      <c r="BO1" s="208"/>
      <c r="BP1" s="208"/>
      <c r="BQ1" s="208"/>
      <c r="BR1" s="208"/>
      <c r="BS1" s="208"/>
      <c r="BT1" s="208"/>
      <c r="BU1" s="207"/>
      <c r="BV1" s="207" t="s">
        <v>36</v>
      </c>
      <c r="BW1" s="207"/>
      <c r="BX1" s="207"/>
      <c r="BY1" s="207"/>
      <c r="BZ1" s="207"/>
      <c r="CA1" s="207"/>
      <c r="CB1" s="207"/>
      <c r="CC1" s="207"/>
      <c r="CD1" s="207"/>
      <c r="CE1" s="207"/>
      <c r="CF1" s="207"/>
      <c r="CG1" s="206"/>
      <c r="CH1" s="206" t="s">
        <v>37</v>
      </c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5"/>
      <c r="CT1" s="205" t="s">
        <v>38</v>
      </c>
      <c r="CU1" s="205"/>
      <c r="CV1" s="205"/>
      <c r="CW1" s="205"/>
      <c r="CX1" s="205"/>
      <c r="CY1" s="205"/>
      <c r="CZ1" s="205"/>
      <c r="DA1" s="205"/>
      <c r="DB1" s="205"/>
      <c r="DC1" s="205"/>
      <c r="DD1" s="205"/>
      <c r="DE1" s="204"/>
      <c r="DF1" s="204" t="s">
        <v>27</v>
      </c>
      <c r="DG1" s="204"/>
      <c r="DH1" s="204"/>
      <c r="DI1" s="204"/>
      <c r="DJ1" s="204"/>
      <c r="DK1" s="204"/>
      <c r="DL1" s="204"/>
      <c r="DM1" s="204"/>
      <c r="DN1" s="204"/>
      <c r="DO1" s="204"/>
      <c r="DP1" s="204"/>
      <c r="DQ1" s="203"/>
      <c r="DR1" s="203" t="s">
        <v>17</v>
      </c>
      <c r="DS1" s="203"/>
      <c r="DT1" s="203"/>
      <c r="DU1" s="203"/>
      <c r="DV1" s="203"/>
      <c r="DW1" s="203"/>
      <c r="DX1" s="203"/>
      <c r="DY1" s="203"/>
      <c r="DZ1" s="203"/>
      <c r="EA1" s="203"/>
      <c r="EB1" s="203"/>
      <c r="EC1" s="202"/>
      <c r="ED1" s="202" t="s">
        <v>29</v>
      </c>
      <c r="EE1" s="202"/>
      <c r="EF1" s="202"/>
      <c r="EG1" s="202"/>
      <c r="EH1" s="202"/>
      <c r="EI1" s="202"/>
      <c r="EJ1" s="202"/>
      <c r="EK1" s="202"/>
      <c r="EL1" s="202"/>
      <c r="EM1" s="202"/>
      <c r="EN1" s="202"/>
      <c r="EO1" s="201"/>
      <c r="EP1" s="201" t="s">
        <v>19</v>
      </c>
      <c r="EQ1" s="201"/>
      <c r="ER1" s="201"/>
      <c r="ES1" s="201"/>
      <c r="ET1" s="201"/>
      <c r="EU1" s="201"/>
      <c r="EV1" s="201"/>
      <c r="EW1" s="201"/>
      <c r="EX1" s="201"/>
      <c r="EY1" s="201"/>
      <c r="EZ1" s="201"/>
      <c r="FA1" s="200"/>
      <c r="FB1" s="200" t="s">
        <v>34</v>
      </c>
      <c r="FC1" s="200"/>
      <c r="FD1" s="200"/>
      <c r="FE1" s="200"/>
      <c r="FF1" s="200"/>
      <c r="FG1" s="200"/>
      <c r="FH1" s="200"/>
      <c r="FI1" s="200"/>
      <c r="FJ1" s="200"/>
      <c r="FK1" s="200"/>
      <c r="FL1" s="200"/>
      <c r="FM1" s="199"/>
      <c r="FN1" s="199" t="s">
        <v>35</v>
      </c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8"/>
      <c r="FZ1" s="198" t="s">
        <v>33</v>
      </c>
      <c r="GA1" s="198"/>
      <c r="GB1" s="198"/>
      <c r="GC1" s="198"/>
      <c r="GD1" s="198"/>
      <c r="GE1" s="198"/>
      <c r="GF1" s="198"/>
      <c r="GG1" s="198"/>
      <c r="GH1" s="198"/>
      <c r="GI1" s="198"/>
      <c r="GJ1" s="198"/>
      <c r="GK1" s="197"/>
      <c r="GL1" s="197" t="s">
        <v>20</v>
      </c>
      <c r="GM1" s="197"/>
      <c r="GN1" s="197"/>
      <c r="GO1" s="197"/>
      <c r="GP1" s="197"/>
      <c r="GQ1" s="197"/>
      <c r="GR1" s="197"/>
      <c r="GS1" s="197"/>
      <c r="GT1" s="197"/>
      <c r="GU1" s="197"/>
      <c r="GV1" s="197"/>
      <c r="GW1" s="196"/>
      <c r="GX1" s="196" t="s">
        <v>22</v>
      </c>
      <c r="GY1" s="196"/>
      <c r="GZ1" s="196"/>
      <c r="HA1" s="196"/>
      <c r="HB1" s="196"/>
      <c r="HC1" s="196"/>
      <c r="HD1" s="196"/>
      <c r="HE1" s="196"/>
      <c r="HF1" s="196"/>
      <c r="HG1" s="196"/>
      <c r="HH1" s="196"/>
      <c r="HI1" s="195"/>
      <c r="HJ1" s="195" t="s">
        <v>26</v>
      </c>
      <c r="HK1" s="195"/>
      <c r="HL1" s="195"/>
      <c r="HM1" s="195"/>
      <c r="HN1" s="195"/>
      <c r="HO1" s="195"/>
      <c r="HP1" s="195"/>
      <c r="HQ1" s="195"/>
      <c r="HR1" s="195"/>
      <c r="HS1" s="195"/>
      <c r="HT1" s="195"/>
      <c r="HU1" s="194"/>
      <c r="HV1" s="194" t="s">
        <v>28</v>
      </c>
      <c r="HW1" s="194"/>
      <c r="HX1" s="194"/>
      <c r="HY1" s="194"/>
      <c r="HZ1" s="194"/>
      <c r="IA1" s="194"/>
      <c r="IB1" s="194"/>
      <c r="IC1" s="194"/>
      <c r="ID1" s="194"/>
      <c r="IE1" s="194"/>
      <c r="IF1" s="194"/>
    </row>
    <row r="2" spans="1:243" x14ac:dyDescent="0.25">
      <c r="A2" s="89" t="s">
        <v>54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109" t="s">
        <v>54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86" t="s">
        <v>54</v>
      </c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107" t="s">
        <v>54</v>
      </c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84" t="s">
        <v>54</v>
      </c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105" t="s">
        <v>54</v>
      </c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104" t="s">
        <v>54</v>
      </c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103" t="s">
        <v>54</v>
      </c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80" t="s">
        <v>54</v>
      </c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101" t="s">
        <v>54</v>
      </c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100" t="s">
        <v>54</v>
      </c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77" t="s">
        <v>54</v>
      </c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76" t="s">
        <v>54</v>
      </c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97" t="s">
        <v>54</v>
      </c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74" t="s">
        <v>54</v>
      </c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73" t="s">
        <v>54</v>
      </c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94" t="s">
        <v>54</v>
      </c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71" t="s">
        <v>54</v>
      </c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70" t="s">
        <v>54</v>
      </c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69" t="s">
        <v>54</v>
      </c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</row>
    <row r="3" spans="1:243" x14ac:dyDescent="0.25">
      <c r="A3" s="67">
        <v>12</v>
      </c>
      <c r="B3" s="68" t="s">
        <v>39</v>
      </c>
      <c r="C3" s="187" t="str">
        <f ca="1">IFERROR(INDIRECT("fixtures!" &amp; [1]Dashboard!J1 &amp;3) - [1]Dashboard!K1/24,"TBC")</f>
        <v>TBC</v>
      </c>
      <c r="D3" s="66"/>
      <c r="E3" s="66" t="s">
        <v>33</v>
      </c>
      <c r="F3" s="66" t="s">
        <v>21</v>
      </c>
      <c r="G3" s="67">
        <f>IF(ISBLANK([1]fixtures!$K3),"",[1]fixtures!$K3)</f>
        <v>2</v>
      </c>
      <c r="H3" s="66" t="str">
        <f>IF(ISBLANK([1]fixtures!$L3),"",":")</f>
        <v>:</v>
      </c>
      <c r="I3" s="68">
        <f>IF(ISBLANK([1]fixtures!$L3),"",[1]fixtures!$L3)</f>
        <v>1</v>
      </c>
      <c r="J3" s="66" t="str">
        <f>IF(ISBLANK([1]fixtures!$L3),"",IF(G3&gt;I3,"W",IF(G3=I3,"D","L")))</f>
        <v>W</v>
      </c>
      <c r="K3" s="66"/>
      <c r="L3" s="66"/>
      <c r="M3" s="63">
        <v>12</v>
      </c>
      <c r="N3" s="64" t="s">
        <v>39</v>
      </c>
      <c r="O3" s="185" t="str">
        <f ca="1">IFERROR(INDIRECT("fixtures!" &amp; [1]Dashboard!J1 &amp;8) - [1]Dashboard!K1/24,"TBC")</f>
        <v>TBC</v>
      </c>
      <c r="P3" s="62"/>
      <c r="Q3" s="62" t="s">
        <v>35</v>
      </c>
      <c r="R3" s="62" t="s">
        <v>16</v>
      </c>
      <c r="S3" s="63">
        <f>IF(ISBLANK([1]fixtures!$L8),"",[1]fixtures!$L8)</f>
        <v>1</v>
      </c>
      <c r="T3" s="62" t="str">
        <f>IF(ISBLANK([1]fixtures!$L8),"",":")</f>
        <v>:</v>
      </c>
      <c r="U3" s="64">
        <f>IF(ISBLANK([1]fixtures!$K8),"",[1]fixtures!$K8)</f>
        <v>5</v>
      </c>
      <c r="V3" s="62" t="str">
        <f>IF(ISBLANK([1]fixtures!$L8),"",IF(S3&gt;U3,"W",IF(S3=U3,"D","L")))</f>
        <v>L</v>
      </c>
      <c r="W3" s="62"/>
      <c r="X3" s="62"/>
      <c r="Y3" s="60">
        <v>12</v>
      </c>
      <c r="Z3" s="61" t="s">
        <v>39</v>
      </c>
      <c r="AA3" s="183" t="str">
        <f ca="1">IFERROR(INDIRECT("fixtures!" &amp; [1]Dashboard!J1 &amp;4) - [1]Dashboard!K1/24,"TBC")</f>
        <v>TBC</v>
      </c>
      <c r="AB3" s="59"/>
      <c r="AC3" s="59" t="s">
        <v>26</v>
      </c>
      <c r="AD3" s="59" t="s">
        <v>21</v>
      </c>
      <c r="AE3" s="60">
        <f>IF(ISBLANK([1]fixtures!$K4),"",[1]fixtures!$K4)</f>
        <v>1</v>
      </c>
      <c r="AF3" s="59" t="str">
        <f>IF(ISBLANK([1]fixtures!$L4),"",":")</f>
        <v>:</v>
      </c>
      <c r="AG3" s="61">
        <f>IF(ISBLANK([1]fixtures!$L4),"",[1]fixtures!$L4)</f>
        <v>1</v>
      </c>
      <c r="AH3" s="59" t="str">
        <f>IF(ISBLANK([1]fixtures!$L4),"",IF(AE3&gt;AG3,"W",IF(AE3=AG3,"D","L")))</f>
        <v>D</v>
      </c>
      <c r="AI3" s="59"/>
      <c r="AJ3" s="59"/>
      <c r="AK3" s="57">
        <v>13</v>
      </c>
      <c r="AL3" s="58" t="s">
        <v>18</v>
      </c>
      <c r="AM3" s="181" t="str">
        <f ca="1">IFERROR(INDIRECT("fixtures!" &amp; [1]Dashboard!J1 &amp;9) - [1]Dashboard!K1/24,"TBC")</f>
        <v>TBC</v>
      </c>
      <c r="AN3" s="56"/>
      <c r="AO3" s="56" t="s">
        <v>22</v>
      </c>
      <c r="AP3" s="56" t="s">
        <v>21</v>
      </c>
      <c r="AQ3" s="57">
        <f>IF(ISBLANK([1]fixtures!$K9),"",[1]fixtures!$K9)</f>
        <v>2</v>
      </c>
      <c r="AR3" s="56" t="str">
        <f>IF(ISBLANK([1]fixtures!$L9),"",":")</f>
        <v>:</v>
      </c>
      <c r="AS3" s="58">
        <f>IF(ISBLANK([1]fixtures!$L9),"",[1]fixtures!$L9)</f>
        <v>2</v>
      </c>
      <c r="AT3" s="56" t="str">
        <f>IF(ISBLANK([1]fixtures!$L9),"",IF(AQ3&gt;AS3,"W",IF(AQ3=AS3,"D","L")))</f>
        <v>D</v>
      </c>
      <c r="AU3" s="56"/>
      <c r="AV3" s="56"/>
      <c r="AW3" s="54">
        <v>12</v>
      </c>
      <c r="AX3" s="55" t="s">
        <v>39</v>
      </c>
      <c r="AY3" s="179" t="str">
        <f ca="1">IFERROR(INDIRECT("fixtures!" &amp; [1]Dashboard!J1 &amp;5) - [1]Dashboard!K1/24,"TBC")</f>
        <v>TBC</v>
      </c>
      <c r="AZ3" s="53"/>
      <c r="BA3" s="53" t="s">
        <v>29</v>
      </c>
      <c r="BB3" s="53" t="s">
        <v>21</v>
      </c>
      <c r="BC3" s="54">
        <f>IF(ISBLANK([1]fixtures!$K5),"",[1]fixtures!$K5)</f>
        <v>4</v>
      </c>
      <c r="BD3" s="53" t="str">
        <f>IF(ISBLANK([1]fixtures!$L5),"",":")</f>
        <v>:</v>
      </c>
      <c r="BE3" s="55">
        <f>IF(ISBLANK([1]fixtures!$L5),"",[1]fixtures!$L5)</f>
        <v>1</v>
      </c>
      <c r="BF3" s="53" t="str">
        <f>IF(ISBLANK([1]fixtures!$L5),"",IF(BC3&gt;BE3,"W",IF(BC3=BE3,"D","L")))</f>
        <v>W</v>
      </c>
      <c r="BG3" s="53"/>
      <c r="BH3" s="53"/>
      <c r="BI3" s="51">
        <v>11</v>
      </c>
      <c r="BJ3" s="52" t="s">
        <v>43</v>
      </c>
      <c r="BK3" s="177" t="str">
        <f ca="1">IFERROR(INDIRECT("fixtures!" &amp; [1]Dashboard!J1 &amp;2) - [1]Dashboard!K1/24,"TBC")</f>
        <v>TBC</v>
      </c>
      <c r="BL3" s="50"/>
      <c r="BM3" s="50" t="s">
        <v>19</v>
      </c>
      <c r="BN3" s="50" t="s">
        <v>21</v>
      </c>
      <c r="BO3" s="51">
        <f>IF(ISBLANK([1]fixtures!$K2),"",[1]fixtures!$K2)</f>
        <v>0</v>
      </c>
      <c r="BP3" s="50" t="str">
        <f>IF(ISBLANK([1]fixtures!$L2),"",":")</f>
        <v>:</v>
      </c>
      <c r="BQ3" s="52">
        <f>IF(ISBLANK([1]fixtures!$L2),"",[1]fixtures!$L2)</f>
        <v>3</v>
      </c>
      <c r="BR3" s="50" t="str">
        <f>IF(ISBLANK([1]fixtures!$L2),"",IF(BO3&gt;BQ3,"W",IF(BO3=BQ3,"D","L")))</f>
        <v>L</v>
      </c>
      <c r="BS3" s="50"/>
      <c r="BT3" s="50"/>
      <c r="BU3" s="48">
        <v>13</v>
      </c>
      <c r="BV3" s="49" t="s">
        <v>18</v>
      </c>
      <c r="BW3" s="175" t="str">
        <f ca="1">IFERROR(INDIRECT("fixtures!" &amp; [1]Dashboard!J1 &amp;10) - [1]Dashboard!K1/24,"TBC")</f>
        <v>TBC</v>
      </c>
      <c r="BX3" s="47"/>
      <c r="BY3" s="47" t="s">
        <v>17</v>
      </c>
      <c r="BZ3" s="47" t="s">
        <v>21</v>
      </c>
      <c r="CA3" s="48">
        <f>IF(ISBLANK([1]fixtures!$K10),"",[1]fixtures!$K10)</f>
        <v>1</v>
      </c>
      <c r="CB3" s="47" t="str">
        <f>IF(ISBLANK([1]fixtures!$L10),"",":")</f>
        <v>:</v>
      </c>
      <c r="CC3" s="49">
        <f>IF(ISBLANK([1]fixtures!$L10),"",[1]fixtures!$L10)</f>
        <v>1</v>
      </c>
      <c r="CD3" s="47" t="str">
        <f>IF(ISBLANK([1]fixtures!$L10),"",IF(CA3&gt;CC3,"W",IF(CA3=CC3,"D","L")))</f>
        <v>D</v>
      </c>
      <c r="CE3" s="47"/>
      <c r="CF3" s="47"/>
      <c r="CG3" s="45">
        <v>12</v>
      </c>
      <c r="CH3" s="46" t="s">
        <v>39</v>
      </c>
      <c r="CI3" s="173" t="str">
        <f ca="1">IFERROR(INDIRECT("fixtures!" &amp; [1]Dashboard!J1 &amp;7) - [1]Dashboard!K1/24,"TBC")</f>
        <v>TBC</v>
      </c>
      <c r="CJ3" s="44"/>
      <c r="CK3" s="44" t="s">
        <v>20</v>
      </c>
      <c r="CL3" s="44" t="s">
        <v>16</v>
      </c>
      <c r="CM3" s="45">
        <f>IF(ISBLANK([1]fixtures!$L7),"",[1]fixtures!$L7)</f>
        <v>1</v>
      </c>
      <c r="CN3" s="44" t="str">
        <f>IF(ISBLANK([1]fixtures!$L7),"",":")</f>
        <v>:</v>
      </c>
      <c r="CO3" s="46">
        <f>IF(ISBLANK([1]fixtures!$K7),"",[1]fixtures!$K7)</f>
        <v>0</v>
      </c>
      <c r="CP3" s="44" t="str">
        <f>IF(ISBLANK([1]fixtures!$L7),"",IF(CM3&gt;CO3,"W",IF(CM3=CO3,"D","L")))</f>
        <v>W</v>
      </c>
      <c r="CQ3" s="44"/>
      <c r="CR3" s="44"/>
      <c r="CS3" s="42">
        <v>12</v>
      </c>
      <c r="CT3" s="43" t="s">
        <v>39</v>
      </c>
      <c r="CU3" s="171" t="str">
        <f ca="1">IFERROR(INDIRECT("fixtures!" &amp; [1]Dashboard!J1 &amp;6) - [1]Dashboard!K1/24,"TBC")</f>
        <v>TBC</v>
      </c>
      <c r="CV3" s="41"/>
      <c r="CW3" s="41" t="s">
        <v>27</v>
      </c>
      <c r="CX3" s="41" t="s">
        <v>21</v>
      </c>
      <c r="CY3" s="42">
        <f>IF(ISBLANK([1]fixtures!$K6),"",[1]fixtures!$K6)</f>
        <v>0</v>
      </c>
      <c r="CZ3" s="41" t="str">
        <f>IF(ISBLANK([1]fixtures!$L6),"",":")</f>
        <v>:</v>
      </c>
      <c r="DA3" s="43">
        <f>IF(ISBLANK([1]fixtures!$L6),"",[1]fixtures!$L6)</f>
        <v>1</v>
      </c>
      <c r="DB3" s="41" t="str">
        <f>IF(ISBLANK([1]fixtures!$L6),"",IF(CY3&gt;DA3,"W",IF(CY3=DA3,"D","L")))</f>
        <v>L</v>
      </c>
      <c r="DC3" s="41"/>
      <c r="DD3" s="41"/>
      <c r="DE3" s="39">
        <v>12</v>
      </c>
      <c r="DF3" s="40" t="s">
        <v>39</v>
      </c>
      <c r="DG3" s="169" t="str">
        <f ca="1">IFERROR(INDIRECT("fixtures!" &amp; [1]Dashboard!J1 &amp;6) - [1]Dashboard!K1/24,"TBC")</f>
        <v>TBC</v>
      </c>
      <c r="DH3" s="38"/>
      <c r="DI3" s="38" t="s">
        <v>38</v>
      </c>
      <c r="DJ3" s="38" t="s">
        <v>16</v>
      </c>
      <c r="DK3" s="39">
        <f>IF(ISBLANK([1]fixtures!$L6),"",[1]fixtures!$L6)</f>
        <v>1</v>
      </c>
      <c r="DL3" s="38" t="str">
        <f>IF(ISBLANK([1]fixtures!$L6),"",":")</f>
        <v>:</v>
      </c>
      <c r="DM3" s="40">
        <f>IF(ISBLANK([1]fixtures!$K6),"",[1]fixtures!$K6)</f>
        <v>0</v>
      </c>
      <c r="DN3" s="38" t="str">
        <f>IF(ISBLANK([1]fixtures!$L6),"",IF(DK3&gt;DM3,"W",IF(DK3=DM3,"D","L")))</f>
        <v>W</v>
      </c>
      <c r="DO3" s="38"/>
      <c r="DP3" s="38"/>
      <c r="DQ3" s="36">
        <v>13</v>
      </c>
      <c r="DR3" s="37" t="s">
        <v>18</v>
      </c>
      <c r="DS3" s="167" t="str">
        <f ca="1">IFERROR(INDIRECT("fixtures!" &amp; [1]Dashboard!J1 &amp;10) - [1]Dashboard!K1/24,"TBC")</f>
        <v>TBC</v>
      </c>
      <c r="DT3" s="35"/>
      <c r="DU3" s="35" t="s">
        <v>36</v>
      </c>
      <c r="DV3" s="35" t="s">
        <v>16</v>
      </c>
      <c r="DW3" s="36">
        <f>IF(ISBLANK([1]fixtures!$L10),"",[1]fixtures!$L10)</f>
        <v>1</v>
      </c>
      <c r="DX3" s="35" t="str">
        <f>IF(ISBLANK([1]fixtures!$L10),"",":")</f>
        <v>:</v>
      </c>
      <c r="DY3" s="37">
        <f>IF(ISBLANK([1]fixtures!$K10),"",[1]fixtures!$K10)</f>
        <v>1</v>
      </c>
      <c r="DZ3" s="35" t="str">
        <f>IF(ISBLANK([1]fixtures!$L10),"",IF(DW3&gt;DY3,"W",IF(DW3=DY3,"D","L")))</f>
        <v>D</v>
      </c>
      <c r="EA3" s="35"/>
      <c r="EB3" s="35"/>
      <c r="EC3" s="33">
        <v>12</v>
      </c>
      <c r="ED3" s="34" t="s">
        <v>39</v>
      </c>
      <c r="EE3" s="190" t="str">
        <f ca="1">IFERROR(INDIRECT("fixtures!" &amp; [1]Dashboard!J1 &amp;5) - [1]Dashboard!K1/24,"TBC")</f>
        <v>TBC</v>
      </c>
      <c r="EF3" s="32"/>
      <c r="EG3" s="32" t="s">
        <v>25</v>
      </c>
      <c r="EH3" s="32" t="s">
        <v>16</v>
      </c>
      <c r="EI3" s="33">
        <f>IF(ISBLANK([1]fixtures!$L5),"",[1]fixtures!$L5)</f>
        <v>1</v>
      </c>
      <c r="EJ3" s="32" t="str">
        <f>IF(ISBLANK([1]fixtures!$L5),"",":")</f>
        <v>:</v>
      </c>
      <c r="EK3" s="34">
        <f>IF(ISBLANK([1]fixtures!$K5),"",[1]fixtures!$K5)</f>
        <v>4</v>
      </c>
      <c r="EL3" s="32" t="str">
        <f>IF(ISBLANK([1]fixtures!$L5),"",IF(EI3&gt;EK3,"W",IF(EI3=EK3,"D","L")))</f>
        <v>L</v>
      </c>
      <c r="EM3" s="32"/>
      <c r="EN3" s="32"/>
      <c r="EO3" s="30">
        <v>11</v>
      </c>
      <c r="EP3" s="31" t="s">
        <v>43</v>
      </c>
      <c r="EQ3" s="164" t="str">
        <f ca="1">IFERROR(INDIRECT("fixtures!" &amp; [1]Dashboard!J1 &amp;2) - [1]Dashboard!K1/24,"TBC")</f>
        <v>TBC</v>
      </c>
      <c r="ER3" s="29"/>
      <c r="ES3" s="29" t="s">
        <v>23</v>
      </c>
      <c r="ET3" s="29" t="s">
        <v>16</v>
      </c>
      <c r="EU3" s="30">
        <f>IF(ISBLANK([1]fixtures!$L2),"",[1]fixtures!$L2)</f>
        <v>3</v>
      </c>
      <c r="EV3" s="29" t="str">
        <f>IF(ISBLANK([1]fixtures!$L2),"",":")</f>
        <v>:</v>
      </c>
      <c r="EW3" s="31">
        <f>IF(ISBLANK([1]fixtures!$K2),"",[1]fixtures!$K2)</f>
        <v>0</v>
      </c>
      <c r="EX3" s="29" t="str">
        <f>IF(ISBLANK([1]fixtures!$L2),"",IF(EU3&gt;EW3,"W",IF(EU3=EW3,"D","L")))</f>
        <v>W</v>
      </c>
      <c r="EY3" s="29"/>
      <c r="EZ3" s="29"/>
      <c r="FA3" s="27">
        <v>14</v>
      </c>
      <c r="FB3" s="28" t="s">
        <v>42</v>
      </c>
      <c r="FC3" s="189" t="str">
        <f ca="1">IFERROR(INDIRECT("fixtures!" &amp; [1]Dashboard!J1 &amp;11) - [1]Dashboard!K1/24,"TBC")</f>
        <v>TBC</v>
      </c>
      <c r="FD3" s="26"/>
      <c r="FE3" s="26" t="s">
        <v>28</v>
      </c>
      <c r="FF3" s="26" t="s">
        <v>21</v>
      </c>
      <c r="FG3" s="27">
        <f>IF(ISBLANK([1]fixtures!$K11),"",[1]fixtures!$K11)</f>
        <v>1</v>
      </c>
      <c r="FH3" s="26" t="str">
        <f>IF(ISBLANK([1]fixtures!$L11),"",":")</f>
        <v>:</v>
      </c>
      <c r="FI3" s="28">
        <f>IF(ISBLANK([1]fixtures!$L11),"",[1]fixtures!$L11)</f>
        <v>0</v>
      </c>
      <c r="FJ3" s="26" t="str">
        <f>IF(ISBLANK([1]fixtures!$L11),"",IF(FG3&gt;FI3,"W",IF(FG3=FI3,"D","L")))</f>
        <v>W</v>
      </c>
      <c r="FK3" s="26"/>
      <c r="FL3" s="26"/>
      <c r="FM3" s="24">
        <v>12</v>
      </c>
      <c r="FN3" s="25" t="s">
        <v>39</v>
      </c>
      <c r="FO3" s="161" t="str">
        <f ca="1">IFERROR(INDIRECT("fixtures!" &amp; [1]Dashboard!J1 &amp;8) - [1]Dashboard!K1/24,"TBC")</f>
        <v>TBC</v>
      </c>
      <c r="FP3" s="23"/>
      <c r="FQ3" s="23" t="s">
        <v>31</v>
      </c>
      <c r="FR3" s="23" t="s">
        <v>21</v>
      </c>
      <c r="FS3" s="24">
        <f>IF(ISBLANK([1]fixtures!$K8),"",[1]fixtures!$K8)</f>
        <v>5</v>
      </c>
      <c r="FT3" s="23" t="str">
        <f>IF(ISBLANK([1]fixtures!$L8),"",":")</f>
        <v>:</v>
      </c>
      <c r="FU3" s="25">
        <f>IF(ISBLANK([1]fixtures!$L8),"",[1]fixtures!$L8)</f>
        <v>1</v>
      </c>
      <c r="FV3" s="23" t="str">
        <f>IF(ISBLANK([1]fixtures!$L8),"",IF(FS3&gt;FU3,"W",IF(FS3=FU3,"D","L")))</f>
        <v>W</v>
      </c>
      <c r="FW3" s="23"/>
      <c r="FX3" s="23"/>
      <c r="FY3" s="21">
        <v>12</v>
      </c>
      <c r="FZ3" s="22" t="s">
        <v>39</v>
      </c>
      <c r="GA3" s="159" t="str">
        <f ca="1">IFERROR(INDIRECT("fixtures!" &amp; [1]Dashboard!J1 &amp;3) - [1]Dashboard!K1/24,"TBC")</f>
        <v>TBC</v>
      </c>
      <c r="GB3" s="20"/>
      <c r="GC3" s="20" t="s">
        <v>30</v>
      </c>
      <c r="GD3" s="20" t="s">
        <v>16</v>
      </c>
      <c r="GE3" s="21">
        <f>IF(ISBLANK([1]fixtures!$L3),"",[1]fixtures!$L3)</f>
        <v>1</v>
      </c>
      <c r="GF3" s="20" t="str">
        <f>IF(ISBLANK([1]fixtures!$L3),"",":")</f>
        <v>:</v>
      </c>
      <c r="GG3" s="22">
        <f>IF(ISBLANK([1]fixtures!$K3),"",[1]fixtures!$K3)</f>
        <v>2</v>
      </c>
      <c r="GH3" s="20" t="str">
        <f>IF(ISBLANK([1]fixtures!$L3),"",IF(GE3&gt;GG3,"W",IF(GE3=GG3,"D","L")))</f>
        <v>L</v>
      </c>
      <c r="GI3" s="20"/>
      <c r="GJ3" s="20"/>
      <c r="GK3" s="18">
        <v>12</v>
      </c>
      <c r="GL3" s="19" t="s">
        <v>39</v>
      </c>
      <c r="GM3" s="157" t="str">
        <f ca="1">IFERROR(INDIRECT("fixtures!" &amp; [1]Dashboard!J1 &amp;7) - [1]Dashboard!K1/24,"TBC")</f>
        <v>TBC</v>
      </c>
      <c r="GN3" s="17"/>
      <c r="GO3" s="17" t="s">
        <v>37</v>
      </c>
      <c r="GP3" s="17" t="s">
        <v>21</v>
      </c>
      <c r="GQ3" s="18">
        <f>IF(ISBLANK([1]fixtures!$K7),"",[1]fixtures!$K7)</f>
        <v>0</v>
      </c>
      <c r="GR3" s="17" t="str">
        <f>IF(ISBLANK([1]fixtures!$L7),"",":")</f>
        <v>:</v>
      </c>
      <c r="GS3" s="19">
        <f>IF(ISBLANK([1]fixtures!$L7),"",[1]fixtures!$L7)</f>
        <v>1</v>
      </c>
      <c r="GT3" s="17" t="str">
        <f>IF(ISBLANK([1]fixtures!$L7),"",IF(GQ3&gt;GS3,"W",IF(GQ3=GS3,"D","L")))</f>
        <v>L</v>
      </c>
      <c r="GU3" s="17"/>
      <c r="GV3" s="17"/>
      <c r="GW3" s="15">
        <v>13</v>
      </c>
      <c r="GX3" s="16" t="s">
        <v>18</v>
      </c>
      <c r="GY3" s="155" t="str">
        <f ca="1">IFERROR(INDIRECT("fixtures!" &amp; [1]Dashboard!J1 &amp;9) - [1]Dashboard!K1/24,"TBC")</f>
        <v>TBC</v>
      </c>
      <c r="GZ3" s="14"/>
      <c r="HA3" s="14" t="s">
        <v>24</v>
      </c>
      <c r="HB3" s="14" t="s">
        <v>16</v>
      </c>
      <c r="HC3" s="15">
        <f>IF(ISBLANK([1]fixtures!$L9),"",[1]fixtures!$L9)</f>
        <v>2</v>
      </c>
      <c r="HD3" s="14" t="str">
        <f>IF(ISBLANK([1]fixtures!$L9),"",":")</f>
        <v>:</v>
      </c>
      <c r="HE3" s="16">
        <f>IF(ISBLANK([1]fixtures!$K9),"",[1]fixtures!$K9)</f>
        <v>2</v>
      </c>
      <c r="HF3" s="14" t="str">
        <f>IF(ISBLANK([1]fixtures!$L9),"",IF(HC3&gt;HE3,"W",IF(HC3=HE3,"D","L")))</f>
        <v>D</v>
      </c>
      <c r="HG3" s="14"/>
      <c r="HH3" s="14"/>
      <c r="HI3" s="12">
        <v>12</v>
      </c>
      <c r="HJ3" s="13" t="s">
        <v>39</v>
      </c>
      <c r="HK3" s="153" t="str">
        <f ca="1">IFERROR(INDIRECT("fixtures!" &amp; [1]Dashboard!J1 &amp;4) - [1]Dashboard!K1/24,"TBC")</f>
        <v>TBC</v>
      </c>
      <c r="HL3" s="11"/>
      <c r="HM3" s="11" t="s">
        <v>32</v>
      </c>
      <c r="HN3" s="11" t="s">
        <v>16</v>
      </c>
      <c r="HO3" s="12">
        <f>IF(ISBLANK([1]fixtures!$L4),"",[1]fixtures!$L4)</f>
        <v>1</v>
      </c>
      <c r="HP3" s="11" t="str">
        <f>IF(ISBLANK([1]fixtures!$L4),"",":")</f>
        <v>:</v>
      </c>
      <c r="HQ3" s="13">
        <f>IF(ISBLANK([1]fixtures!$K4),"",[1]fixtures!$K4)</f>
        <v>1</v>
      </c>
      <c r="HR3" s="11" t="str">
        <f>IF(ISBLANK([1]fixtures!$L4),"",IF(HO3&gt;HQ3,"W",IF(HO3=HQ3,"D","L")))</f>
        <v>D</v>
      </c>
      <c r="HS3" s="11"/>
      <c r="HT3" s="11"/>
      <c r="HU3" s="9">
        <v>14</v>
      </c>
      <c r="HV3" s="10" t="s">
        <v>42</v>
      </c>
      <c r="HW3" s="151" t="str">
        <f ca="1">IFERROR(INDIRECT("fixtures!" &amp; [1]Dashboard!J1 &amp;11) - [1]Dashboard!K1/24,"TBC")</f>
        <v>TBC</v>
      </c>
      <c r="HX3" s="8"/>
      <c r="HY3" s="8" t="s">
        <v>34</v>
      </c>
      <c r="HZ3" s="8" t="s">
        <v>16</v>
      </c>
      <c r="IA3" s="9">
        <f>IF(ISBLANK([1]fixtures!$L11),"",[1]fixtures!$L11)</f>
        <v>0</v>
      </c>
      <c r="IB3" s="8" t="str">
        <f>IF(ISBLANK([1]fixtures!$L11),"",":")</f>
        <v>:</v>
      </c>
      <c r="IC3" s="10">
        <f>IF(ISBLANK([1]fixtures!$K11),"",[1]fixtures!$K11)</f>
        <v>1</v>
      </c>
      <c r="ID3" s="8" t="str">
        <f>IF(ISBLANK([1]fixtures!$L11),"",IF(IA3&gt;IC3,"W",IF(IA3=IC3,"D","L")))</f>
        <v>L</v>
      </c>
      <c r="IE3" s="8"/>
      <c r="IF3" s="8"/>
    </row>
    <row r="4" spans="1:243" x14ac:dyDescent="0.25">
      <c r="A4" s="67">
        <v>21</v>
      </c>
      <c r="B4" s="68" t="s">
        <v>42</v>
      </c>
      <c r="C4" s="187" t="str">
        <f ca="1">IFERROR(INDIRECT("fixtures!" &amp; [1]Dashboard!J1 &amp;20) - [1]Dashboard!K1/24,"TBC")</f>
        <v>TBC</v>
      </c>
      <c r="D4" s="66"/>
      <c r="E4" s="193" t="s">
        <v>37</v>
      </c>
      <c r="F4" s="66" t="s">
        <v>16</v>
      </c>
      <c r="G4" s="67">
        <f>IF(ISBLANK([1]fixtures!$L20),"",[1]fixtures!$L20)</f>
        <v>1</v>
      </c>
      <c r="H4" s="66" t="str">
        <f>IF(ISBLANK([1]fixtures!$L20),"",":")</f>
        <v>:</v>
      </c>
      <c r="I4" s="68">
        <f>IF(ISBLANK([1]fixtures!$K20),"",[1]fixtures!$K20)</f>
        <v>0</v>
      </c>
      <c r="J4" s="66" t="str">
        <f>IF(ISBLANK([1]fixtures!$L20),"",IF(G4&gt;I4,"W",IF(G4=I4,"D","L")))</f>
        <v>W</v>
      </c>
      <c r="K4" s="66"/>
      <c r="L4" s="66"/>
      <c r="M4" s="63">
        <v>20</v>
      </c>
      <c r="N4" s="64" t="s">
        <v>18</v>
      </c>
      <c r="O4" s="185" t="str">
        <f ca="1">IFERROR(INDIRECT("fixtures!" &amp; [1]Dashboard!J1 &amp;18) - [1]Dashboard!K1/24,"TBC")</f>
        <v>TBC</v>
      </c>
      <c r="P4" s="62"/>
      <c r="Q4" s="62" t="s">
        <v>38</v>
      </c>
      <c r="R4" s="62" t="s">
        <v>21</v>
      </c>
      <c r="S4" s="63">
        <f>IF(ISBLANK([1]fixtures!$K18),"",[1]fixtures!$K18)</f>
        <v>4</v>
      </c>
      <c r="T4" s="62" t="str">
        <f>IF(ISBLANK([1]fixtures!$L18),"",":")</f>
        <v>:</v>
      </c>
      <c r="U4" s="64">
        <f>IF(ISBLANK([1]fixtures!$L18),"",[1]fixtures!$L18)</f>
        <v>0</v>
      </c>
      <c r="V4" s="62" t="str">
        <f>IF(ISBLANK([1]fixtures!$L18),"",IF(S4&gt;U4,"W",IF(S4=U4,"D","L")))</f>
        <v>W</v>
      </c>
      <c r="W4" s="62"/>
      <c r="X4" s="62"/>
      <c r="Y4" s="60">
        <v>19</v>
      </c>
      <c r="Z4" s="59" t="s">
        <v>39</v>
      </c>
      <c r="AA4" s="183" t="str">
        <f ca="1">IFERROR(INDIRECT("fixtures!" &amp; [1]Dashboard!J1 &amp;14) - [1]Dashboard!K1/24,"TBC")</f>
        <v>TBC</v>
      </c>
      <c r="AB4" s="59"/>
      <c r="AC4" s="59" t="s">
        <v>17</v>
      </c>
      <c r="AD4" s="59" t="s">
        <v>16</v>
      </c>
      <c r="AE4" s="60">
        <f>IF(ISBLANK([1]fixtures!$L14),"",[1]fixtures!$L14)</f>
        <v>1</v>
      </c>
      <c r="AF4" s="59" t="str">
        <f>IF(ISBLANK([1]fixtures!$L14),"",":")</f>
        <v>:</v>
      </c>
      <c r="AG4" s="61">
        <f>IF(ISBLANK([1]fixtures!$K14),"",[1]fixtures!$K14)</f>
        <v>3</v>
      </c>
      <c r="AH4" s="59" t="str">
        <f>IF(ISBLANK([1]fixtures!$L14),"",IF(AE4&gt;AG4,"W",IF(AE4=AG4,"D","L")))</f>
        <v>L</v>
      </c>
      <c r="AI4" s="59"/>
      <c r="AJ4" s="59"/>
      <c r="AK4" s="57">
        <v>19</v>
      </c>
      <c r="AL4" s="58" t="s">
        <v>39</v>
      </c>
      <c r="AM4" s="181" t="str">
        <f ca="1">IFERROR(INDIRECT("fixtures!" &amp; [1]Dashboard!J1 &amp;13) - [1]Dashboard!K1/24,"TBC")</f>
        <v>TBC</v>
      </c>
      <c r="AN4" s="56"/>
      <c r="AO4" s="56" t="s">
        <v>27</v>
      </c>
      <c r="AP4" s="56" t="s">
        <v>16</v>
      </c>
      <c r="AQ4" s="57">
        <f>IF(ISBLANK([1]fixtures!$L13),"",[1]fixtures!$L13)</f>
        <v>3</v>
      </c>
      <c r="AR4" s="56" t="str">
        <f>IF(ISBLANK([1]fixtures!$L13),"",":")</f>
        <v>:</v>
      </c>
      <c r="AS4" s="58">
        <f>IF(ISBLANK([1]fixtures!$K13),"",[1]fixtures!$K13)</f>
        <v>0</v>
      </c>
      <c r="AT4" s="56" t="str">
        <f>IF(ISBLANK([1]fixtures!$L13),"",IF(AQ4&gt;AS4,"W",IF(AQ4=AS4,"D","L")))</f>
        <v>W</v>
      </c>
      <c r="AU4" s="56"/>
      <c r="AV4" s="56"/>
      <c r="AW4" s="54">
        <v>19</v>
      </c>
      <c r="AX4" s="55" t="s">
        <v>39</v>
      </c>
      <c r="AY4" s="179" t="str">
        <f ca="1">IFERROR(INDIRECT("fixtures!" &amp; [1]Dashboard!J1 &amp;15) - [1]Dashboard!K1/24,"TBC")</f>
        <v>TBC</v>
      </c>
      <c r="AZ4" s="53"/>
      <c r="BA4" s="53" t="s">
        <v>28</v>
      </c>
      <c r="BB4" s="53" t="s">
        <v>16</v>
      </c>
      <c r="BC4" s="54">
        <f>IF(ISBLANK([1]fixtures!$L15),"",[1]fixtures!$L15)</f>
        <v>4</v>
      </c>
      <c r="BD4" s="53" t="str">
        <f>IF(ISBLANK([1]fixtures!$L15),"",":")</f>
        <v>:</v>
      </c>
      <c r="BE4" s="55">
        <f>IF(ISBLANK([1]fixtures!$K15),"",[1]fixtures!$K15)</f>
        <v>1</v>
      </c>
      <c r="BF4" s="53" t="str">
        <f>IF(ISBLANK([1]fixtures!$L15),"",IF(BC4&gt;BE4,"W",IF(BC4=BE4,"D","L")))</f>
        <v>W</v>
      </c>
      <c r="BG4" s="53"/>
      <c r="BH4" s="53"/>
      <c r="BI4" s="51">
        <v>27</v>
      </c>
      <c r="BJ4" s="52" t="s">
        <v>18</v>
      </c>
      <c r="BK4" s="177" t="str">
        <f ca="1">IFERROR(INDIRECT("fixtures!" &amp; [1]Dashboard!J1 &amp;28) - [1]Dashboard!K1/24,"TBC")</f>
        <v>TBC</v>
      </c>
      <c r="BL4" s="50"/>
      <c r="BM4" s="50" t="s">
        <v>31</v>
      </c>
      <c r="BN4" s="50" t="s">
        <v>21</v>
      </c>
      <c r="BO4" s="51">
        <f>IF(ISBLANK([1]fixtures!$K28),"",[1]fixtures!$K28)</f>
        <v>1</v>
      </c>
      <c r="BP4" s="50" t="str">
        <f>IF(ISBLANK([1]fixtures!$L28),"",":")</f>
        <v>:</v>
      </c>
      <c r="BQ4" s="52">
        <f>IF(ISBLANK([1]fixtures!$L28),"",[1]fixtures!$L28)</f>
        <v>3</v>
      </c>
      <c r="BR4" s="50" t="str">
        <f>IF(ISBLANK([1]fixtures!$L28),"",IF(BO4&gt;BQ4,"W",IF(BO4=BQ4,"D","L")))</f>
        <v>L</v>
      </c>
      <c r="BS4" s="50"/>
      <c r="BT4" s="50"/>
      <c r="BU4" s="48">
        <v>20</v>
      </c>
      <c r="BV4" s="49" t="s">
        <v>18</v>
      </c>
      <c r="BW4" s="175" t="str">
        <f ca="1">IFERROR(INDIRECT("fixtures!" &amp; [1]Dashboard!J1 &amp;19) - [1]Dashboard!K1/24,"TBC")</f>
        <v>TBC</v>
      </c>
      <c r="BX4" s="47"/>
      <c r="BY4" s="47" t="s">
        <v>26</v>
      </c>
      <c r="BZ4" s="47" t="s">
        <v>16</v>
      </c>
      <c r="CA4" s="48">
        <f>IF(ISBLANK([1]fixtures!$L19),"",[1]fixtures!$L19)</f>
        <v>1</v>
      </c>
      <c r="CB4" s="47" t="str">
        <f>IF(ISBLANK([1]fixtures!$L19),"",":")</f>
        <v>:</v>
      </c>
      <c r="CC4" s="49">
        <f>IF(ISBLANK([1]fixtures!$K19),"",[1]fixtures!$K19)</f>
        <v>3</v>
      </c>
      <c r="CD4" s="47" t="str">
        <f>IF(ISBLANK([1]fixtures!$L19),"",IF(CA4&gt;CC4,"W",IF(CA4=CC4,"D","L")))</f>
        <v>L</v>
      </c>
      <c r="CE4" s="47"/>
      <c r="CF4" s="47"/>
      <c r="CG4" s="45">
        <v>21</v>
      </c>
      <c r="CH4" s="46" t="s">
        <v>42</v>
      </c>
      <c r="CI4" s="173" t="str">
        <f ca="1">IFERROR(INDIRECT("fixtures!" &amp; [1]Dashboard!J1 &amp;20) - [1]Dashboard!K1/24,"TBC")</f>
        <v>TBC</v>
      </c>
      <c r="CJ4" s="44"/>
      <c r="CK4" s="44" t="s">
        <v>30</v>
      </c>
      <c r="CL4" s="44" t="s">
        <v>21</v>
      </c>
      <c r="CM4" s="45">
        <f>IF(ISBLANK([1]fixtures!$K20),"",[1]fixtures!$K20)</f>
        <v>0</v>
      </c>
      <c r="CN4" s="44" t="str">
        <f>IF(ISBLANK([1]fixtures!$L20),"",":")</f>
        <v>:</v>
      </c>
      <c r="CO4" s="46">
        <f>IF(ISBLANK([1]fixtures!$L20),"",[1]fixtures!$L20)</f>
        <v>1</v>
      </c>
      <c r="CP4" s="44" t="str">
        <f>IF(ISBLANK([1]fixtures!$L20),"",IF(CM4&gt;CO4,"W",IF(CM4=CO4,"D","L")))</f>
        <v>L</v>
      </c>
      <c r="CQ4" s="44"/>
      <c r="CR4" s="44"/>
      <c r="CS4" s="42">
        <v>20</v>
      </c>
      <c r="CT4" s="43" t="s">
        <v>18</v>
      </c>
      <c r="CU4" s="171" t="str">
        <f ca="1">IFERROR(INDIRECT("fixtures!" &amp; [1]Dashboard!J1 &amp;18) - [1]Dashboard!K1/24,"TBC")</f>
        <v>TBC</v>
      </c>
      <c r="CV4" s="41"/>
      <c r="CW4" s="41" t="s">
        <v>31</v>
      </c>
      <c r="CX4" s="41" t="s">
        <v>16</v>
      </c>
      <c r="CY4" s="42">
        <f>IF(ISBLANK([1]fixtures!$L18),"",[1]fixtures!$L18)</f>
        <v>0</v>
      </c>
      <c r="CZ4" s="41" t="str">
        <f>IF(ISBLANK([1]fixtures!$L18),"",":")</f>
        <v>:</v>
      </c>
      <c r="DA4" s="43">
        <f>IF(ISBLANK([1]fixtures!$K18),"",[1]fixtures!$K18)</f>
        <v>4</v>
      </c>
      <c r="DB4" s="41" t="str">
        <f>IF(ISBLANK([1]fixtures!$L18),"",IF(CY4&gt;DA4,"W",IF(CY4=DA4,"D","L")))</f>
        <v>L</v>
      </c>
      <c r="DC4" s="41"/>
      <c r="DD4" s="41"/>
      <c r="DE4" s="39">
        <v>19</v>
      </c>
      <c r="DF4" s="40" t="s">
        <v>39</v>
      </c>
      <c r="DG4" s="169" t="str">
        <f ca="1">IFERROR(INDIRECT("fixtures!" &amp; [1]Dashboard!J1 &amp;13) - [1]Dashboard!K1/24,"TBC")</f>
        <v>TBC</v>
      </c>
      <c r="DH4" s="38"/>
      <c r="DI4" s="38" t="s">
        <v>24</v>
      </c>
      <c r="DJ4" s="38" t="s">
        <v>21</v>
      </c>
      <c r="DK4" s="39">
        <f>IF(ISBLANK([1]fixtures!$K13),"",[1]fixtures!$K13)</f>
        <v>0</v>
      </c>
      <c r="DL4" s="38" t="str">
        <f>IF(ISBLANK([1]fixtures!$L13),"",":")</f>
        <v>:</v>
      </c>
      <c r="DM4" s="40">
        <f>IF(ISBLANK([1]fixtures!$L13),"",[1]fixtures!$L13)</f>
        <v>3</v>
      </c>
      <c r="DN4" s="38" t="str">
        <f>IF(ISBLANK([1]fixtures!$L13),"",IF(DK4&gt;DM4,"W",IF(DK4=DM4,"D","L")))</f>
        <v>L</v>
      </c>
      <c r="DO4" s="38"/>
      <c r="DP4" s="38"/>
      <c r="DQ4" s="36">
        <v>19</v>
      </c>
      <c r="DR4" s="37" t="s">
        <v>39</v>
      </c>
      <c r="DS4" s="167" t="str">
        <f ca="1">IFERROR(INDIRECT("fixtures!" &amp; [1]Dashboard!J1 &amp;14) - [1]Dashboard!K1/24,"TBC")</f>
        <v>TBC</v>
      </c>
      <c r="DT4" s="35"/>
      <c r="DU4" s="35" t="s">
        <v>32</v>
      </c>
      <c r="DV4" s="35" t="s">
        <v>21</v>
      </c>
      <c r="DW4" s="36">
        <f>IF(ISBLANK([1]fixtures!$K14),"",[1]fixtures!$K14)</f>
        <v>3</v>
      </c>
      <c r="DX4" s="35" t="str">
        <f>IF(ISBLANK([1]fixtures!$L14),"",":")</f>
        <v>:</v>
      </c>
      <c r="DY4" s="37">
        <f>IF(ISBLANK([1]fixtures!$L14),"",[1]fixtures!$L14)</f>
        <v>1</v>
      </c>
      <c r="DZ4" s="35" t="str">
        <f>IF(ISBLANK([1]fixtures!$L14),"",IF(DW4&gt;DY4,"W",IF(DW4=DY4,"D","L")))</f>
        <v>W</v>
      </c>
      <c r="EA4" s="35"/>
      <c r="EB4" s="35"/>
      <c r="EC4" s="33">
        <v>25</v>
      </c>
      <c r="ED4" s="34" t="s">
        <v>43</v>
      </c>
      <c r="EE4" s="190" t="str">
        <f ca="1">IFERROR(INDIRECT("fixtures!" &amp; [1]Dashboard!J1 &amp;21) - [1]Dashboard!K1/24,"TBC")</f>
        <v>TBC</v>
      </c>
      <c r="EF4" s="32"/>
      <c r="EG4" s="32" t="s">
        <v>36</v>
      </c>
      <c r="EH4" s="32" t="s">
        <v>16</v>
      </c>
      <c r="EI4" s="33">
        <f>IF(ISBLANK([1]fixtures!$L21),"",[1]fixtures!$L21)</f>
        <v>0</v>
      </c>
      <c r="EJ4" s="32" t="str">
        <f>IF(ISBLANK([1]fixtures!$L21),"",":")</f>
        <v>:</v>
      </c>
      <c r="EK4" s="34">
        <f>IF(ISBLANK([1]fixtures!$K21),"",[1]fixtures!$K21)</f>
        <v>3</v>
      </c>
      <c r="EL4" s="32" t="str">
        <f>IF(ISBLANK([1]fixtures!$L21),"",IF(EI4&gt;EK4,"W",IF(EI4=EK4,"D","L")))</f>
        <v>L</v>
      </c>
      <c r="EM4" s="32"/>
      <c r="EN4" s="32"/>
      <c r="EO4" s="30">
        <v>19</v>
      </c>
      <c r="EP4" s="31" t="s">
        <v>39</v>
      </c>
      <c r="EQ4" s="164" t="str">
        <f ca="1">IFERROR(INDIRECT("fixtures!" &amp; [1]Dashboard!J1 &amp;17) - [1]Dashboard!K1/24,"TBC")</f>
        <v>TBC</v>
      </c>
      <c r="ER4" s="29"/>
      <c r="ES4" s="29" t="s">
        <v>35</v>
      </c>
      <c r="ET4" s="29" t="s">
        <v>21</v>
      </c>
      <c r="EU4" s="30">
        <f>IF(ISBLANK([1]fixtures!$K17),"",[1]fixtures!$K17)</f>
        <v>1</v>
      </c>
      <c r="EV4" s="29" t="str">
        <f>IF(ISBLANK([1]fixtures!$L17),"",":")</f>
        <v>:</v>
      </c>
      <c r="EW4" s="31">
        <f>IF(ISBLANK([1]fixtures!$L17),"",[1]fixtures!$L17)</f>
        <v>0</v>
      </c>
      <c r="EX4" s="29" t="str">
        <f>IF(ISBLANK([1]fixtures!$L17),"",IF(EU4&gt;EW4,"W",IF(EU4=EW4,"D","L")))</f>
        <v>W</v>
      </c>
      <c r="EY4" s="29"/>
      <c r="EZ4" s="29"/>
      <c r="FA4" s="27">
        <v>19</v>
      </c>
      <c r="FB4" s="28" t="s">
        <v>39</v>
      </c>
      <c r="FC4" s="189" t="str">
        <f ca="1">IFERROR(INDIRECT("fixtures!" &amp; [1]Dashboard!J1 &amp;16) - [1]Dashboard!K1/24,"TBC")</f>
        <v>TBC</v>
      </c>
      <c r="FD4" s="26"/>
      <c r="FE4" s="26" t="s">
        <v>22</v>
      </c>
      <c r="FF4" s="26" t="s">
        <v>16</v>
      </c>
      <c r="FG4" s="27">
        <f>IF(ISBLANK([1]fixtures!$L16),"",[1]fixtures!$L16)</f>
        <v>0</v>
      </c>
      <c r="FH4" s="26" t="str">
        <f>IF(ISBLANK([1]fixtures!$L16),"",":")</f>
        <v>:</v>
      </c>
      <c r="FI4" s="28">
        <f>IF(ISBLANK([1]fixtures!$K16),"",[1]fixtures!$K16)</f>
        <v>2</v>
      </c>
      <c r="FJ4" s="26" t="str">
        <f>IF(ISBLANK([1]fixtures!$L16),"",IF(FG4&gt;FI4,"W",IF(FG4=FI4,"D","L")))</f>
        <v>L</v>
      </c>
      <c r="FK4" s="26"/>
      <c r="FL4" s="26"/>
      <c r="FM4" s="24">
        <v>19</v>
      </c>
      <c r="FN4" s="25" t="s">
        <v>39</v>
      </c>
      <c r="FO4" s="161" t="str">
        <f ca="1">IFERROR(INDIRECT("fixtures!" &amp; [1]Dashboard!J1 &amp;17) - [1]Dashboard!K1/24,"TBC")</f>
        <v>TBC</v>
      </c>
      <c r="FP4" s="23"/>
      <c r="FQ4" s="23" t="s">
        <v>19</v>
      </c>
      <c r="FR4" s="23" t="s">
        <v>16</v>
      </c>
      <c r="FS4" s="24">
        <f>IF(ISBLANK([1]fixtures!$L17),"",[1]fixtures!$L17)</f>
        <v>0</v>
      </c>
      <c r="FT4" s="23" t="str">
        <f>IF(ISBLANK([1]fixtures!$L17),"",":")</f>
        <v>:</v>
      </c>
      <c r="FU4" s="25">
        <f>IF(ISBLANK([1]fixtures!$K17),"",[1]fixtures!$K17)</f>
        <v>1</v>
      </c>
      <c r="FV4" s="23" t="str">
        <f>IF(ISBLANK([1]fixtures!$L17),"",IF(FS4&gt;FU4,"W",IF(FS4=FU4,"D","L")))</f>
        <v>L</v>
      </c>
      <c r="FW4" s="23"/>
      <c r="FX4" s="23"/>
      <c r="FY4" s="21">
        <v>18</v>
      </c>
      <c r="FZ4" s="20" t="s">
        <v>43</v>
      </c>
      <c r="GA4" s="159" t="str">
        <f ca="1">IFERROR(INDIRECT("fixtures!" &amp; [1]Dashboard!J1 &amp;12) - [1]Dashboard!K1/24,"TBC")</f>
        <v>TBC</v>
      </c>
      <c r="GB4" s="20"/>
      <c r="GC4" s="20" t="s">
        <v>20</v>
      </c>
      <c r="GD4" s="20" t="s">
        <v>21</v>
      </c>
      <c r="GE4" s="21">
        <f>IF(ISBLANK([1]fixtures!$K12),"",[1]fixtures!$K12)</f>
        <v>2</v>
      </c>
      <c r="GF4" s="20" t="str">
        <f>IF(ISBLANK([1]fixtures!$L12),"",":")</f>
        <v>:</v>
      </c>
      <c r="GG4" s="22">
        <f>IF(ISBLANK([1]fixtures!$L12),"",[1]fixtures!$L12)</f>
        <v>1</v>
      </c>
      <c r="GH4" s="20" t="str">
        <f>IF(ISBLANK([1]fixtures!$L12),"",IF(GE4&gt;GG4,"W",IF(GE4=GG4,"D","L")))</f>
        <v>W</v>
      </c>
      <c r="GI4" s="20"/>
      <c r="GJ4" s="20"/>
      <c r="GK4" s="18">
        <v>18</v>
      </c>
      <c r="GL4" s="19" t="s">
        <v>43</v>
      </c>
      <c r="GM4" s="157" t="str">
        <f ca="1">IFERROR(INDIRECT("fixtures!" &amp; [1]Dashboard!J1 &amp;12) - [1]Dashboard!K1/24,"TBC")</f>
        <v>TBC</v>
      </c>
      <c r="GN4" s="17"/>
      <c r="GO4" s="17" t="s">
        <v>33</v>
      </c>
      <c r="GP4" s="17" t="s">
        <v>16</v>
      </c>
      <c r="GQ4" s="18">
        <f>IF(ISBLANK([1]fixtures!$L12),"",[1]fixtures!$L12)</f>
        <v>1</v>
      </c>
      <c r="GR4" s="17" t="str">
        <f>IF(ISBLANK([1]fixtures!$L12),"",":")</f>
        <v>:</v>
      </c>
      <c r="GS4" s="19">
        <f>IF(ISBLANK([1]fixtures!$K12),"",[1]fixtures!$K12)</f>
        <v>2</v>
      </c>
      <c r="GT4" s="17" t="str">
        <f>IF(ISBLANK([1]fixtures!$L12),"",IF(GQ4&gt;GS4,"W",IF(GQ4=GS4,"D","L")))</f>
        <v>L</v>
      </c>
      <c r="GU4" s="17"/>
      <c r="GV4" s="17"/>
      <c r="GW4" s="15">
        <v>19</v>
      </c>
      <c r="GX4" s="16" t="s">
        <v>39</v>
      </c>
      <c r="GY4" s="155" t="str">
        <f ca="1">IFERROR(INDIRECT("fixtures!" &amp; [1]Dashboard!J1 &amp;16) - [1]Dashboard!K1/24,"TBC")</f>
        <v>TBC</v>
      </c>
      <c r="GZ4" s="14"/>
      <c r="HA4" s="14" t="s">
        <v>34</v>
      </c>
      <c r="HB4" s="14" t="s">
        <v>21</v>
      </c>
      <c r="HC4" s="15">
        <f>IF(ISBLANK([1]fixtures!$K16),"",[1]fixtures!$K16)</f>
        <v>2</v>
      </c>
      <c r="HD4" s="14" t="str">
        <f>IF(ISBLANK([1]fixtures!$L16),"",":")</f>
        <v>:</v>
      </c>
      <c r="HE4" s="16">
        <f>IF(ISBLANK([1]fixtures!$L16),"",[1]fixtures!$L16)</f>
        <v>0</v>
      </c>
      <c r="HF4" s="14" t="str">
        <f>IF(ISBLANK([1]fixtures!$L16),"",IF(HC4&gt;HE4,"W",IF(HC4=HE4,"D","L")))</f>
        <v>W</v>
      </c>
      <c r="HG4" s="14"/>
      <c r="HH4" s="14"/>
      <c r="HI4" s="12">
        <v>20</v>
      </c>
      <c r="HJ4" s="11" t="s">
        <v>18</v>
      </c>
      <c r="HK4" s="153" t="str">
        <f ca="1">IFERROR(INDIRECT("fixtures!" &amp; [1]Dashboard!J1 &amp;19) - [1]Dashboard!K1/24,"TBC")</f>
        <v>TBC</v>
      </c>
      <c r="HL4" s="11"/>
      <c r="HM4" s="11" t="s">
        <v>36</v>
      </c>
      <c r="HN4" s="11" t="s">
        <v>21</v>
      </c>
      <c r="HO4" s="12">
        <f>IF(ISBLANK([1]fixtures!$K19),"",[1]fixtures!$K19)</f>
        <v>3</v>
      </c>
      <c r="HP4" s="11" t="str">
        <f>IF(ISBLANK([1]fixtures!$L19),"",":")</f>
        <v>:</v>
      </c>
      <c r="HQ4" s="13">
        <f>IF(ISBLANK([1]fixtures!$L19),"",[1]fixtures!$L19)</f>
        <v>1</v>
      </c>
      <c r="HR4" s="11" t="str">
        <f>IF(ISBLANK([1]fixtures!$L19),"",IF(HO4&gt;HQ4,"W",IF(HO4=HQ4,"D","L")))</f>
        <v>W</v>
      </c>
      <c r="HS4" s="11"/>
      <c r="HT4" s="11"/>
      <c r="HU4" s="9">
        <v>19</v>
      </c>
      <c r="HV4" s="10" t="s">
        <v>39</v>
      </c>
      <c r="HW4" s="151" t="str">
        <f ca="1">IFERROR(INDIRECT("fixtures!" &amp; [1]Dashboard!J1 &amp;15) - [1]Dashboard!K1/24,"TBC")</f>
        <v>TBC</v>
      </c>
      <c r="HX4" s="8"/>
      <c r="HY4" s="8" t="s">
        <v>25</v>
      </c>
      <c r="HZ4" s="8" t="s">
        <v>21</v>
      </c>
      <c r="IA4" s="9">
        <f>IF(ISBLANK([1]fixtures!$K15),"",[1]fixtures!$K15)</f>
        <v>1</v>
      </c>
      <c r="IB4" s="8" t="str">
        <f>IF(ISBLANK([1]fixtures!$L15),"",":")</f>
        <v>:</v>
      </c>
      <c r="IC4" s="10">
        <f>IF(ISBLANK([1]fixtures!$L15),"",[1]fixtures!$L15)</f>
        <v>4</v>
      </c>
      <c r="ID4" s="8" t="str">
        <f>IF(ISBLANK([1]fixtures!$L15),"",IF(IA4&gt;IC4,"W",IF(IA4=IC4,"D","L")))</f>
        <v>L</v>
      </c>
      <c r="IE4" s="8"/>
      <c r="IF4" s="8"/>
    </row>
    <row r="5" spans="1:243" x14ac:dyDescent="0.25">
      <c r="A5" s="67">
        <v>26</v>
      </c>
      <c r="B5" s="68" t="s">
        <v>39</v>
      </c>
      <c r="C5" s="187" t="str">
        <f ca="1">IFERROR(INDIRECT("fixtures!" &amp; [1]Dashboard!J1 &amp;23) - [1]Dashboard!K1/24,"TBC")</f>
        <v>TBC</v>
      </c>
      <c r="D5" s="66"/>
      <c r="E5" s="66" t="s">
        <v>27</v>
      </c>
      <c r="F5" s="66" t="s">
        <v>21</v>
      </c>
      <c r="G5" s="67">
        <f>IF(ISBLANK([1]fixtures!$K23),"",[1]fixtures!$K23)</f>
        <v>2</v>
      </c>
      <c r="H5" s="66" t="str">
        <f>IF(ISBLANK([1]fixtures!$L23),"",":")</f>
        <v>:</v>
      </c>
      <c r="I5" s="68">
        <f>IF(ISBLANK([1]fixtures!$L23),"",[1]fixtures!$L23)</f>
        <v>2</v>
      </c>
      <c r="J5" s="66" t="str">
        <f>IF(ISBLANK([1]fixtures!$L23),"",IF(G5&gt;I5,"W",IF(G5=I5,"D","L")))</f>
        <v>D</v>
      </c>
      <c r="K5" s="66"/>
      <c r="L5" s="66"/>
      <c r="M5" s="63">
        <v>27</v>
      </c>
      <c r="N5" s="62" t="s">
        <v>18</v>
      </c>
      <c r="O5" s="185" t="str">
        <f ca="1">IFERROR(INDIRECT("fixtures!" &amp; [1]Dashboard!J1 &amp;28) - [1]Dashboard!K1/24,"TBC")</f>
        <v>TBC</v>
      </c>
      <c r="P5" s="62"/>
      <c r="Q5" s="62" t="s">
        <v>23</v>
      </c>
      <c r="R5" s="62" t="s">
        <v>16</v>
      </c>
      <c r="S5" s="63">
        <f>IF(ISBLANK([1]fixtures!$L28),"",[1]fixtures!$L28)</f>
        <v>3</v>
      </c>
      <c r="T5" s="62" t="str">
        <f>IF(ISBLANK([1]fixtures!$L28),"",":")</f>
        <v>:</v>
      </c>
      <c r="U5" s="64">
        <f>IF(ISBLANK([1]fixtures!$K28),"",[1]fixtures!$K28)</f>
        <v>1</v>
      </c>
      <c r="V5" s="62" t="str">
        <f>IF(ISBLANK([1]fixtures!$L28),"",IF(S5&gt;U5,"W",IF(S5=U5,"D","L")))</f>
        <v>W</v>
      </c>
      <c r="W5" s="62"/>
      <c r="X5" s="62"/>
      <c r="Y5" s="60">
        <v>26</v>
      </c>
      <c r="Z5" s="59" t="s">
        <v>39</v>
      </c>
      <c r="AA5" s="183" t="str">
        <f ca="1">IFERROR(INDIRECT("fixtures!" &amp; [1]Dashboard!J1 &amp;22) - [1]Dashboard!K1/24,"TBC")</f>
        <v>TBC</v>
      </c>
      <c r="AB5" s="59"/>
      <c r="AC5" s="59" t="s">
        <v>22</v>
      </c>
      <c r="AD5" s="59" t="s">
        <v>21</v>
      </c>
      <c r="AE5" s="60">
        <f>IF(ISBLANK([1]fixtures!$K22),"",[1]fixtures!$K22)</f>
        <v>0</v>
      </c>
      <c r="AF5" s="59" t="str">
        <f>IF(ISBLANK([1]fixtures!$L22),"",":")</f>
        <v>:</v>
      </c>
      <c r="AG5" s="61">
        <f>IF(ISBLANK([1]fixtures!$L22),"",[1]fixtures!$L22)</f>
        <v>2</v>
      </c>
      <c r="AH5" s="59" t="str">
        <f>IF(ISBLANK([1]fixtures!$L22),"",IF(AE5&gt;AG5,"W",IF(AE5=AG5,"D","L")))</f>
        <v>L</v>
      </c>
      <c r="AI5" s="59"/>
      <c r="AJ5" s="59"/>
      <c r="AK5" s="57">
        <v>26</v>
      </c>
      <c r="AL5" s="56" t="s">
        <v>39</v>
      </c>
      <c r="AM5" s="181" t="str">
        <f ca="1">IFERROR(INDIRECT("fixtures!" &amp; [1]Dashboard!J1 &amp;24) - [1]Dashboard!K1/24,"TBC")</f>
        <v>TBC</v>
      </c>
      <c r="AN5" s="56"/>
      <c r="AO5" s="56" t="s">
        <v>37</v>
      </c>
      <c r="AP5" s="56" t="s">
        <v>21</v>
      </c>
      <c r="AQ5" s="57">
        <f>IF(ISBLANK([1]fixtures!$K24),"",[1]fixtures!$K24)</f>
        <v>1</v>
      </c>
      <c r="AR5" s="56" t="str">
        <f>IF(ISBLANK([1]fixtures!$L24),"",":")</f>
        <v>:</v>
      </c>
      <c r="AS5" s="58">
        <f>IF(ISBLANK([1]fixtures!$L24),"",[1]fixtures!$L24)</f>
        <v>1</v>
      </c>
      <c r="AT5" s="56" t="str">
        <f>IF(ISBLANK([1]fixtures!$L24),"",IF(AQ5&gt;AS5,"W",IF(AQ5=AS5,"D","L")))</f>
        <v>D</v>
      </c>
      <c r="AU5" s="56"/>
      <c r="AV5" s="56"/>
      <c r="AW5" s="54">
        <v>26</v>
      </c>
      <c r="AX5" s="55" t="s">
        <v>39</v>
      </c>
      <c r="AY5" s="179" t="str">
        <f ca="1">IFERROR(INDIRECT("fixtures!" &amp; [1]Dashboard!J1 &amp;27) - [1]Dashboard!K1/24,"TBC")</f>
        <v>TBC</v>
      </c>
      <c r="AZ5" s="53"/>
      <c r="BA5" s="53" t="s">
        <v>26</v>
      </c>
      <c r="BB5" s="53" t="s">
        <v>21</v>
      </c>
      <c r="BC5" s="54">
        <f>IF(ISBLANK([1]fixtures!$K27),"",[1]fixtures!$K27)</f>
        <v>1</v>
      </c>
      <c r="BD5" s="53" t="str">
        <f>IF(ISBLANK([1]fixtures!$L27),"",":")</f>
        <v>:</v>
      </c>
      <c r="BE5" s="55">
        <f>IF(ISBLANK([1]fixtures!$L27),"",[1]fixtures!$L27)</f>
        <v>3</v>
      </c>
      <c r="BF5" s="53" t="str">
        <f>IF(ISBLANK([1]fixtures!$L27),"",IF(BC5&gt;BE5,"W",IF(BC5=BE5,"D","L")))</f>
        <v>L</v>
      </c>
      <c r="BG5" s="53"/>
      <c r="BH5" s="53"/>
      <c r="BI5" s="83" t="s">
        <v>53</v>
      </c>
      <c r="BJ5" s="50"/>
      <c r="BK5" s="177"/>
      <c r="BL5" s="50"/>
      <c r="BM5" s="50"/>
      <c r="BN5" s="50"/>
      <c r="BO5" s="51"/>
      <c r="BP5" s="50"/>
      <c r="BQ5" s="52"/>
      <c r="BR5" s="50"/>
      <c r="BS5" s="50"/>
      <c r="BT5" s="50"/>
      <c r="BU5" s="48">
        <v>25</v>
      </c>
      <c r="BV5" s="49" t="s">
        <v>43</v>
      </c>
      <c r="BW5" s="175" t="str">
        <f ca="1">IFERROR(INDIRECT("fixtures!" &amp; [1]Dashboard!J1 &amp;21) - [1]Dashboard!K1/24,"TBC")</f>
        <v>TBC</v>
      </c>
      <c r="BX5" s="47"/>
      <c r="BY5" s="47" t="s">
        <v>29</v>
      </c>
      <c r="BZ5" s="47" t="s">
        <v>21</v>
      </c>
      <c r="CA5" s="48">
        <f>IF(ISBLANK([1]fixtures!$K21),"",[1]fixtures!$K21)</f>
        <v>3</v>
      </c>
      <c r="CB5" s="47" t="str">
        <f>IF(ISBLANK([1]fixtures!$L21),"",":")</f>
        <v>:</v>
      </c>
      <c r="CC5" s="49">
        <f>IF(ISBLANK([1]fixtures!$L21),"",[1]fixtures!$L21)</f>
        <v>0</v>
      </c>
      <c r="CD5" s="47" t="str">
        <f>IF(ISBLANK([1]fixtures!$L21),"",IF(CA5&gt;CC5,"W",IF(CA5=CC5,"D","L")))</f>
        <v>W</v>
      </c>
      <c r="CE5" s="47"/>
      <c r="CF5" s="47"/>
      <c r="CG5" s="45">
        <v>26</v>
      </c>
      <c r="CH5" s="46" t="s">
        <v>39</v>
      </c>
      <c r="CI5" s="173" t="str">
        <f ca="1">IFERROR(INDIRECT("fixtures!" &amp; [1]Dashboard!J1 &amp;24) - [1]Dashboard!K1/24,"TBC")</f>
        <v>TBC</v>
      </c>
      <c r="CJ5" s="44"/>
      <c r="CK5" s="44" t="s">
        <v>24</v>
      </c>
      <c r="CL5" s="44" t="s">
        <v>16</v>
      </c>
      <c r="CM5" s="45">
        <f>IF(ISBLANK([1]fixtures!$L24),"",[1]fixtures!$L24)</f>
        <v>1</v>
      </c>
      <c r="CN5" s="44" t="str">
        <f>IF(ISBLANK([1]fixtures!$L24),"",":")</f>
        <v>:</v>
      </c>
      <c r="CO5" s="46">
        <f>IF(ISBLANK([1]fixtures!$K24),"",[1]fixtures!$K24)</f>
        <v>1</v>
      </c>
      <c r="CP5" s="44" t="str">
        <f>IF(ISBLANK([1]fixtures!$L24),"",IF(CM5&gt;CO5,"W",IF(CM5=CO5,"D","L")))</f>
        <v>D</v>
      </c>
      <c r="CQ5" s="44"/>
      <c r="CR5" s="44"/>
      <c r="CS5" s="42">
        <v>26</v>
      </c>
      <c r="CT5" s="41" t="s">
        <v>39</v>
      </c>
      <c r="CU5" s="171" t="str">
        <f ca="1">IFERROR(INDIRECT("fixtures!" &amp; [1]Dashboard!J1 &amp;25) - [1]Dashboard!K1/24,"TBC")</f>
        <v>TBC</v>
      </c>
      <c r="CV5" s="41"/>
      <c r="CW5" s="41" t="s">
        <v>28</v>
      </c>
      <c r="CX5" s="41" t="s">
        <v>21</v>
      </c>
      <c r="CY5" s="42">
        <f>IF(ISBLANK([1]fixtures!$K25),"",[1]fixtures!$K25)</f>
        <v>0</v>
      </c>
      <c r="CZ5" s="41" t="str">
        <f>IF(ISBLANK([1]fixtures!$L25),"",":")</f>
        <v>:</v>
      </c>
      <c r="DA5" s="43">
        <f>IF(ISBLANK([1]fixtures!$L25),"",[1]fixtures!$L25)</f>
        <v>1</v>
      </c>
      <c r="DB5" s="41" t="str">
        <f>IF(ISBLANK([1]fixtures!$L25),"",IF(CY5&gt;DA5,"W",IF(CY5=DA5,"D","L")))</f>
        <v>L</v>
      </c>
      <c r="DC5" s="41"/>
      <c r="DD5" s="41"/>
      <c r="DE5" s="39">
        <v>26</v>
      </c>
      <c r="DF5" s="40" t="s">
        <v>39</v>
      </c>
      <c r="DG5" s="169" t="str">
        <f ca="1">IFERROR(INDIRECT("fixtures!" &amp; [1]Dashboard!J1 &amp;23) - [1]Dashboard!K1/24,"TBC")</f>
        <v>TBC</v>
      </c>
      <c r="DH5" s="38"/>
      <c r="DI5" s="38" t="s">
        <v>30</v>
      </c>
      <c r="DJ5" s="38" t="s">
        <v>16</v>
      </c>
      <c r="DK5" s="39">
        <f>IF(ISBLANK([1]fixtures!$L23),"",[1]fixtures!$L23)</f>
        <v>2</v>
      </c>
      <c r="DL5" s="38" t="str">
        <f>IF(ISBLANK([1]fixtures!$L23),"",":")</f>
        <v>:</v>
      </c>
      <c r="DM5" s="40">
        <f>IF(ISBLANK([1]fixtures!$K23),"",[1]fixtures!$K23)</f>
        <v>2</v>
      </c>
      <c r="DN5" s="38" t="str">
        <f>IF(ISBLANK([1]fixtures!$L23),"",IF(DK5&gt;DM5,"W",IF(DK5=DM5,"D","L")))</f>
        <v>D</v>
      </c>
      <c r="DO5" s="38"/>
      <c r="DP5" s="38"/>
      <c r="DQ5" s="36">
        <v>27</v>
      </c>
      <c r="DR5" s="35" t="s">
        <v>18</v>
      </c>
      <c r="DS5" s="167" t="str">
        <f ca="1">IFERROR(INDIRECT("fixtures!" &amp; [1]Dashboard!J1 &amp;30) - [1]Dashboard!K1/24,"TBC")</f>
        <v>TBC</v>
      </c>
      <c r="DT5" s="35"/>
      <c r="DU5" s="35" t="s">
        <v>35</v>
      </c>
      <c r="DV5" s="35" t="s">
        <v>16</v>
      </c>
      <c r="DW5" s="36">
        <f>IF(ISBLANK([1]fixtures!$L30),"",[1]fixtures!$L30)</f>
        <v>2</v>
      </c>
      <c r="DX5" s="35" t="str">
        <f>IF(ISBLANK([1]fixtures!$L30),"",":")</f>
        <v>:</v>
      </c>
      <c r="DY5" s="37">
        <f>IF(ISBLANK([1]fixtures!$K30),"",[1]fixtures!$K30)</f>
        <v>1</v>
      </c>
      <c r="DZ5" s="35" t="str">
        <f>IF(ISBLANK([1]fixtures!$L30),"",IF(DW5&gt;DY5,"W",IF(DW5=DY5,"D","L")))</f>
        <v>W</v>
      </c>
      <c r="EA5" s="35"/>
      <c r="EB5" s="35"/>
      <c r="EC5" s="99" t="s">
        <v>53</v>
      </c>
      <c r="ED5" s="34"/>
      <c r="EE5" s="190"/>
      <c r="EF5" s="32"/>
      <c r="EG5" s="32"/>
      <c r="EH5" s="32"/>
      <c r="EI5" s="33"/>
      <c r="EJ5" s="32"/>
      <c r="EK5" s="34"/>
      <c r="EL5" s="32"/>
      <c r="EM5" s="32"/>
      <c r="EN5" s="32"/>
      <c r="EO5" s="30">
        <v>27</v>
      </c>
      <c r="EP5" s="29" t="s">
        <v>18</v>
      </c>
      <c r="EQ5" s="164" t="str">
        <f ca="1">IFERROR(INDIRECT("fixtures!" &amp; [1]Dashboard!J1 &amp;29) - [1]Dashboard!K1/24,"TBC")</f>
        <v>TBC</v>
      </c>
      <c r="ER5" s="29"/>
      <c r="ES5" s="29" t="s">
        <v>20</v>
      </c>
      <c r="ET5" s="29" t="s">
        <v>16</v>
      </c>
      <c r="EU5" s="30">
        <f>IF(ISBLANK([1]fixtures!$L29),"",[1]fixtures!$L29)</f>
        <v>2</v>
      </c>
      <c r="EV5" s="29" t="str">
        <f>IF(ISBLANK([1]fixtures!$L29),"",":")</f>
        <v>:</v>
      </c>
      <c r="EW5" s="31">
        <f>IF(ISBLANK([1]fixtures!$K29),"",[1]fixtures!$K29)</f>
        <v>1</v>
      </c>
      <c r="EX5" s="29" t="str">
        <f>IF(ISBLANK([1]fixtures!$L29),"",IF(EU5&gt;EW5,"W",IF(EU5=EW5,"D","L")))</f>
        <v>W</v>
      </c>
      <c r="EY5" s="29"/>
      <c r="EZ5" s="29"/>
      <c r="FA5" s="27">
        <v>26</v>
      </c>
      <c r="FB5" s="26" t="s">
        <v>39</v>
      </c>
      <c r="FC5" s="189" t="str">
        <f ca="1">IFERROR(INDIRECT("fixtures!" &amp; [1]Dashboard!J1 &amp;26) - [1]Dashboard!K1/24,"TBC")</f>
        <v>TBC</v>
      </c>
      <c r="FD5" s="26"/>
      <c r="FE5" s="26" t="s">
        <v>33</v>
      </c>
      <c r="FF5" s="26" t="s">
        <v>21</v>
      </c>
      <c r="FG5" s="27">
        <f>IF(ISBLANK([1]fixtures!$K26),"",[1]fixtures!$K26)</f>
        <v>3</v>
      </c>
      <c r="FH5" s="26" t="str">
        <f>IF(ISBLANK([1]fixtures!$L26),"",":")</f>
        <v>:</v>
      </c>
      <c r="FI5" s="28">
        <f>IF(ISBLANK([1]fixtures!$L26),"",[1]fixtures!$L26)</f>
        <v>2</v>
      </c>
      <c r="FJ5" s="26" t="str">
        <f>IF(ISBLANK([1]fixtures!$L26),"",IF(FG5&gt;FI5,"W",IF(FG5=FI5,"D","L")))</f>
        <v>W</v>
      </c>
      <c r="FK5" s="26"/>
      <c r="FL5" s="26"/>
      <c r="FM5" s="24">
        <v>27</v>
      </c>
      <c r="FN5" s="23" t="s">
        <v>18</v>
      </c>
      <c r="FO5" s="161" t="str">
        <f ca="1">IFERROR(INDIRECT("fixtures!" &amp; [1]Dashboard!J1 &amp;30) - [1]Dashboard!K1/24,"TBC")</f>
        <v>TBC</v>
      </c>
      <c r="FP5" s="23"/>
      <c r="FQ5" s="23" t="s">
        <v>17</v>
      </c>
      <c r="FR5" s="23" t="s">
        <v>21</v>
      </c>
      <c r="FS5" s="24">
        <f>IF(ISBLANK([1]fixtures!$K30),"",[1]fixtures!$K30)</f>
        <v>1</v>
      </c>
      <c r="FT5" s="23" t="str">
        <f>IF(ISBLANK([1]fixtures!$L30),"",":")</f>
        <v>:</v>
      </c>
      <c r="FU5" s="25">
        <f>IF(ISBLANK([1]fixtures!$L30),"",[1]fixtures!$L30)</f>
        <v>2</v>
      </c>
      <c r="FV5" s="23" t="str">
        <f>IF(ISBLANK([1]fixtures!$L30),"",IF(FS5&gt;FU5,"W",IF(FS5=FU5,"D","L")))</f>
        <v>L</v>
      </c>
      <c r="FW5" s="23"/>
      <c r="FX5" s="23"/>
      <c r="FY5" s="21">
        <v>26</v>
      </c>
      <c r="FZ5" s="20" t="s">
        <v>39</v>
      </c>
      <c r="GA5" s="159" t="str">
        <f ca="1">IFERROR(INDIRECT("fixtures!" &amp; [1]Dashboard!J1 &amp;26) - [1]Dashboard!K1/24,"TBC")</f>
        <v>TBC</v>
      </c>
      <c r="GB5" s="20"/>
      <c r="GC5" s="20" t="s">
        <v>34</v>
      </c>
      <c r="GD5" s="20" t="s">
        <v>16</v>
      </c>
      <c r="GE5" s="21">
        <f>IF(ISBLANK([1]fixtures!$L26),"",[1]fixtures!$L26)</f>
        <v>2</v>
      </c>
      <c r="GF5" s="20" t="str">
        <f>IF(ISBLANK([1]fixtures!$L26),"",":")</f>
        <v>:</v>
      </c>
      <c r="GG5" s="22">
        <f>IF(ISBLANK([1]fixtures!$K26),"",[1]fixtures!$K26)</f>
        <v>3</v>
      </c>
      <c r="GH5" s="20" t="str">
        <f>IF(ISBLANK([1]fixtures!$L26),"",IF(GE5&gt;GG5,"W",IF(GE5=GG5,"D","L")))</f>
        <v>L</v>
      </c>
      <c r="GI5" s="20"/>
      <c r="GJ5" s="20"/>
      <c r="GK5" s="18">
        <v>27</v>
      </c>
      <c r="GL5" s="19" t="s">
        <v>18</v>
      </c>
      <c r="GM5" s="157" t="str">
        <f ca="1">IFERROR(INDIRECT("fixtures!" &amp; [1]Dashboard!J1 &amp;29) - [1]Dashboard!K1/24,"TBC")</f>
        <v>TBC</v>
      </c>
      <c r="GN5" s="17"/>
      <c r="GO5" s="17" t="s">
        <v>19</v>
      </c>
      <c r="GP5" s="17" t="s">
        <v>21</v>
      </c>
      <c r="GQ5" s="18">
        <f>IF(ISBLANK([1]fixtures!$K29),"",[1]fixtures!$K29)</f>
        <v>1</v>
      </c>
      <c r="GR5" s="17" t="str">
        <f>IF(ISBLANK([1]fixtures!$L29),"",":")</f>
        <v>:</v>
      </c>
      <c r="GS5" s="19">
        <f>IF(ISBLANK([1]fixtures!$L29),"",[1]fixtures!$L29)</f>
        <v>2</v>
      </c>
      <c r="GT5" s="17" t="str">
        <f>IF(ISBLANK([1]fixtures!$L29),"",IF(GQ5&gt;GS5,"W",IF(GQ5=GS5,"D","L")))</f>
        <v>L</v>
      </c>
      <c r="GU5" s="17"/>
      <c r="GV5" s="17"/>
      <c r="GW5" s="15">
        <v>26</v>
      </c>
      <c r="GX5" s="16" t="s">
        <v>39</v>
      </c>
      <c r="GY5" s="155" t="str">
        <f ca="1">IFERROR(INDIRECT("fixtures!" &amp; [1]Dashboard!J1 &amp;22) - [1]Dashboard!K1/24,"TBC")</f>
        <v>TBC</v>
      </c>
      <c r="GZ5" s="14"/>
      <c r="HA5" s="14" t="s">
        <v>32</v>
      </c>
      <c r="HB5" s="14" t="s">
        <v>16</v>
      </c>
      <c r="HC5" s="15">
        <f>IF(ISBLANK([1]fixtures!$L22),"",[1]fixtures!$L22)</f>
        <v>2</v>
      </c>
      <c r="HD5" s="14" t="str">
        <f>IF(ISBLANK([1]fixtures!$L22),"",":")</f>
        <v>:</v>
      </c>
      <c r="HE5" s="16">
        <f>IF(ISBLANK([1]fixtures!$K22),"",[1]fixtures!$K22)</f>
        <v>0</v>
      </c>
      <c r="HF5" s="14" t="str">
        <f>IF(ISBLANK([1]fixtures!$L22),"",IF(HC5&gt;HE5,"W",IF(HC5=HE5,"D","L")))</f>
        <v>W</v>
      </c>
      <c r="HG5" s="14"/>
      <c r="HH5" s="14"/>
      <c r="HI5" s="12">
        <v>26</v>
      </c>
      <c r="HJ5" s="11" t="s">
        <v>39</v>
      </c>
      <c r="HK5" s="153" t="str">
        <f ca="1">IFERROR(INDIRECT("fixtures!" &amp; [1]Dashboard!J1 &amp;27) - [1]Dashboard!K1/24,"TBC")</f>
        <v>TBC</v>
      </c>
      <c r="HL5" s="11"/>
      <c r="HM5" s="11" t="s">
        <v>25</v>
      </c>
      <c r="HN5" s="11" t="s">
        <v>16</v>
      </c>
      <c r="HO5" s="12">
        <f>IF(ISBLANK([1]fixtures!$L27),"",[1]fixtures!$L27)</f>
        <v>3</v>
      </c>
      <c r="HP5" s="11" t="str">
        <f>IF(ISBLANK([1]fixtures!$L27),"",":")</f>
        <v>:</v>
      </c>
      <c r="HQ5" s="13">
        <f>IF(ISBLANK([1]fixtures!$K27),"",[1]fixtures!$K27)</f>
        <v>1</v>
      </c>
      <c r="HR5" s="11" t="str">
        <f>IF(ISBLANK([1]fixtures!$L27),"",IF(HO5&gt;HQ5,"W",IF(HO5=HQ5,"D","L")))</f>
        <v>W</v>
      </c>
      <c r="HS5" s="11"/>
      <c r="HT5" s="11"/>
      <c r="HU5" s="9">
        <v>26</v>
      </c>
      <c r="HV5" s="8" t="s">
        <v>39</v>
      </c>
      <c r="HW5" s="151" t="str">
        <f ca="1">IFERROR(INDIRECT("fixtures!" &amp; [1]Dashboard!J1 &amp;25) - [1]Dashboard!K1/24,"TBC")</f>
        <v>TBC</v>
      </c>
      <c r="HX5" s="8"/>
      <c r="HY5" s="8" t="s">
        <v>38</v>
      </c>
      <c r="HZ5" s="8" t="s">
        <v>16</v>
      </c>
      <c r="IA5" s="9">
        <f>IF(ISBLANK([1]fixtures!$L25),"",[1]fixtures!$L25)</f>
        <v>1</v>
      </c>
      <c r="IB5" s="8" t="str">
        <f>IF(ISBLANK([1]fixtures!$L25),"",":")</f>
        <v>:</v>
      </c>
      <c r="IC5" s="10">
        <f>IF(ISBLANK([1]fixtures!$K25),"",[1]fixtures!$K25)</f>
        <v>0</v>
      </c>
      <c r="ID5" s="8" t="str">
        <f>IF(ISBLANK([1]fixtures!$L25),"",IF(IA5&gt;IC5,"W",IF(IA5=IC5,"D","L")))</f>
        <v>W</v>
      </c>
      <c r="IE5" s="8"/>
      <c r="IF5" s="8"/>
      <c r="II5" s="7"/>
    </row>
    <row r="6" spans="1:243" x14ac:dyDescent="0.25">
      <c r="A6" s="90" t="s">
        <v>53</v>
      </c>
      <c r="B6" s="68"/>
      <c r="C6" s="187"/>
      <c r="D6" s="66"/>
      <c r="E6" s="66"/>
      <c r="F6" s="66"/>
      <c r="G6" s="67"/>
      <c r="H6" s="66"/>
      <c r="I6" s="68"/>
      <c r="J6" s="66"/>
      <c r="K6" s="66"/>
      <c r="L6" s="66"/>
      <c r="M6" s="87" t="s">
        <v>53</v>
      </c>
      <c r="N6" s="62"/>
      <c r="O6" s="185"/>
      <c r="P6" s="62"/>
      <c r="Q6" s="62"/>
      <c r="R6" s="62"/>
      <c r="S6" s="63"/>
      <c r="T6" s="62"/>
      <c r="U6" s="64"/>
      <c r="V6" s="62"/>
      <c r="W6" s="62"/>
      <c r="X6" s="62"/>
      <c r="Y6" s="108" t="s">
        <v>53</v>
      </c>
      <c r="Z6" s="59"/>
      <c r="AA6" s="183"/>
      <c r="AB6" s="59"/>
      <c r="AC6" s="59"/>
      <c r="AD6" s="59"/>
      <c r="AE6" s="60"/>
      <c r="AF6" s="59"/>
      <c r="AG6" s="61"/>
      <c r="AH6" s="59"/>
      <c r="AI6" s="59"/>
      <c r="AJ6" s="59"/>
      <c r="AK6" s="85" t="s">
        <v>53</v>
      </c>
      <c r="AL6" s="56"/>
      <c r="AM6" s="181"/>
      <c r="AN6" s="56"/>
      <c r="AO6" s="56"/>
      <c r="AP6" s="56"/>
      <c r="AQ6" s="57"/>
      <c r="AR6" s="56"/>
      <c r="AS6" s="58"/>
      <c r="AT6" s="56"/>
      <c r="AU6" s="56"/>
      <c r="AV6" s="56"/>
      <c r="AW6" s="106" t="s">
        <v>53</v>
      </c>
      <c r="AX6" s="55"/>
      <c r="AY6" s="179"/>
      <c r="AZ6" s="53"/>
      <c r="BA6" s="53"/>
      <c r="BB6" s="53"/>
      <c r="BC6" s="54"/>
      <c r="BD6" s="53"/>
      <c r="BE6" s="55"/>
      <c r="BF6" s="53"/>
      <c r="BG6" s="53"/>
      <c r="BH6" s="53"/>
      <c r="BI6" s="51">
        <v>2</v>
      </c>
      <c r="BJ6" s="50" t="s">
        <v>39</v>
      </c>
      <c r="BK6" s="177" t="str">
        <f ca="1">IFERROR(INDIRECT("fixtures!" &amp; [1]Dashboard!J1 &amp;34) - [1]Dashboard!K1/24,"TBC")</f>
        <v>TBC</v>
      </c>
      <c r="BL6" s="50"/>
      <c r="BM6" s="50" t="s">
        <v>22</v>
      </c>
      <c r="BN6" s="50" t="s">
        <v>21</v>
      </c>
      <c r="BO6" s="51">
        <f>IF(ISBLANK([1]fixtures!$K34),"",[1]fixtures!$K34)</f>
        <v>2</v>
      </c>
      <c r="BP6" s="50" t="str">
        <f>IF(ISBLANK([1]fixtures!$L34),"",":")</f>
        <v>:</v>
      </c>
      <c r="BQ6" s="52">
        <f>IF(ISBLANK([1]fixtures!$L34),"",[1]fixtures!$L34)</f>
        <v>5</v>
      </c>
      <c r="BR6" s="50" t="str">
        <f>IF(ISBLANK([1]fixtures!$L34),"",IF(BO6&gt;BQ6,"W",IF(BO6=BQ6,"D","L")))</f>
        <v>L</v>
      </c>
      <c r="BS6" s="50"/>
      <c r="BT6" s="50"/>
      <c r="BU6" s="82" t="s">
        <v>53</v>
      </c>
      <c r="BV6" s="47"/>
      <c r="BW6" s="175"/>
      <c r="BX6" s="47"/>
      <c r="BY6" s="47"/>
      <c r="BZ6" s="47"/>
      <c r="CA6" s="48"/>
      <c r="CB6" s="47"/>
      <c r="CC6" s="49"/>
      <c r="CD6" s="47"/>
      <c r="CE6" s="47"/>
      <c r="CF6" s="47"/>
      <c r="CG6" s="81" t="s">
        <v>53</v>
      </c>
      <c r="CH6" s="46"/>
      <c r="CI6" s="173"/>
      <c r="CJ6" s="44"/>
      <c r="CK6" s="44"/>
      <c r="CL6" s="44"/>
      <c r="CM6" s="45"/>
      <c r="CN6" s="44"/>
      <c r="CO6" s="46"/>
      <c r="CP6" s="44"/>
      <c r="CQ6" s="44"/>
      <c r="CR6" s="44"/>
      <c r="CS6" s="102" t="s">
        <v>53</v>
      </c>
      <c r="CT6" s="41"/>
      <c r="CU6" s="171"/>
      <c r="CV6" s="41"/>
      <c r="CW6" s="41"/>
      <c r="CX6" s="41"/>
      <c r="CY6" s="42"/>
      <c r="CZ6" s="41"/>
      <c r="DA6" s="43"/>
      <c r="DB6" s="41"/>
      <c r="DC6" s="41"/>
      <c r="DD6" s="41"/>
      <c r="DE6" s="79" t="s">
        <v>53</v>
      </c>
      <c r="DF6" s="40"/>
      <c r="DG6" s="169"/>
      <c r="DH6" s="38"/>
      <c r="DI6" s="38"/>
      <c r="DJ6" s="38"/>
      <c r="DK6" s="39"/>
      <c r="DL6" s="38"/>
      <c r="DM6" s="40"/>
      <c r="DN6" s="38"/>
      <c r="DO6" s="38"/>
      <c r="DP6" s="38"/>
      <c r="DQ6" s="78" t="s">
        <v>53</v>
      </c>
      <c r="DR6" s="37"/>
      <c r="DS6" s="167"/>
      <c r="DT6" s="35"/>
      <c r="DU6" s="35"/>
      <c r="DV6" s="35"/>
      <c r="DW6" s="36"/>
      <c r="DX6" s="35"/>
      <c r="DY6" s="37"/>
      <c r="DZ6" s="35"/>
      <c r="EA6" s="35"/>
      <c r="EB6" s="35"/>
      <c r="EC6" s="33">
        <v>1</v>
      </c>
      <c r="ED6" s="32" t="s">
        <v>43</v>
      </c>
      <c r="EE6" s="190" t="str">
        <f ca="1">IFERROR(INDIRECT("fixtures!" &amp; [1]Dashboard!J1 &amp;31) - [1]Dashboard!K1/24,"TBC")</f>
        <v>TBC</v>
      </c>
      <c r="EF6" s="32"/>
      <c r="EG6" s="32" t="s">
        <v>26</v>
      </c>
      <c r="EH6" s="32" t="s">
        <v>21</v>
      </c>
      <c r="EI6" s="33">
        <f>IF(ISBLANK([1]fixtures!$K31),"",[1]fixtures!$K31)</f>
        <v>1</v>
      </c>
      <c r="EJ6" s="32" t="str">
        <f>IF(ISBLANK([1]fixtures!$L31),"",":")</f>
        <v>:</v>
      </c>
      <c r="EK6" s="34">
        <f>IF(ISBLANK([1]fixtures!$L31),"",[1]fixtures!$L31)</f>
        <v>2</v>
      </c>
      <c r="EL6" s="32" t="str">
        <f>IF(ISBLANK([1]fixtures!$L31),"",IF(EI6&gt;EK6,"W",IF(EI6=EK6,"D","L")))</f>
        <v>L</v>
      </c>
      <c r="EM6" s="32"/>
      <c r="EN6" s="32"/>
      <c r="EO6" s="98" t="s">
        <v>53</v>
      </c>
      <c r="EP6" s="29"/>
      <c r="EQ6" s="164"/>
      <c r="ER6" s="29"/>
      <c r="ES6" s="29"/>
      <c r="ET6" s="29"/>
      <c r="EU6" s="30"/>
      <c r="EV6" s="29"/>
      <c r="EW6" s="31"/>
      <c r="EX6" s="29"/>
      <c r="EY6" s="29"/>
      <c r="EZ6" s="29"/>
      <c r="FA6" s="75" t="s">
        <v>53</v>
      </c>
      <c r="FB6" s="26"/>
      <c r="FC6" s="189"/>
      <c r="FD6" s="26"/>
      <c r="FE6" s="26"/>
      <c r="FF6" s="26"/>
      <c r="FG6" s="27"/>
      <c r="FH6" s="26"/>
      <c r="FI6" s="28"/>
      <c r="FJ6" s="26"/>
      <c r="FK6" s="26"/>
      <c r="FL6" s="26"/>
      <c r="FM6" s="96" t="s">
        <v>53</v>
      </c>
      <c r="FN6" s="23"/>
      <c r="FO6" s="161"/>
      <c r="FP6" s="23"/>
      <c r="FQ6" s="23"/>
      <c r="FR6" s="23"/>
      <c r="FS6" s="24"/>
      <c r="FT6" s="23"/>
      <c r="FU6" s="25"/>
      <c r="FV6" s="23"/>
      <c r="FW6" s="23"/>
      <c r="FX6" s="23"/>
      <c r="FY6" s="95" t="s">
        <v>53</v>
      </c>
      <c r="FZ6" s="20"/>
      <c r="GA6" s="159"/>
      <c r="GB6" s="20"/>
      <c r="GC6" s="20"/>
      <c r="GD6" s="20"/>
      <c r="GE6" s="21"/>
      <c r="GF6" s="20"/>
      <c r="GG6" s="22"/>
      <c r="GH6" s="20"/>
      <c r="GI6" s="20"/>
      <c r="GJ6" s="20"/>
      <c r="GK6" s="72" t="s">
        <v>53</v>
      </c>
      <c r="GL6" s="17"/>
      <c r="GM6" s="157"/>
      <c r="GN6" s="17"/>
      <c r="GO6" s="17"/>
      <c r="GP6" s="17"/>
      <c r="GQ6" s="18"/>
      <c r="GR6" s="17"/>
      <c r="GS6" s="19"/>
      <c r="GT6" s="17"/>
      <c r="GU6" s="17"/>
      <c r="GV6" s="17"/>
      <c r="GW6" s="93" t="s">
        <v>53</v>
      </c>
      <c r="GX6" s="14"/>
      <c r="GY6" s="155"/>
      <c r="GZ6" s="14"/>
      <c r="HA6" s="14"/>
      <c r="HB6" s="14"/>
      <c r="HC6" s="15"/>
      <c r="HD6" s="14"/>
      <c r="HE6" s="16"/>
      <c r="HF6" s="14"/>
      <c r="HG6" s="14"/>
      <c r="HH6" s="14"/>
      <c r="HI6" s="92" t="s">
        <v>53</v>
      </c>
      <c r="HJ6" s="11"/>
      <c r="HK6" s="153"/>
      <c r="HL6" s="11"/>
      <c r="HM6" s="11"/>
      <c r="HN6" s="11"/>
      <c r="HO6" s="12"/>
      <c r="HP6" s="11"/>
      <c r="HQ6" s="13"/>
      <c r="HR6" s="11"/>
      <c r="HS6" s="11"/>
      <c r="HT6" s="11"/>
      <c r="HU6" s="91" t="s">
        <v>53</v>
      </c>
      <c r="HV6" s="8"/>
      <c r="HW6" s="151"/>
      <c r="HX6" s="8"/>
      <c r="HY6" s="8"/>
      <c r="HZ6" s="8"/>
      <c r="IA6" s="9"/>
      <c r="IB6" s="8"/>
      <c r="IC6" s="10"/>
      <c r="ID6" s="8"/>
      <c r="IE6" s="8"/>
      <c r="IF6" s="8"/>
      <c r="II6" s="7"/>
    </row>
    <row r="7" spans="1:243" x14ac:dyDescent="0.25">
      <c r="A7" s="67">
        <v>3</v>
      </c>
      <c r="B7" s="66" t="s">
        <v>18</v>
      </c>
      <c r="C7" s="187" t="str">
        <f ca="1">IFERROR(INDIRECT("fixtures!" &amp; [1]Dashboard!J1 &amp;40) - [1]Dashboard!K1/24,"TBC")</f>
        <v>TBC</v>
      </c>
      <c r="D7" s="66"/>
      <c r="E7" s="66" t="s">
        <v>34</v>
      </c>
      <c r="F7" s="66" t="s">
        <v>21</v>
      </c>
      <c r="G7" s="67">
        <f>IF(ISBLANK([1]fixtures!$K40),"",[1]fixtures!$K40)</f>
        <v>3</v>
      </c>
      <c r="H7" s="66" t="str">
        <f>IF(ISBLANK([1]fixtures!$L40),"",":")</f>
        <v>:</v>
      </c>
      <c r="I7" s="68">
        <f>IF(ISBLANK([1]fixtures!$L40),"",[1]fixtures!$L40)</f>
        <v>1</v>
      </c>
      <c r="J7" s="66" t="str">
        <f>IF(ISBLANK([1]fixtures!$L40),"",IF(G7&gt;I7,"W",IF(G7=I7,"D","L")))</f>
        <v>W</v>
      </c>
      <c r="K7" s="66"/>
      <c r="L7" s="66"/>
      <c r="M7" s="63">
        <v>3</v>
      </c>
      <c r="N7" s="62" t="s">
        <v>18</v>
      </c>
      <c r="O7" s="185" t="str">
        <f ca="1">IFERROR(INDIRECT("fixtures!" &amp; [1]Dashboard!J1 &amp;39) - [1]Dashboard!K1/24,"TBC")</f>
        <v>TBC</v>
      </c>
      <c r="P7" s="62"/>
      <c r="Q7" s="62" t="s">
        <v>17</v>
      </c>
      <c r="R7" s="62" t="s">
        <v>16</v>
      </c>
      <c r="S7" s="63">
        <f>IF(ISBLANK([1]fixtures!$L39),"",[1]fixtures!$L39)</f>
        <v>0</v>
      </c>
      <c r="T7" s="62" t="str">
        <f>IF(ISBLANK([1]fixtures!$L39),"",":")</f>
        <v>:</v>
      </c>
      <c r="U7" s="64">
        <f>IF(ISBLANK([1]fixtures!$K39),"",[1]fixtures!$K39)</f>
        <v>3</v>
      </c>
      <c r="V7" s="62" t="str">
        <f>IF(ISBLANK([1]fixtures!$L39),"",IF(S7&gt;U7,"W",IF(S7=U7,"D","L")))</f>
        <v>L</v>
      </c>
      <c r="W7" s="62"/>
      <c r="X7" s="62"/>
      <c r="Y7" s="60">
        <v>2</v>
      </c>
      <c r="Z7" s="59" t="s">
        <v>39</v>
      </c>
      <c r="AA7" s="183" t="str">
        <f ca="1">IFERROR(INDIRECT("fixtures!" &amp; [1]Dashboard!J1 &amp;33) - [1]Dashboard!K1/24,"TBC")</f>
        <v>TBC</v>
      </c>
      <c r="AB7" s="59"/>
      <c r="AC7" s="59" t="s">
        <v>24</v>
      </c>
      <c r="AD7" s="59" t="s">
        <v>16</v>
      </c>
      <c r="AE7" s="60">
        <f>IF(ISBLANK([1]fixtures!$L33),"",[1]fixtures!$L33)</f>
        <v>2</v>
      </c>
      <c r="AF7" s="59" t="str">
        <f>IF(ISBLANK([1]fixtures!$L33),"",":")</f>
        <v>:</v>
      </c>
      <c r="AG7" s="61">
        <f>IF(ISBLANK([1]fixtures!$K33),"",[1]fixtures!$K33)</f>
        <v>2</v>
      </c>
      <c r="AH7" s="59" t="str">
        <f>IF(ISBLANK([1]fixtures!$L33),"",IF(AE7&gt;AG7,"W",IF(AE7=AG7,"D","L")))</f>
        <v>D</v>
      </c>
      <c r="AI7" s="59"/>
      <c r="AJ7" s="59"/>
      <c r="AK7" s="57">
        <v>2</v>
      </c>
      <c r="AL7" s="56" t="s">
        <v>39</v>
      </c>
      <c r="AM7" s="181" t="str">
        <f ca="1">IFERROR(INDIRECT("fixtures!" &amp; [1]Dashboard!J1 &amp;33) - [1]Dashboard!K1/24,"TBC")</f>
        <v>TBC</v>
      </c>
      <c r="AN7" s="56"/>
      <c r="AO7" s="56" t="s">
        <v>32</v>
      </c>
      <c r="AP7" s="56" t="s">
        <v>21</v>
      </c>
      <c r="AQ7" s="57">
        <f>IF(ISBLANK([1]fixtures!$K33),"",[1]fixtures!$K33)</f>
        <v>2</v>
      </c>
      <c r="AR7" s="56" t="str">
        <f>IF(ISBLANK([1]fixtures!$L33),"",":")</f>
        <v>:</v>
      </c>
      <c r="AS7" s="58">
        <f>IF(ISBLANK([1]fixtures!$L33),"",[1]fixtures!$L33)</f>
        <v>2</v>
      </c>
      <c r="AT7" s="56" t="str">
        <f>IF(ISBLANK([1]fixtures!$L33),"",IF(AQ7&gt;AS7,"W",IF(AQ7=AS7,"D","L")))</f>
        <v>D</v>
      </c>
      <c r="AU7" s="56"/>
      <c r="AV7" s="56"/>
      <c r="AW7" s="54">
        <v>2</v>
      </c>
      <c r="AX7" s="55" t="s">
        <v>39</v>
      </c>
      <c r="AY7" s="179" t="str">
        <f ca="1">IFERROR(INDIRECT("fixtures!" &amp; [1]Dashboard!J1 &amp;37) - [1]Dashboard!K1/24,"TBC")</f>
        <v>TBC</v>
      </c>
      <c r="AZ7" s="53"/>
      <c r="BA7" s="53" t="s">
        <v>35</v>
      </c>
      <c r="BB7" s="53" t="s">
        <v>21</v>
      </c>
      <c r="BC7" s="54">
        <f>IF(ISBLANK([1]fixtures!$K37),"",[1]fixtures!$K37)</f>
        <v>3</v>
      </c>
      <c r="BD7" s="53" t="str">
        <f>IF(ISBLANK([1]fixtures!$L37),"",":")</f>
        <v>:</v>
      </c>
      <c r="BE7" s="55">
        <f>IF(ISBLANK([1]fixtures!$L37),"",[1]fixtures!$L37)</f>
        <v>1</v>
      </c>
      <c r="BF7" s="53" t="str">
        <f>IF(ISBLANK([1]fixtures!$L37),"",IF(BC7&gt;BE7,"W",IF(BC7=BE7,"D","L")))</f>
        <v>W</v>
      </c>
      <c r="BG7" s="53"/>
      <c r="BH7" s="53"/>
      <c r="BI7" s="51">
        <v>18</v>
      </c>
      <c r="BJ7" s="50" t="s">
        <v>42</v>
      </c>
      <c r="BK7" s="177" t="str">
        <f ca="1">IFERROR(INDIRECT("fixtures!" &amp; [1]Dashboard!J1 &amp;50) - [1]Dashboard!K1/24,"TBC")</f>
        <v>TBC</v>
      </c>
      <c r="BL7" s="50"/>
      <c r="BM7" s="50" t="s">
        <v>33</v>
      </c>
      <c r="BN7" s="50" t="s">
        <v>16</v>
      </c>
      <c r="BO7" s="51">
        <f>IF(ISBLANK([1]fixtures!$L50),"",[1]fixtures!$L50)</f>
        <v>1</v>
      </c>
      <c r="BP7" s="50" t="str">
        <f>IF(ISBLANK([1]fixtures!$L50),"",":")</f>
        <v>:</v>
      </c>
      <c r="BQ7" s="52">
        <f>IF(ISBLANK([1]fixtures!$K50),"",[1]fixtures!$K50)</f>
        <v>1</v>
      </c>
      <c r="BR7" s="50" t="str">
        <f>IF(ISBLANK([1]fixtures!$L50),"",IF(BO7&gt;BQ7,"W",IF(BO7=BQ7,"D","L")))</f>
        <v>D</v>
      </c>
      <c r="BS7" s="50"/>
      <c r="BT7" s="50"/>
      <c r="BU7" s="48">
        <v>2</v>
      </c>
      <c r="BV7" s="47" t="s">
        <v>39</v>
      </c>
      <c r="BW7" s="175" t="str">
        <f ca="1">IFERROR(INDIRECT("fixtures!" &amp; [1]Dashboard!J1 &amp;35) - [1]Dashboard!K1/24,"TBC")</f>
        <v>TBC</v>
      </c>
      <c r="BX7" s="47"/>
      <c r="BY7" s="47" t="s">
        <v>33</v>
      </c>
      <c r="BZ7" s="47" t="s">
        <v>21</v>
      </c>
      <c r="CA7" s="48">
        <f>IF(ISBLANK([1]fixtures!$K35),"",[1]fixtures!$K35)</f>
        <v>0</v>
      </c>
      <c r="CB7" s="47" t="str">
        <f>IF(ISBLANK([1]fixtures!$L35),"",":")</f>
        <v>:</v>
      </c>
      <c r="CC7" s="49">
        <f>IF(ISBLANK([1]fixtures!$L35),"",[1]fixtures!$L35)</f>
        <v>1</v>
      </c>
      <c r="CD7" s="47" t="str">
        <f>IF(ISBLANK([1]fixtures!$L35),"",IF(CA7&gt;CC7,"W",IF(CA7=CC7,"D","L")))</f>
        <v>L</v>
      </c>
      <c r="CE7" s="47"/>
      <c r="CF7" s="47"/>
      <c r="CG7" s="45">
        <v>3</v>
      </c>
      <c r="CH7" s="44" t="s">
        <v>18</v>
      </c>
      <c r="CI7" s="173" t="str">
        <f ca="1">IFERROR(INDIRECT("fixtures!" &amp; [1]Dashboard!J1 &amp;38) - [1]Dashboard!K1/24,"TBC")</f>
        <v>TBC</v>
      </c>
      <c r="CJ7" s="44"/>
      <c r="CK7" s="44" t="s">
        <v>28</v>
      </c>
      <c r="CL7" s="44" t="s">
        <v>21</v>
      </c>
      <c r="CM7" s="45">
        <f>IF(ISBLANK([1]fixtures!$K38),"",[1]fixtures!$K38)</f>
        <v>3</v>
      </c>
      <c r="CN7" s="44" t="str">
        <f>IF(ISBLANK([1]fixtures!$L38),"",":")</f>
        <v>:</v>
      </c>
      <c r="CO7" s="46">
        <f>IF(ISBLANK([1]fixtures!$L38),"",[1]fixtures!$L38)</f>
        <v>2</v>
      </c>
      <c r="CP7" s="44" t="str">
        <f>IF(ISBLANK([1]fixtures!$L38),"",IF(CM7&gt;CO7,"W",IF(CM7=CO7,"D","L")))</f>
        <v>W</v>
      </c>
      <c r="CQ7" s="44"/>
      <c r="CR7" s="44"/>
      <c r="CS7" s="42">
        <v>2</v>
      </c>
      <c r="CT7" s="41" t="s">
        <v>39</v>
      </c>
      <c r="CU7" s="171" t="str">
        <f ca="1">IFERROR(INDIRECT("fixtures!" &amp; [1]Dashboard!J1 &amp;32) - [1]Dashboard!K1/24,"TBC")</f>
        <v>TBC</v>
      </c>
      <c r="CV7" s="41"/>
      <c r="CW7" s="41" t="s">
        <v>20</v>
      </c>
      <c r="CX7" s="41" t="s">
        <v>16</v>
      </c>
      <c r="CY7" s="42">
        <f>IF(ISBLANK([1]fixtures!$L32),"",[1]fixtures!$L32)</f>
        <v>2</v>
      </c>
      <c r="CZ7" s="41" t="str">
        <f>IF(ISBLANK([1]fixtures!$L32),"",":")</f>
        <v>:</v>
      </c>
      <c r="DA7" s="43">
        <f>IF(ISBLANK([1]fixtures!$K32),"",[1]fixtures!$K32)</f>
        <v>2</v>
      </c>
      <c r="DB7" s="41" t="str">
        <f>IF(ISBLANK([1]fixtures!$L32),"",IF(CY7&gt;DA7,"W",IF(CY7=DA7,"D","L")))</f>
        <v>D</v>
      </c>
      <c r="DC7" s="41"/>
      <c r="DD7" s="41"/>
      <c r="DE7" s="39">
        <v>2</v>
      </c>
      <c r="DF7" s="38" t="s">
        <v>39</v>
      </c>
      <c r="DG7" s="169" t="str">
        <f ca="1">IFERROR(INDIRECT("fixtures!" &amp; [1]Dashboard!J1 &amp;36) - [1]Dashboard!K1/24,"TBC")</f>
        <v>TBC</v>
      </c>
      <c r="DH7" s="38"/>
      <c r="DI7" s="38" t="s">
        <v>19</v>
      </c>
      <c r="DJ7" s="38" t="s">
        <v>16</v>
      </c>
      <c r="DK7" s="39">
        <f>IF(ISBLANK([1]fixtures!$L36),"",[1]fixtures!$L36)</f>
        <v>1</v>
      </c>
      <c r="DL7" s="38" t="str">
        <f>IF(ISBLANK([1]fixtures!$L36),"",":")</f>
        <v>:</v>
      </c>
      <c r="DM7" s="40">
        <f>IF(ISBLANK([1]fixtures!$K36),"",[1]fixtures!$K36)</f>
        <v>5</v>
      </c>
      <c r="DN7" s="38" t="str">
        <f>IF(ISBLANK([1]fixtures!$L36),"",IF(DK7&gt;DM7,"W",IF(DK7=DM7,"D","L")))</f>
        <v>L</v>
      </c>
      <c r="DO7" s="38"/>
      <c r="DP7" s="38"/>
      <c r="DQ7" s="36">
        <v>3</v>
      </c>
      <c r="DR7" s="35" t="s">
        <v>18</v>
      </c>
      <c r="DS7" s="167" t="str">
        <f ca="1">IFERROR(INDIRECT("fixtures!" &amp; [1]Dashboard!J1 &amp;39) - [1]Dashboard!K1/24,"TBC")</f>
        <v>TBC</v>
      </c>
      <c r="DT7" s="35"/>
      <c r="DU7" s="35" t="s">
        <v>31</v>
      </c>
      <c r="DV7" s="35" t="s">
        <v>21</v>
      </c>
      <c r="DW7" s="36">
        <f>IF(ISBLANK([1]fixtures!$K39),"",[1]fixtures!$K39)</f>
        <v>3</v>
      </c>
      <c r="DX7" s="35" t="str">
        <f>IF(ISBLANK([1]fixtures!$L39),"",":")</f>
        <v>:</v>
      </c>
      <c r="DY7" s="37">
        <f>IF(ISBLANK([1]fixtures!$L39),"",[1]fixtures!$L39)</f>
        <v>0</v>
      </c>
      <c r="DZ7" s="35" t="str">
        <f>IF(ISBLANK([1]fixtures!$L39),"",IF(DW7&gt;DY7,"W",IF(DW7=DY7,"D","L")))</f>
        <v>W</v>
      </c>
      <c r="EA7" s="35"/>
      <c r="EB7" s="35"/>
      <c r="EC7" s="33">
        <v>16</v>
      </c>
      <c r="ED7" s="32" t="s">
        <v>39</v>
      </c>
      <c r="EE7" s="190" t="str">
        <f ca="1">IFERROR(INDIRECT("fixtures!" &amp; [1]Dashboard!J1 &amp;43) - [1]Dashboard!K1/24,"TBC")</f>
        <v>TBC</v>
      </c>
      <c r="EF7" s="32"/>
      <c r="EG7" s="32" t="s">
        <v>27</v>
      </c>
      <c r="EH7" s="32" t="s">
        <v>16</v>
      </c>
      <c r="EI7" s="33">
        <f>IF(ISBLANK([1]fixtures!$L43),"",[1]fixtures!$L43)</f>
        <v>0</v>
      </c>
      <c r="EJ7" s="32" t="str">
        <f>IF(ISBLANK([1]fixtures!$L43),"",":")</f>
        <v>:</v>
      </c>
      <c r="EK7" s="34">
        <f>IF(ISBLANK([1]fixtures!$K43),"",[1]fixtures!$K43)</f>
        <v>1</v>
      </c>
      <c r="EL7" s="32" t="str">
        <f>IF(ISBLANK([1]fixtures!$L43),"",IF(EI7&gt;EK7,"W",IF(EI7=EK7,"D","L")))</f>
        <v>L</v>
      </c>
      <c r="EM7" s="32"/>
      <c r="EN7" s="32"/>
      <c r="EO7" s="30">
        <v>2</v>
      </c>
      <c r="EP7" s="29" t="s">
        <v>39</v>
      </c>
      <c r="EQ7" s="164" t="str">
        <f ca="1">IFERROR(INDIRECT("fixtures!" &amp; [1]Dashboard!J1 &amp;36) - [1]Dashboard!K1/24,"TBC")</f>
        <v>TBC</v>
      </c>
      <c r="ER7" s="29"/>
      <c r="ES7" s="29" t="s">
        <v>27</v>
      </c>
      <c r="ET7" s="29" t="s">
        <v>21</v>
      </c>
      <c r="EU7" s="30">
        <f>IF(ISBLANK([1]fixtures!$K36),"",[1]fixtures!$K36)</f>
        <v>5</v>
      </c>
      <c r="EV7" s="29" t="str">
        <f>IF(ISBLANK([1]fixtures!$L36),"",":")</f>
        <v>:</v>
      </c>
      <c r="EW7" s="31">
        <f>IF(ISBLANK([1]fixtures!$L36),"",[1]fixtures!$L36)</f>
        <v>1</v>
      </c>
      <c r="EX7" s="29" t="str">
        <f>IF(ISBLANK([1]fixtures!$L36),"",IF(EU7&gt;EW7,"W",IF(EU7=EW7,"D","L")))</f>
        <v>W</v>
      </c>
      <c r="EY7" s="29"/>
      <c r="EZ7" s="29"/>
      <c r="FA7" s="27">
        <v>3</v>
      </c>
      <c r="FB7" s="26" t="s">
        <v>18</v>
      </c>
      <c r="FC7" s="189" t="str">
        <f ca="1">IFERROR(INDIRECT("fixtures!" &amp; [1]Dashboard!J1 &amp;40) - [1]Dashboard!K1/24,"TBC")</f>
        <v>TBC</v>
      </c>
      <c r="FD7" s="26"/>
      <c r="FE7" s="26" t="s">
        <v>30</v>
      </c>
      <c r="FF7" s="26" t="s">
        <v>16</v>
      </c>
      <c r="FG7" s="27">
        <f>IF(ISBLANK([1]fixtures!$L40),"",[1]fixtures!$L40)</f>
        <v>1</v>
      </c>
      <c r="FH7" s="26" t="str">
        <f>IF(ISBLANK([1]fixtures!$L40),"",":")</f>
        <v>:</v>
      </c>
      <c r="FI7" s="28">
        <f>IF(ISBLANK([1]fixtures!$K40),"",[1]fixtures!$K40)</f>
        <v>3</v>
      </c>
      <c r="FJ7" s="26" t="str">
        <f>IF(ISBLANK([1]fixtures!$L40),"",IF(FG7&gt;FI7,"W",IF(FG7=FI7,"D","L")))</f>
        <v>L</v>
      </c>
      <c r="FK7" s="26"/>
      <c r="FL7" s="26"/>
      <c r="FM7" s="24">
        <v>2</v>
      </c>
      <c r="FN7" s="23" t="s">
        <v>39</v>
      </c>
      <c r="FO7" s="161" t="str">
        <f ca="1">IFERROR(INDIRECT("fixtures!" &amp; [1]Dashboard!J1 &amp;37) - [1]Dashboard!K1/24,"TBC")</f>
        <v>TBC</v>
      </c>
      <c r="FP7" s="23"/>
      <c r="FQ7" s="23" t="s">
        <v>25</v>
      </c>
      <c r="FR7" s="23" t="s">
        <v>16</v>
      </c>
      <c r="FS7" s="24">
        <f>IF(ISBLANK([1]fixtures!$L37),"",[1]fixtures!$L37)</f>
        <v>1</v>
      </c>
      <c r="FT7" s="23" t="str">
        <f>IF(ISBLANK([1]fixtures!$L37),"",":")</f>
        <v>:</v>
      </c>
      <c r="FU7" s="25">
        <f>IF(ISBLANK([1]fixtures!$K37),"",[1]fixtures!$K37)</f>
        <v>3</v>
      </c>
      <c r="FV7" s="23" t="str">
        <f>IF(ISBLANK([1]fixtures!$L37),"",IF(FS7&gt;FU7,"W",IF(FS7=FU7,"D","L")))</f>
        <v>L</v>
      </c>
      <c r="FW7" s="23"/>
      <c r="FX7" s="23"/>
      <c r="FY7" s="21">
        <v>2</v>
      </c>
      <c r="FZ7" s="20" t="s">
        <v>39</v>
      </c>
      <c r="GA7" s="159" t="str">
        <f ca="1">IFERROR(INDIRECT("fixtures!" &amp; [1]Dashboard!J1 &amp;35) - [1]Dashboard!K1/24,"TBC")</f>
        <v>TBC</v>
      </c>
      <c r="GB7" s="20"/>
      <c r="GC7" s="20" t="s">
        <v>36</v>
      </c>
      <c r="GD7" s="20" t="s">
        <v>16</v>
      </c>
      <c r="GE7" s="21">
        <f>IF(ISBLANK([1]fixtures!$L35),"",[1]fixtures!$L35)</f>
        <v>1</v>
      </c>
      <c r="GF7" s="20" t="str">
        <f>IF(ISBLANK([1]fixtures!$L35),"",":")</f>
        <v>:</v>
      </c>
      <c r="GG7" s="22">
        <f>IF(ISBLANK([1]fixtures!$K35),"",[1]fixtures!$K35)</f>
        <v>0</v>
      </c>
      <c r="GH7" s="20" t="str">
        <f>IF(ISBLANK([1]fixtures!$L35),"",IF(GE7&gt;GG7,"W",IF(GE7=GG7,"D","L")))</f>
        <v>W</v>
      </c>
      <c r="GI7" s="20"/>
      <c r="GJ7" s="20"/>
      <c r="GK7" s="18">
        <v>2</v>
      </c>
      <c r="GL7" s="17" t="s">
        <v>39</v>
      </c>
      <c r="GM7" s="157" t="str">
        <f ca="1">IFERROR(INDIRECT("fixtures!" &amp; [1]Dashboard!J1 &amp;32) - [1]Dashboard!K1/24,"TBC")</f>
        <v>TBC</v>
      </c>
      <c r="GN7" s="17"/>
      <c r="GO7" s="17" t="s">
        <v>38</v>
      </c>
      <c r="GP7" s="17" t="s">
        <v>21</v>
      </c>
      <c r="GQ7" s="18">
        <f>IF(ISBLANK([1]fixtures!$K32),"",[1]fixtures!$K32)</f>
        <v>2</v>
      </c>
      <c r="GR7" s="17" t="str">
        <f>IF(ISBLANK([1]fixtures!$L32),"",":")</f>
        <v>:</v>
      </c>
      <c r="GS7" s="19">
        <f>IF(ISBLANK([1]fixtures!$L32),"",[1]fixtures!$L32)</f>
        <v>2</v>
      </c>
      <c r="GT7" s="17" t="str">
        <f>IF(ISBLANK([1]fixtures!$L32),"",IF(GQ7&gt;GS7,"W",IF(GQ7=GS7,"D","L")))</f>
        <v>D</v>
      </c>
      <c r="GU7" s="17"/>
      <c r="GV7" s="17"/>
      <c r="GW7" s="15">
        <v>2</v>
      </c>
      <c r="GX7" s="14" t="s">
        <v>39</v>
      </c>
      <c r="GY7" s="155" t="str">
        <f ca="1">IFERROR(INDIRECT("fixtures!" &amp; [1]Dashboard!J1 &amp;34) - [1]Dashboard!K1/24,"TBC")</f>
        <v>TBC</v>
      </c>
      <c r="GZ7" s="14"/>
      <c r="HA7" s="14" t="s">
        <v>23</v>
      </c>
      <c r="HB7" s="14" t="s">
        <v>16</v>
      </c>
      <c r="HC7" s="15">
        <f>IF(ISBLANK([1]fixtures!$L34),"",[1]fixtures!$L34)</f>
        <v>5</v>
      </c>
      <c r="HD7" s="14" t="str">
        <f>IF(ISBLANK([1]fixtures!$L34),"",":")</f>
        <v>:</v>
      </c>
      <c r="HE7" s="16">
        <f>IF(ISBLANK([1]fixtures!$K34),"",[1]fixtures!$K34)</f>
        <v>2</v>
      </c>
      <c r="HF7" s="14" t="str">
        <f>IF(ISBLANK([1]fixtures!$L34),"",IF(HC7&gt;HE7,"W",IF(HC7=HE7,"D","L")))</f>
        <v>W</v>
      </c>
      <c r="HG7" s="14"/>
      <c r="HH7" s="14"/>
      <c r="HI7" s="12">
        <v>1</v>
      </c>
      <c r="HJ7" s="11" t="s">
        <v>43</v>
      </c>
      <c r="HK7" s="153" t="str">
        <f ca="1">IFERROR(INDIRECT("fixtures!" &amp; [1]Dashboard!J1 &amp;31) - [1]Dashboard!K1/24,"TBC")</f>
        <v>TBC</v>
      </c>
      <c r="HL7" s="11"/>
      <c r="HM7" s="11" t="s">
        <v>29</v>
      </c>
      <c r="HN7" s="11" t="s">
        <v>16</v>
      </c>
      <c r="HO7" s="12">
        <f>IF(ISBLANK([1]fixtures!$L31),"",[1]fixtures!$L31)</f>
        <v>2</v>
      </c>
      <c r="HP7" s="11" t="str">
        <f>IF(ISBLANK([1]fixtures!$L31),"",":")</f>
        <v>:</v>
      </c>
      <c r="HQ7" s="13">
        <f>IF(ISBLANK([1]fixtures!$K31),"",[1]fixtures!$K31)</f>
        <v>1</v>
      </c>
      <c r="HR7" s="11" t="str">
        <f>IF(ISBLANK([1]fixtures!$L31),"",IF(HO7&gt;HQ7,"W",IF(HO7=HQ7,"D","L")))</f>
        <v>W</v>
      </c>
      <c r="HS7" s="11"/>
      <c r="HT7" s="11"/>
      <c r="HU7" s="9">
        <v>3</v>
      </c>
      <c r="HV7" s="8" t="s">
        <v>18</v>
      </c>
      <c r="HW7" s="151" t="str">
        <f ca="1">IFERROR(INDIRECT("fixtures!" &amp; [1]Dashboard!J1 &amp;38) - [1]Dashboard!K1/24,"TBC")</f>
        <v>TBC</v>
      </c>
      <c r="HX7" s="8"/>
      <c r="HY7" s="8" t="s">
        <v>37</v>
      </c>
      <c r="HZ7" s="8" t="s">
        <v>16</v>
      </c>
      <c r="IA7" s="9">
        <f>IF(ISBLANK([1]fixtures!$L38),"",[1]fixtures!$L38)</f>
        <v>2</v>
      </c>
      <c r="IB7" s="8" t="str">
        <f>IF(ISBLANK([1]fixtures!$L38),"",":")</f>
        <v>:</v>
      </c>
      <c r="IC7" s="10">
        <f>IF(ISBLANK([1]fixtures!$K38),"",[1]fixtures!$K38)</f>
        <v>3</v>
      </c>
      <c r="ID7" s="8" t="str">
        <f>IF(ISBLANK([1]fixtures!$L38),"",IF(IA7&gt;IC7,"W",IF(IA7=IC7,"D","L")))</f>
        <v>L</v>
      </c>
      <c r="IE7" s="8"/>
      <c r="IF7" s="8"/>
      <c r="II7" s="7"/>
    </row>
    <row r="8" spans="1:243" x14ac:dyDescent="0.25">
      <c r="A8" s="67">
        <v>17</v>
      </c>
      <c r="B8" s="66" t="s">
        <v>18</v>
      </c>
      <c r="C8" s="187" t="str">
        <f ca="1">IFERROR(INDIRECT("fixtures!" &amp; [1]Dashboard!J1 &amp;49) - [1]Dashboard!K1/24,"TBC")</f>
        <v>TBC</v>
      </c>
      <c r="D8" s="66"/>
      <c r="E8" s="66" t="s">
        <v>38</v>
      </c>
      <c r="F8" s="66" t="s">
        <v>16</v>
      </c>
      <c r="G8" s="67">
        <f>IF(ISBLANK([1]fixtures!$L49),"",[1]fixtures!$L49)</f>
        <v>1</v>
      </c>
      <c r="H8" s="66" t="str">
        <f>IF(ISBLANK([1]fixtures!$L49),"",":")</f>
        <v>:</v>
      </c>
      <c r="I8" s="68">
        <f>IF(ISBLANK([1]fixtures!$K49),"",[1]fixtures!$K49)</f>
        <v>0</v>
      </c>
      <c r="J8" s="66" t="str">
        <f>IF(ISBLANK([1]fixtures!$L49),"",IF(G8&gt;I8,"W",IF(G8=I8,"D","L")))</f>
        <v>W</v>
      </c>
      <c r="K8" s="66"/>
      <c r="L8" s="66"/>
      <c r="M8" s="63">
        <v>16</v>
      </c>
      <c r="N8" s="62" t="s">
        <v>39</v>
      </c>
      <c r="O8" s="185" t="str">
        <f ca="1">IFERROR(INDIRECT("fixtures!" &amp; [1]Dashboard!J1 &amp;42) - [1]Dashboard!K1/24,"TBC")</f>
        <v>TBC</v>
      </c>
      <c r="P8" s="62"/>
      <c r="Q8" s="62" t="s">
        <v>37</v>
      </c>
      <c r="R8" s="62" t="s">
        <v>21</v>
      </c>
      <c r="S8" s="63">
        <f>IF(ISBLANK([1]fixtures!$K42),"",[1]fixtures!$K42)</f>
        <v>3</v>
      </c>
      <c r="T8" s="62" t="str">
        <f>IF(ISBLANK([1]fixtures!$L42),"",":")</f>
        <v>:</v>
      </c>
      <c r="U8" s="64">
        <f>IF(ISBLANK([1]fixtures!$L42),"",[1]fixtures!$L42)</f>
        <v>1</v>
      </c>
      <c r="V8" s="62" t="str">
        <f>IF(ISBLANK([1]fixtures!$L42),"",IF(S8&gt;U8,"W",IF(S8=U8,"D","L")))</f>
        <v>W</v>
      </c>
      <c r="W8" s="62"/>
      <c r="X8" s="62"/>
      <c r="Y8" s="60">
        <v>17</v>
      </c>
      <c r="Z8" s="59" t="s">
        <v>18</v>
      </c>
      <c r="AA8" s="183" t="str">
        <f ca="1">IFERROR(INDIRECT("fixtures!" &amp; [1]Dashboard!J1 &amp;48) - [1]Dashboard!K1/24,"TBC")</f>
        <v>TBC</v>
      </c>
      <c r="AB8" s="59"/>
      <c r="AC8" s="59" t="s">
        <v>36</v>
      </c>
      <c r="AD8" s="59" t="s">
        <v>21</v>
      </c>
      <c r="AE8" s="60">
        <f>IF(ISBLANK([1]fixtures!$K48),"",[1]fixtures!$K48)</f>
        <v>0</v>
      </c>
      <c r="AF8" s="59" t="str">
        <f>IF(ISBLANK([1]fixtures!$L48),"",":")</f>
        <v>:</v>
      </c>
      <c r="AG8" s="61">
        <f>IF(ISBLANK([1]fixtures!$L48),"",[1]fixtures!$L48)</f>
        <v>0</v>
      </c>
      <c r="AH8" s="59" t="str">
        <f>IF(ISBLANK([1]fixtures!$L48),"",IF(AE8&gt;AG8,"W",IF(AE8=AG8,"D","L")))</f>
        <v>D</v>
      </c>
      <c r="AI8" s="59"/>
      <c r="AJ8" s="59"/>
      <c r="AK8" s="57">
        <v>16</v>
      </c>
      <c r="AL8" s="56" t="s">
        <v>39</v>
      </c>
      <c r="AM8" s="181" t="str">
        <f ca="1">IFERROR(INDIRECT("fixtures!" &amp; [1]Dashboard!J1 &amp;47) - [1]Dashboard!K1/24,"TBC")</f>
        <v>TBC</v>
      </c>
      <c r="AN8" s="56"/>
      <c r="AO8" s="56" t="s">
        <v>35</v>
      </c>
      <c r="AP8" s="56" t="s">
        <v>16</v>
      </c>
      <c r="AQ8" s="57">
        <f>IF(ISBLANK([1]fixtures!$L47),"",[1]fixtures!$L47)</f>
        <v>0</v>
      </c>
      <c r="AR8" s="56" t="str">
        <f>IF(ISBLANK([1]fixtures!$L47),"",":")</f>
        <v>:</v>
      </c>
      <c r="AS8" s="58">
        <f>IF(ISBLANK([1]fixtures!$K47),"",[1]fixtures!$K47)</f>
        <v>1</v>
      </c>
      <c r="AT8" s="56" t="str">
        <f>IF(ISBLANK([1]fixtures!$L47),"",IF(AQ8&gt;AS8,"W",IF(AQ8=AS8,"D","L")))</f>
        <v>L</v>
      </c>
      <c r="AU8" s="56"/>
      <c r="AV8" s="56"/>
      <c r="AW8" s="54">
        <v>16</v>
      </c>
      <c r="AX8" s="53" t="s">
        <v>39</v>
      </c>
      <c r="AY8" s="179" t="str">
        <f ca="1">IFERROR(INDIRECT("fixtures!" &amp; [1]Dashboard!J1 &amp;44) - [1]Dashboard!K1/24,"TBC")</f>
        <v>TBC</v>
      </c>
      <c r="AZ8" s="53"/>
      <c r="BA8" s="53" t="s">
        <v>34</v>
      </c>
      <c r="BB8" s="53" t="s">
        <v>16</v>
      </c>
      <c r="BC8" s="54">
        <f>IF(ISBLANK([1]fixtures!$L44),"",[1]fixtures!$L44)</f>
        <v>3</v>
      </c>
      <c r="BD8" s="53" t="str">
        <f>IF(ISBLANK([1]fixtures!$L44),"",":")</f>
        <v>:</v>
      </c>
      <c r="BE8" s="55">
        <f>IF(ISBLANK([1]fixtures!$K44),"",[1]fixtures!$K44)</f>
        <v>1</v>
      </c>
      <c r="BF8" s="53" t="str">
        <f>IF(ISBLANK([1]fixtures!$L44),"",IF(BC8&gt;BE8,"W",IF(BC8=BE8,"D","L")))</f>
        <v>W</v>
      </c>
      <c r="BG8" s="53"/>
      <c r="BH8" s="53"/>
      <c r="BI8" s="51">
        <v>23</v>
      </c>
      <c r="BJ8" s="50" t="s">
        <v>39</v>
      </c>
      <c r="BK8" s="177" t="str">
        <f ca="1">IFERROR(INDIRECT("fixtures!" &amp; [1]Dashboard!J1 &amp;55) - [1]Dashboard!K1/24,"TBC")</f>
        <v>TBC</v>
      </c>
      <c r="BL8" s="50"/>
      <c r="BM8" s="50" t="s">
        <v>34</v>
      </c>
      <c r="BN8" s="50" t="s">
        <v>21</v>
      </c>
      <c r="BO8" s="51">
        <f>IF(ISBLANK([1]fixtures!$K55),"",[1]fixtures!$K55)</f>
        <v>0</v>
      </c>
      <c r="BP8" s="50" t="str">
        <f>IF(ISBLANK([1]fixtures!$L55),"",":")</f>
        <v>:</v>
      </c>
      <c r="BQ8" s="52">
        <f>IF(ISBLANK([1]fixtures!$L55),"",[1]fixtures!$L55)</f>
        <v>1</v>
      </c>
      <c r="BR8" s="50" t="str">
        <f>IF(ISBLANK([1]fixtures!$L55),"",IF(BO8&gt;BQ8,"W",IF(BO8=BQ8,"D","L")))</f>
        <v>L</v>
      </c>
      <c r="BS8" s="50"/>
      <c r="BT8" s="50"/>
      <c r="BU8" s="48">
        <v>17</v>
      </c>
      <c r="BV8" s="47" t="s">
        <v>18</v>
      </c>
      <c r="BW8" s="175" t="str">
        <f ca="1">IFERROR(INDIRECT("fixtures!" &amp; [1]Dashboard!J1 &amp;48) - [1]Dashboard!K1/24,"TBC")</f>
        <v>TBC</v>
      </c>
      <c r="BX8" s="47"/>
      <c r="BY8" s="47" t="s">
        <v>32</v>
      </c>
      <c r="BZ8" s="47" t="s">
        <v>16</v>
      </c>
      <c r="CA8" s="48">
        <f>IF(ISBLANK([1]fixtures!$L48),"",[1]fixtures!$L48)</f>
        <v>0</v>
      </c>
      <c r="CB8" s="47" t="str">
        <f>IF(ISBLANK([1]fixtures!$L48),"",":")</f>
        <v>:</v>
      </c>
      <c r="CC8" s="49">
        <f>IF(ISBLANK([1]fixtures!$K48),"",[1]fixtures!$K48)</f>
        <v>0</v>
      </c>
      <c r="CD8" s="47" t="str">
        <f>IF(ISBLANK([1]fixtures!$L48),"",IF(CA8&gt;CC8,"W",IF(CA8=CC8,"D","L")))</f>
        <v>D</v>
      </c>
      <c r="CE8" s="47"/>
      <c r="CF8" s="47"/>
      <c r="CG8" s="45">
        <v>16</v>
      </c>
      <c r="CH8" s="44" t="s">
        <v>39</v>
      </c>
      <c r="CI8" s="173" t="str">
        <f ca="1">IFERROR(INDIRECT("fixtures!" &amp; [1]Dashboard!J1 &amp;42) - [1]Dashboard!K1/24,"TBC")</f>
        <v>TBC</v>
      </c>
      <c r="CJ8" s="44"/>
      <c r="CK8" s="44" t="s">
        <v>31</v>
      </c>
      <c r="CL8" s="44" t="s">
        <v>16</v>
      </c>
      <c r="CM8" s="45">
        <f>IF(ISBLANK([1]fixtures!$L42),"",[1]fixtures!$L42)</f>
        <v>1</v>
      </c>
      <c r="CN8" s="44" t="str">
        <f>IF(ISBLANK([1]fixtures!$L42),"",":")</f>
        <v>:</v>
      </c>
      <c r="CO8" s="46">
        <f>IF(ISBLANK([1]fixtures!$K42),"",[1]fixtures!$K42)</f>
        <v>3</v>
      </c>
      <c r="CP8" s="44" t="str">
        <f>IF(ISBLANK([1]fixtures!$L42),"",IF(CM8&gt;CO8,"W",IF(CM8=CO8,"D","L")))</f>
        <v>L</v>
      </c>
      <c r="CQ8" s="44"/>
      <c r="CR8" s="44"/>
      <c r="CS8" s="42">
        <v>17</v>
      </c>
      <c r="CT8" s="41" t="s">
        <v>18</v>
      </c>
      <c r="CU8" s="171" t="str">
        <f ca="1">IFERROR(INDIRECT("fixtures!" &amp; [1]Dashboard!J1 &amp;49) - [1]Dashboard!K1/24,"TBC")</f>
        <v>TBC</v>
      </c>
      <c r="CV8" s="41"/>
      <c r="CW8" s="41" t="s">
        <v>30</v>
      </c>
      <c r="CX8" s="41" t="s">
        <v>21</v>
      </c>
      <c r="CY8" s="42">
        <f>IF(ISBLANK([1]fixtures!$K49),"",[1]fixtures!$K49)</f>
        <v>0</v>
      </c>
      <c r="CZ8" s="41" t="str">
        <f>IF(ISBLANK([1]fixtures!$L49),"",":")</f>
        <v>:</v>
      </c>
      <c r="DA8" s="43">
        <f>IF(ISBLANK([1]fixtures!$L49),"",[1]fixtures!$L49)</f>
        <v>1</v>
      </c>
      <c r="DB8" s="41" t="str">
        <f>IF(ISBLANK([1]fixtures!$L49),"",IF(CY8&gt;DA8,"W",IF(CY8=DA8,"D","L")))</f>
        <v>L</v>
      </c>
      <c r="DC8" s="41"/>
      <c r="DD8" s="41"/>
      <c r="DE8" s="39">
        <v>16</v>
      </c>
      <c r="DF8" s="38" t="s">
        <v>39</v>
      </c>
      <c r="DG8" s="169" t="str">
        <f ca="1">IFERROR(INDIRECT("fixtures!" &amp; [1]Dashboard!J1 &amp;43) - [1]Dashboard!K1/24,"TBC")</f>
        <v>TBC</v>
      </c>
      <c r="DH8" s="38"/>
      <c r="DI8" s="38" t="s">
        <v>29</v>
      </c>
      <c r="DJ8" s="38" t="s">
        <v>21</v>
      </c>
      <c r="DK8" s="39">
        <f>IF(ISBLANK([1]fixtures!$K43),"",[1]fixtures!$K43)</f>
        <v>1</v>
      </c>
      <c r="DL8" s="38" t="str">
        <f>IF(ISBLANK([1]fixtures!$L43),"",":")</f>
        <v>:</v>
      </c>
      <c r="DM8" s="40">
        <f>IF(ISBLANK([1]fixtures!$L43),"",[1]fixtures!$L43)</f>
        <v>0</v>
      </c>
      <c r="DN8" s="38" t="str">
        <f>IF(ISBLANK([1]fixtures!$L43),"",IF(DK8&gt;DM8,"W",IF(DK8=DM8,"D","L")))</f>
        <v>W</v>
      </c>
      <c r="DO8" s="38"/>
      <c r="DP8" s="38"/>
      <c r="DQ8" s="36">
        <v>16</v>
      </c>
      <c r="DR8" s="35" t="s">
        <v>39</v>
      </c>
      <c r="DS8" s="167" t="str">
        <f ca="1">IFERROR(INDIRECT("fixtures!" &amp; [1]Dashboard!J1 &amp;41) - [1]Dashboard!K1/24,"TBC")</f>
        <v>TBC</v>
      </c>
      <c r="DT8" s="35"/>
      <c r="DU8" s="35" t="s">
        <v>28</v>
      </c>
      <c r="DV8" s="35" t="s">
        <v>16</v>
      </c>
      <c r="DW8" s="36">
        <f>IF(ISBLANK([1]fixtures!$L41),"",[1]fixtures!$L41)</f>
        <v>3</v>
      </c>
      <c r="DX8" s="35" t="str">
        <f>IF(ISBLANK([1]fixtures!$L41),"",":")</f>
        <v>:</v>
      </c>
      <c r="DY8" s="37">
        <f>IF(ISBLANK([1]fixtures!$K41),"",[1]fixtures!$K41)</f>
        <v>1</v>
      </c>
      <c r="DZ8" s="35" t="str">
        <f>IF(ISBLANK([1]fixtures!$L41),"",IF(DW8&gt;DY8,"W",IF(DW8=DY8,"D","L")))</f>
        <v>W</v>
      </c>
      <c r="EA8" s="35"/>
      <c r="EB8" s="35"/>
      <c r="EC8" s="33">
        <v>23</v>
      </c>
      <c r="ED8" s="32" t="s">
        <v>39</v>
      </c>
      <c r="EE8" s="190" t="str">
        <f ca="1">IFERROR(INDIRECT("fixtures!" &amp; [1]Dashboard!J1 &amp;52) - [1]Dashboard!K1/24,"TBC")</f>
        <v>TBC</v>
      </c>
      <c r="EF8" s="32"/>
      <c r="EG8" s="32" t="s">
        <v>28</v>
      </c>
      <c r="EH8" s="32" t="s">
        <v>21</v>
      </c>
      <c r="EI8" s="33">
        <f>IF(ISBLANK([1]fixtures!$K52),"",[1]fixtures!$K52)</f>
        <v>1</v>
      </c>
      <c r="EJ8" s="32" t="str">
        <f>IF(ISBLANK([1]fixtures!$L52),"",":")</f>
        <v>:</v>
      </c>
      <c r="EK8" s="34">
        <f>IF(ISBLANK([1]fixtures!$L52),"",[1]fixtures!$L52)</f>
        <v>1</v>
      </c>
      <c r="EL8" s="32" t="str">
        <f>IF(ISBLANK([1]fixtures!$L52),"",IF(EI8&gt;EK8,"W",IF(EI8=EK8,"D","L")))</f>
        <v>D</v>
      </c>
      <c r="EM8" s="32"/>
      <c r="EN8" s="32"/>
      <c r="EO8" s="30">
        <v>16</v>
      </c>
      <c r="EP8" s="29" t="s">
        <v>39</v>
      </c>
      <c r="EQ8" s="164" t="str">
        <f ca="1">IFERROR(INDIRECT("fixtures!" &amp; [1]Dashboard!J1 &amp;46) - [1]Dashboard!K1/24,"TBC")</f>
        <v>TBC</v>
      </c>
      <c r="ER8" s="29"/>
      <c r="ES8" s="29" t="s">
        <v>26</v>
      </c>
      <c r="ET8" s="29" t="s">
        <v>16</v>
      </c>
      <c r="EU8" s="30">
        <f>IF(ISBLANK([1]fixtures!$L46),"",[1]fixtures!$L46)</f>
        <v>3</v>
      </c>
      <c r="EV8" s="29" t="str">
        <f>IF(ISBLANK([1]fixtures!$L46),"",":")</f>
        <v>:</v>
      </c>
      <c r="EW8" s="31">
        <f>IF(ISBLANK([1]fixtures!$K46),"",[1]fixtures!$K46)</f>
        <v>1</v>
      </c>
      <c r="EX8" s="29" t="str">
        <f>IF(ISBLANK([1]fixtures!$L46),"",IF(EU8&gt;EW8,"W",IF(EU8=EW8,"D","L")))</f>
        <v>W</v>
      </c>
      <c r="EY8" s="29"/>
      <c r="EZ8" s="29"/>
      <c r="FA8" s="27">
        <v>16</v>
      </c>
      <c r="FB8" s="26" t="s">
        <v>39</v>
      </c>
      <c r="FC8" s="189" t="str">
        <f ca="1">IFERROR(INDIRECT("fixtures!" &amp; [1]Dashboard!J1 &amp;44) - [1]Dashboard!K1/24,"TBC")</f>
        <v>TBC</v>
      </c>
      <c r="FD8" s="26"/>
      <c r="FE8" s="26" t="s">
        <v>25</v>
      </c>
      <c r="FF8" s="26" t="s">
        <v>21</v>
      </c>
      <c r="FG8" s="27">
        <f>IF(ISBLANK([1]fixtures!$K44),"",[1]fixtures!$K44)</f>
        <v>1</v>
      </c>
      <c r="FH8" s="26" t="str">
        <f>IF(ISBLANK([1]fixtures!$L44),"",":")</f>
        <v>:</v>
      </c>
      <c r="FI8" s="28">
        <f>IF(ISBLANK([1]fixtures!$L44),"",[1]fixtures!$L44)</f>
        <v>3</v>
      </c>
      <c r="FJ8" s="26" t="str">
        <f>IF(ISBLANK([1]fixtures!$L44),"",IF(FG8&gt;FI8,"W",IF(FG8=FI8,"D","L")))</f>
        <v>L</v>
      </c>
      <c r="FK8" s="26"/>
      <c r="FL8" s="26"/>
      <c r="FM8" s="24">
        <v>16</v>
      </c>
      <c r="FN8" s="23" t="s">
        <v>39</v>
      </c>
      <c r="FO8" s="161" t="str">
        <f ca="1">IFERROR(INDIRECT("fixtures!" &amp; [1]Dashboard!J1 &amp;47) - [1]Dashboard!K1/24,"TBC")</f>
        <v>TBC</v>
      </c>
      <c r="FP8" s="23"/>
      <c r="FQ8" s="23" t="s">
        <v>24</v>
      </c>
      <c r="FR8" s="23" t="s">
        <v>21</v>
      </c>
      <c r="FS8" s="24">
        <f>IF(ISBLANK([1]fixtures!$K47),"",[1]fixtures!$K47)</f>
        <v>1</v>
      </c>
      <c r="FT8" s="23" t="str">
        <f>IF(ISBLANK([1]fixtures!$L47),"",":")</f>
        <v>:</v>
      </c>
      <c r="FU8" s="25">
        <f>IF(ISBLANK([1]fixtures!$L47),"",[1]fixtures!$L47)</f>
        <v>0</v>
      </c>
      <c r="FV8" s="23" t="str">
        <f>IF(ISBLANK([1]fixtures!$L47),"",IF(FS8&gt;FU8,"W",IF(FS8=FU8,"D","L")))</f>
        <v>W</v>
      </c>
      <c r="FW8" s="23"/>
      <c r="FX8" s="23"/>
      <c r="FY8" s="21">
        <v>18</v>
      </c>
      <c r="FZ8" s="20" t="s">
        <v>42</v>
      </c>
      <c r="GA8" s="159" t="str">
        <f ca="1">IFERROR(INDIRECT("fixtures!" &amp; [1]Dashboard!J1 &amp;50) - [1]Dashboard!K1/24,"TBC")</f>
        <v>TBC</v>
      </c>
      <c r="GB8" s="20"/>
      <c r="GC8" s="20" t="s">
        <v>23</v>
      </c>
      <c r="GD8" s="20" t="s">
        <v>21</v>
      </c>
      <c r="GE8" s="21">
        <f>IF(ISBLANK([1]fixtures!$K50),"",[1]fixtures!$K50)</f>
        <v>1</v>
      </c>
      <c r="GF8" s="20" t="str">
        <f>IF(ISBLANK([1]fixtures!$L50),"",":")</f>
        <v>:</v>
      </c>
      <c r="GG8" s="22">
        <f>IF(ISBLANK([1]fixtures!$L50),"",[1]fixtures!$L50)</f>
        <v>1</v>
      </c>
      <c r="GH8" s="20" t="str">
        <f>IF(ISBLANK([1]fixtures!$L50),"",IF(GE8&gt;GG8,"W",IF(GE8=GG8,"D","L")))</f>
        <v>D</v>
      </c>
      <c r="GI8" s="20"/>
      <c r="GJ8" s="20"/>
      <c r="GK8" s="18">
        <v>16</v>
      </c>
      <c r="GL8" s="17" t="s">
        <v>39</v>
      </c>
      <c r="GM8" s="157" t="str">
        <f ca="1">IFERROR(INDIRECT("fixtures!" &amp; [1]Dashboard!J1 &amp;45) - [1]Dashboard!K1/24,"TBC")</f>
        <v>TBC</v>
      </c>
      <c r="GN8" s="17"/>
      <c r="GO8" s="17" t="s">
        <v>22</v>
      </c>
      <c r="GP8" s="17" t="s">
        <v>16</v>
      </c>
      <c r="GQ8" s="18">
        <f>IF(ISBLANK([1]fixtures!$L45),"",[1]fixtures!$L45)</f>
        <v>1</v>
      </c>
      <c r="GR8" s="17" t="str">
        <f>IF(ISBLANK([1]fixtures!$L45),"",":")</f>
        <v>:</v>
      </c>
      <c r="GS8" s="19">
        <f>IF(ISBLANK([1]fixtures!$K45),"",[1]fixtures!$K45)</f>
        <v>2</v>
      </c>
      <c r="GT8" s="17" t="str">
        <f>IF(ISBLANK([1]fixtures!$L45),"",IF(GQ8&gt;GS8,"W",IF(GQ8=GS8,"D","L")))</f>
        <v>L</v>
      </c>
      <c r="GU8" s="17"/>
      <c r="GV8" s="17"/>
      <c r="GW8" s="15">
        <v>16</v>
      </c>
      <c r="GX8" s="14" t="s">
        <v>39</v>
      </c>
      <c r="GY8" s="155" t="str">
        <f ca="1">IFERROR(INDIRECT("fixtures!" &amp; [1]Dashboard!J1 &amp;45) - [1]Dashboard!K1/24,"TBC")</f>
        <v>TBC</v>
      </c>
      <c r="GZ8" s="14"/>
      <c r="HA8" s="14" t="s">
        <v>20</v>
      </c>
      <c r="HB8" s="14" t="s">
        <v>21</v>
      </c>
      <c r="HC8" s="15">
        <f>IF(ISBLANK([1]fixtures!$K45),"",[1]fixtures!$K45)</f>
        <v>2</v>
      </c>
      <c r="HD8" s="14" t="str">
        <f>IF(ISBLANK([1]fixtures!$L45),"",":")</f>
        <v>:</v>
      </c>
      <c r="HE8" s="16">
        <f>IF(ISBLANK([1]fixtures!$L45),"",[1]fixtures!$L45)</f>
        <v>1</v>
      </c>
      <c r="HF8" s="14" t="str">
        <f>IF(ISBLANK([1]fixtures!$L45),"",IF(HC8&gt;HE8,"W",IF(HC8=HE8,"D","L")))</f>
        <v>W</v>
      </c>
      <c r="HG8" s="14"/>
      <c r="HH8" s="14"/>
      <c r="HI8" s="12">
        <v>16</v>
      </c>
      <c r="HJ8" s="11" t="s">
        <v>39</v>
      </c>
      <c r="HK8" s="153" t="str">
        <f ca="1">IFERROR(INDIRECT("fixtures!" &amp; [1]Dashboard!J1 &amp;46) - [1]Dashboard!K1/24,"TBC")</f>
        <v>TBC</v>
      </c>
      <c r="HL8" s="11"/>
      <c r="HM8" s="11" t="s">
        <v>19</v>
      </c>
      <c r="HN8" s="11" t="s">
        <v>21</v>
      </c>
      <c r="HO8" s="12">
        <f>IF(ISBLANK([1]fixtures!$K46),"",[1]fixtures!$K46)</f>
        <v>1</v>
      </c>
      <c r="HP8" s="11" t="str">
        <f>IF(ISBLANK([1]fixtures!$L46),"",":")</f>
        <v>:</v>
      </c>
      <c r="HQ8" s="13">
        <f>IF(ISBLANK([1]fixtures!$L46),"",[1]fixtures!$L46)</f>
        <v>3</v>
      </c>
      <c r="HR8" s="11" t="str">
        <f>IF(ISBLANK([1]fixtures!$L46),"",IF(HO8&gt;HQ8,"W",IF(HO8=HQ8,"D","L")))</f>
        <v>L</v>
      </c>
      <c r="HS8" s="11"/>
      <c r="HT8" s="11"/>
      <c r="HU8" s="9">
        <v>16</v>
      </c>
      <c r="HV8" s="8" t="s">
        <v>39</v>
      </c>
      <c r="HW8" s="151" t="str">
        <f ca="1">IFERROR(INDIRECT("fixtures!" &amp; [1]Dashboard!J1 &amp;41) - [1]Dashboard!K1/24,"TBC")</f>
        <v>TBC</v>
      </c>
      <c r="HX8" s="8"/>
      <c r="HY8" s="8" t="s">
        <v>17</v>
      </c>
      <c r="HZ8" s="8" t="s">
        <v>21</v>
      </c>
      <c r="IA8" s="9">
        <f>IF(ISBLANK([1]fixtures!$K41),"",[1]fixtures!$K41)</f>
        <v>1</v>
      </c>
      <c r="IB8" s="8" t="str">
        <f>IF(ISBLANK([1]fixtures!$L41),"",":")</f>
        <v>:</v>
      </c>
      <c r="IC8" s="10">
        <f>IF(ISBLANK([1]fixtures!$L41),"",[1]fixtures!$L41)</f>
        <v>3</v>
      </c>
      <c r="ID8" s="8" t="str">
        <f>IF(ISBLANK([1]fixtures!$L41),"",IF(IA8&gt;IC8,"W",IF(IA8=IC8,"D","L")))</f>
        <v>L</v>
      </c>
      <c r="IE8" s="8"/>
      <c r="IF8" s="8"/>
      <c r="II8" s="7"/>
    </row>
    <row r="9" spans="1:243" x14ac:dyDescent="0.25">
      <c r="A9" s="67">
        <v>24</v>
      </c>
      <c r="B9" s="66" t="s">
        <v>18</v>
      </c>
      <c r="C9" s="187" t="str">
        <f ca="1">IFERROR(INDIRECT("fixtures!" &amp; [1]Dashboard!J1 &amp;56) - [1]Dashboard!K1/24,"TBC")</f>
        <v>TBC</v>
      </c>
      <c r="D9" s="66"/>
      <c r="E9" s="66" t="s">
        <v>22</v>
      </c>
      <c r="F9" s="66" t="s">
        <v>21</v>
      </c>
      <c r="G9" s="67">
        <f>IF(ISBLANK([1]fixtures!$K56),"",[1]fixtures!$K56)</f>
        <v>2</v>
      </c>
      <c r="H9" s="66" t="str">
        <f>IF(ISBLANK([1]fixtures!$L56),"",":")</f>
        <v>:</v>
      </c>
      <c r="I9" s="68">
        <f>IF(ISBLANK([1]fixtures!$L56),"",[1]fixtures!$L56)</f>
        <v>2</v>
      </c>
      <c r="J9" s="66" t="str">
        <f>IF(ISBLANK([1]fixtures!$L56),"",IF(G9&gt;I9,"W",IF(G9=I9,"D","L")))</f>
        <v>D</v>
      </c>
      <c r="K9" s="66"/>
      <c r="L9" s="66"/>
      <c r="M9" s="63">
        <v>24</v>
      </c>
      <c r="N9" s="62" t="s">
        <v>18</v>
      </c>
      <c r="O9" s="185" t="str">
        <f ca="1">IFERROR(INDIRECT("fixtures!" &amp; [1]Dashboard!J1 &amp;58) - [1]Dashboard!K1/24,"TBC")</f>
        <v>TBC</v>
      </c>
      <c r="P9" s="62"/>
      <c r="Q9" s="62" t="s">
        <v>36</v>
      </c>
      <c r="R9" s="62" t="s">
        <v>16</v>
      </c>
      <c r="S9" s="63">
        <f>IF(ISBLANK([1]fixtures!$L58),"",[1]fixtures!$L58)</f>
        <v>1</v>
      </c>
      <c r="T9" s="62" t="str">
        <f>IF(ISBLANK([1]fixtures!$L58),"",":")</f>
        <v>:</v>
      </c>
      <c r="U9" s="64">
        <f>IF(ISBLANK([1]fixtures!$K58),"",[1]fixtures!$K58)</f>
        <v>0</v>
      </c>
      <c r="V9" s="62" t="str">
        <f>IF(ISBLANK([1]fixtures!$L58),"",IF(S9&gt;U9,"W",IF(S9=U9,"D","L")))</f>
        <v>W</v>
      </c>
      <c r="W9" s="62"/>
      <c r="X9" s="62"/>
      <c r="Y9" s="60">
        <v>24</v>
      </c>
      <c r="Z9" s="59" t="s">
        <v>18</v>
      </c>
      <c r="AA9" s="183" t="str">
        <f ca="1">IFERROR(INDIRECT("fixtures!" &amp; [1]Dashboard!J1 &amp;57) - [1]Dashboard!K1/24,"TBC")</f>
        <v>TBC</v>
      </c>
      <c r="AB9" s="59"/>
      <c r="AC9" s="59" t="s">
        <v>25</v>
      </c>
      <c r="AD9" s="59" t="s">
        <v>16</v>
      </c>
      <c r="AE9" s="60">
        <f>IF(ISBLANK([1]fixtures!$L57),"",[1]fixtures!$L57)</f>
        <v>1</v>
      </c>
      <c r="AF9" s="59" t="str">
        <f>IF(ISBLANK([1]fixtures!$L57),"",":")</f>
        <v>:</v>
      </c>
      <c r="AG9" s="61">
        <f>IF(ISBLANK([1]fixtures!$K57),"",[1]fixtures!$K57)</f>
        <v>3</v>
      </c>
      <c r="AH9" s="59" t="str">
        <f>IF(ISBLANK([1]fixtures!$L57),"",IF(AE9&gt;AG9,"W",IF(AE9=AG9,"D","L")))</f>
        <v>L</v>
      </c>
      <c r="AI9" s="59"/>
      <c r="AJ9" s="59"/>
      <c r="AK9" s="57">
        <v>23</v>
      </c>
      <c r="AL9" s="56" t="s">
        <v>39</v>
      </c>
      <c r="AM9" s="181" t="str">
        <f ca="1">IFERROR(INDIRECT("fixtures!" &amp; [1]Dashboard!J1 &amp;54) - [1]Dashboard!K1/24,"TBC")</f>
        <v>TBC</v>
      </c>
      <c r="AN9" s="56"/>
      <c r="AO9" s="56" t="s">
        <v>38</v>
      </c>
      <c r="AP9" s="56" t="s">
        <v>21</v>
      </c>
      <c r="AQ9" s="57">
        <f>IF(ISBLANK([1]fixtures!$K54),"",[1]fixtures!$K54)</f>
        <v>1</v>
      </c>
      <c r="AR9" s="56" t="str">
        <f>IF(ISBLANK([1]fixtures!$L54),"",":")</f>
        <v>:</v>
      </c>
      <c r="AS9" s="58">
        <f>IF(ISBLANK([1]fixtures!$L54),"",[1]fixtures!$L54)</f>
        <v>3</v>
      </c>
      <c r="AT9" s="56" t="str">
        <f>IF(ISBLANK([1]fixtures!$L54),"",IF(AQ9&gt;AS9,"W",IF(AQ9=AS9,"D","L")))</f>
        <v>L</v>
      </c>
      <c r="AU9" s="56"/>
      <c r="AV9" s="56"/>
      <c r="AW9" s="54">
        <v>24</v>
      </c>
      <c r="AX9" s="53" t="s">
        <v>18</v>
      </c>
      <c r="AY9" s="179" t="str">
        <f ca="1">IFERROR(INDIRECT("fixtures!" &amp; [1]Dashboard!J1 &amp;57) - [1]Dashboard!K1/24,"TBC")</f>
        <v>TBC</v>
      </c>
      <c r="AZ9" s="53"/>
      <c r="BA9" s="53" t="s">
        <v>32</v>
      </c>
      <c r="BB9" s="53" t="s">
        <v>21</v>
      </c>
      <c r="BC9" s="54">
        <f>IF(ISBLANK([1]fixtures!$K57),"",[1]fixtures!$K57)</f>
        <v>3</v>
      </c>
      <c r="BD9" s="53" t="str">
        <f>IF(ISBLANK([1]fixtures!$L57),"",":")</f>
        <v>:</v>
      </c>
      <c r="BE9" s="55">
        <f>IF(ISBLANK([1]fixtures!$L57),"",[1]fixtures!$L57)</f>
        <v>1</v>
      </c>
      <c r="BF9" s="53" t="str">
        <f>IF(ISBLANK([1]fixtures!$L57),"",IF(BC9&gt;BE9,"W",IF(BC9=BE9,"D","L")))</f>
        <v>W</v>
      </c>
      <c r="BG9" s="53"/>
      <c r="BH9" s="53"/>
      <c r="BI9" s="51">
        <v>30</v>
      </c>
      <c r="BJ9" s="50" t="s">
        <v>39</v>
      </c>
      <c r="BK9" s="177" t="str">
        <f ca="1">IFERROR(INDIRECT("fixtures!" &amp; [1]Dashboard!J1 &amp;65) - [1]Dashboard!K1/24,"TBC")</f>
        <v>TBC</v>
      </c>
      <c r="BL9" s="50"/>
      <c r="BM9" s="50" t="s">
        <v>35</v>
      </c>
      <c r="BN9" s="50" t="s">
        <v>16</v>
      </c>
      <c r="BO9" s="51">
        <f>IF(ISBLANK([1]fixtures!$L65),"",[1]fixtures!$L65)</f>
        <v>0</v>
      </c>
      <c r="BP9" s="50" t="str">
        <f>IF(ISBLANK([1]fixtures!$L65),"",":")</f>
        <v>:</v>
      </c>
      <c r="BQ9" s="52">
        <f>IF(ISBLANK([1]fixtures!$K65),"",[1]fixtures!$K65)</f>
        <v>2</v>
      </c>
      <c r="BR9" s="50" t="str">
        <f>IF(ISBLANK([1]fixtures!$L65),"",IF(BO9&gt;BQ9,"W",IF(BO9=BQ9,"D","L")))</f>
        <v>L</v>
      </c>
      <c r="BS9" s="50"/>
      <c r="BT9" s="50"/>
      <c r="BU9" s="48">
        <v>24</v>
      </c>
      <c r="BV9" s="47" t="s">
        <v>18</v>
      </c>
      <c r="BW9" s="175" t="str">
        <f ca="1">IFERROR(INDIRECT("fixtures!" &amp; [1]Dashboard!J1 &amp;58) - [1]Dashboard!K1/24,"TBC")</f>
        <v>TBC</v>
      </c>
      <c r="BX9" s="47"/>
      <c r="BY9" s="47" t="s">
        <v>31</v>
      </c>
      <c r="BZ9" s="47" t="s">
        <v>21</v>
      </c>
      <c r="CA9" s="48">
        <f>IF(ISBLANK([1]fixtures!$K58),"",[1]fixtures!$K58)</f>
        <v>0</v>
      </c>
      <c r="CB9" s="47" t="str">
        <f>IF(ISBLANK([1]fixtures!$L58),"",":")</f>
        <v>:</v>
      </c>
      <c r="CC9" s="49">
        <f>IF(ISBLANK([1]fixtures!$L58),"",[1]fixtures!$L58)</f>
        <v>1</v>
      </c>
      <c r="CD9" s="47" t="str">
        <f>IF(ISBLANK([1]fixtures!$L58),"",IF(CA9&gt;CC9,"W",IF(CA9=CC9,"D","L")))</f>
        <v>L</v>
      </c>
      <c r="CE9" s="47"/>
      <c r="CF9" s="47"/>
      <c r="CG9" s="45">
        <v>23</v>
      </c>
      <c r="CH9" s="44" t="s">
        <v>39</v>
      </c>
      <c r="CI9" s="173" t="str">
        <f ca="1">IFERROR(INDIRECT("fixtures!" &amp; [1]Dashboard!J1 &amp;51) - [1]Dashboard!K1/24,"TBC")</f>
        <v>TBC</v>
      </c>
      <c r="CJ9" s="44"/>
      <c r="CK9" s="44" t="s">
        <v>27</v>
      </c>
      <c r="CL9" s="44" t="s">
        <v>21</v>
      </c>
      <c r="CM9" s="45">
        <f>IF(ISBLANK([1]fixtures!$K51),"",[1]fixtures!$K51)</f>
        <v>0</v>
      </c>
      <c r="CN9" s="44" t="str">
        <f>IF(ISBLANK([1]fixtures!$L51),"",":")</f>
        <v>:</v>
      </c>
      <c r="CO9" s="46">
        <f>IF(ISBLANK([1]fixtures!$L51),"",[1]fixtures!$L51)</f>
        <v>0</v>
      </c>
      <c r="CP9" s="44" t="str">
        <f>IF(ISBLANK([1]fixtures!$L51),"",IF(CM9&gt;CO9,"W",IF(CM9=CO9,"D","L")))</f>
        <v>D</v>
      </c>
      <c r="CQ9" s="44"/>
      <c r="CR9" s="44"/>
      <c r="CS9" s="42">
        <v>23</v>
      </c>
      <c r="CT9" s="41" t="s">
        <v>39</v>
      </c>
      <c r="CU9" s="171" t="str">
        <f ca="1">IFERROR(INDIRECT("fixtures!" &amp; [1]Dashboard!J1 &amp;54) - [1]Dashboard!K1/24,"TBC")</f>
        <v>TBC</v>
      </c>
      <c r="CV9" s="41"/>
      <c r="CW9" s="41" t="s">
        <v>24</v>
      </c>
      <c r="CX9" s="41" t="s">
        <v>16</v>
      </c>
      <c r="CY9" s="42">
        <f>IF(ISBLANK([1]fixtures!$L54),"",[1]fixtures!$L54)</f>
        <v>3</v>
      </c>
      <c r="CZ9" s="41" t="str">
        <f>IF(ISBLANK([1]fixtures!$L54),"",":")</f>
        <v>:</v>
      </c>
      <c r="DA9" s="43">
        <f>IF(ISBLANK([1]fixtures!$K54),"",[1]fixtures!$K54)</f>
        <v>1</v>
      </c>
      <c r="DB9" s="41" t="str">
        <f>IF(ISBLANK([1]fixtures!$L54),"",IF(CY9&gt;DA9,"W",IF(CY9=DA9,"D","L")))</f>
        <v>W</v>
      </c>
      <c r="DC9" s="41"/>
      <c r="DD9" s="41"/>
      <c r="DE9" s="39">
        <v>23</v>
      </c>
      <c r="DF9" s="38" t="s">
        <v>39</v>
      </c>
      <c r="DG9" s="169" t="str">
        <f ca="1">IFERROR(INDIRECT("fixtures!" &amp; [1]Dashboard!J1 &amp;51) - [1]Dashboard!K1/24,"TBC")</f>
        <v>TBC</v>
      </c>
      <c r="DH9" s="38"/>
      <c r="DI9" s="38" t="s">
        <v>37</v>
      </c>
      <c r="DJ9" s="38" t="s">
        <v>16</v>
      </c>
      <c r="DK9" s="39">
        <f>IF(ISBLANK([1]fixtures!$L51),"",[1]fixtures!$L51)</f>
        <v>0</v>
      </c>
      <c r="DL9" s="38" t="str">
        <f>IF(ISBLANK([1]fixtures!$L51),"",":")</f>
        <v>:</v>
      </c>
      <c r="DM9" s="40">
        <f>IF(ISBLANK([1]fixtures!$K51),"",[1]fixtures!$K51)</f>
        <v>0</v>
      </c>
      <c r="DN9" s="38" t="str">
        <f>IF(ISBLANK([1]fixtures!$L51),"",IF(DK9&gt;DM9,"W",IF(DK9=DM9,"D","L")))</f>
        <v>D</v>
      </c>
      <c r="DO9" s="38"/>
      <c r="DP9" s="38"/>
      <c r="DQ9" s="36">
        <v>24</v>
      </c>
      <c r="DR9" s="35" t="s">
        <v>18</v>
      </c>
      <c r="DS9" s="167" t="str">
        <f ca="1">IFERROR(INDIRECT("fixtures!" &amp; [1]Dashboard!J1 &amp;59) - [1]Dashboard!K1/24,"TBC")</f>
        <v>TBC</v>
      </c>
      <c r="DT9" s="35"/>
      <c r="DU9" s="35" t="s">
        <v>26</v>
      </c>
      <c r="DV9" s="35" t="s">
        <v>21</v>
      </c>
      <c r="DW9" s="36">
        <f>IF(ISBLANK([1]fixtures!$K59),"",[1]fixtures!$K59)</f>
        <v>3</v>
      </c>
      <c r="DX9" s="35" t="str">
        <f>IF(ISBLANK([1]fixtures!$L59),"",":")</f>
        <v>:</v>
      </c>
      <c r="DY9" s="37">
        <f>IF(ISBLANK([1]fixtures!$L59),"",[1]fixtures!$L59)</f>
        <v>1</v>
      </c>
      <c r="DZ9" s="35" t="str">
        <f>IF(ISBLANK([1]fixtures!$L59),"",IF(DW9&gt;DY9,"W",IF(DW9=DY9,"D","L")))</f>
        <v>W</v>
      </c>
      <c r="EA9" s="35"/>
      <c r="EB9" s="35"/>
      <c r="EC9" s="33">
        <v>30</v>
      </c>
      <c r="ED9" s="32" t="s">
        <v>39</v>
      </c>
      <c r="EE9" s="190" t="str">
        <f ca="1">IFERROR(INDIRECT("fixtures!" &amp; [1]Dashboard!J1 &amp;63) - [1]Dashboard!K1/24,"TBC")</f>
        <v>TBC</v>
      </c>
      <c r="EF9" s="32"/>
      <c r="EG9" s="32" t="s">
        <v>38</v>
      </c>
      <c r="EH9" s="32" t="s">
        <v>16</v>
      </c>
      <c r="EI9" s="33">
        <f>IF(ISBLANK([1]fixtures!$L63),"",[1]fixtures!$L63)</f>
        <v>2</v>
      </c>
      <c r="EJ9" s="32" t="str">
        <f>IF(ISBLANK([1]fixtures!$L63),"",":")</f>
        <v>:</v>
      </c>
      <c r="EK9" s="34">
        <f>IF(ISBLANK([1]fixtures!$K63),"",[1]fixtures!$K63)</f>
        <v>1</v>
      </c>
      <c r="EL9" s="32" t="str">
        <f>IF(ISBLANK([1]fixtures!$L63),"",IF(EI9&gt;EK9,"W",IF(EI9=EK9,"D","L")))</f>
        <v>W</v>
      </c>
      <c r="EM9" s="32"/>
      <c r="EN9" s="32"/>
      <c r="EO9" s="30">
        <v>23</v>
      </c>
      <c r="EP9" s="29" t="s">
        <v>39</v>
      </c>
      <c r="EQ9" s="164" t="str">
        <f ca="1">IFERROR(INDIRECT("fixtures!" &amp; [1]Dashboard!J1 &amp;53) - [1]Dashboard!K1/24,"TBC")</f>
        <v>TBC</v>
      </c>
      <c r="ER9" s="29"/>
      <c r="ES9" s="29" t="s">
        <v>33</v>
      </c>
      <c r="ET9" s="29" t="s">
        <v>21</v>
      </c>
      <c r="EU9" s="30">
        <f>IF(ISBLANK([1]fixtures!$K53),"",[1]fixtures!$K53)</f>
        <v>2</v>
      </c>
      <c r="EV9" s="29" t="str">
        <f>IF(ISBLANK([1]fixtures!$L53),"",":")</f>
        <v>:</v>
      </c>
      <c r="EW9" s="31">
        <f>IF(ISBLANK([1]fixtures!$L53),"",[1]fixtures!$L53)</f>
        <v>0</v>
      </c>
      <c r="EX9" s="29" t="str">
        <f>IF(ISBLANK([1]fixtures!$L53),"",IF(EU9&gt;EW9,"W",IF(EU9=EW9,"D","L")))</f>
        <v>W</v>
      </c>
      <c r="EY9" s="29"/>
      <c r="EZ9" s="29"/>
      <c r="FA9" s="27">
        <v>23</v>
      </c>
      <c r="FB9" s="26" t="s">
        <v>39</v>
      </c>
      <c r="FC9" s="189" t="str">
        <f ca="1">IFERROR(INDIRECT("fixtures!" &amp; [1]Dashboard!J1 &amp;55) - [1]Dashboard!K1/24,"TBC")</f>
        <v>TBC</v>
      </c>
      <c r="FD9" s="26"/>
      <c r="FE9" s="26" t="s">
        <v>23</v>
      </c>
      <c r="FF9" s="26" t="s">
        <v>16</v>
      </c>
      <c r="FG9" s="27">
        <f>IF(ISBLANK([1]fixtures!$L55),"",[1]fixtures!$L55)</f>
        <v>1</v>
      </c>
      <c r="FH9" s="26" t="str">
        <f>IF(ISBLANK([1]fixtures!$L55),"",":")</f>
        <v>:</v>
      </c>
      <c r="FI9" s="28">
        <f>IF(ISBLANK([1]fixtures!$K55),"",[1]fixtures!$K55)</f>
        <v>0</v>
      </c>
      <c r="FJ9" s="26" t="str">
        <f>IF(ISBLANK([1]fixtures!$L55),"",IF(FG9&gt;FI9,"W",IF(FG9=FI9,"D","L")))</f>
        <v>W</v>
      </c>
      <c r="FK9" s="26"/>
      <c r="FL9" s="26"/>
      <c r="FM9" s="24">
        <v>24</v>
      </c>
      <c r="FN9" s="23" t="s">
        <v>18</v>
      </c>
      <c r="FO9" s="161" t="str">
        <f ca="1">IFERROR(INDIRECT("fixtures!" &amp; [1]Dashboard!J1 &amp;60) - [1]Dashboard!K1/24,"TBC")</f>
        <v>TBC</v>
      </c>
      <c r="FP9" s="23"/>
      <c r="FQ9" s="23" t="s">
        <v>20</v>
      </c>
      <c r="FR9" s="23" t="s">
        <v>16</v>
      </c>
      <c r="FS9" s="24">
        <f>IF(ISBLANK([1]fixtures!$L60),"",[1]fixtures!$L60)</f>
        <v>8</v>
      </c>
      <c r="FT9" s="23" t="str">
        <f>IF(ISBLANK([1]fixtures!$L60),"",":")</f>
        <v>:</v>
      </c>
      <c r="FU9" s="25">
        <f>IF(ISBLANK([1]fixtures!$K60),"",[1]fixtures!$K60)</f>
        <v>0</v>
      </c>
      <c r="FV9" s="23" t="str">
        <f>IF(ISBLANK([1]fixtures!$L60),"",IF(FS9&gt;FU9,"W",IF(FS9=FU9,"D","L")))</f>
        <v>W</v>
      </c>
      <c r="FW9" s="23"/>
      <c r="FX9" s="23"/>
      <c r="FY9" s="21">
        <v>23</v>
      </c>
      <c r="FZ9" s="20" t="s">
        <v>39</v>
      </c>
      <c r="GA9" s="159" t="str">
        <f ca="1">IFERROR(INDIRECT("fixtures!" &amp; [1]Dashboard!J1 &amp;53) - [1]Dashboard!K1/24,"TBC")</f>
        <v>TBC</v>
      </c>
      <c r="GB9" s="20"/>
      <c r="GC9" s="20" t="s">
        <v>19</v>
      </c>
      <c r="GD9" s="20" t="s">
        <v>16</v>
      </c>
      <c r="GE9" s="21">
        <f>IF(ISBLANK([1]fixtures!$L53),"",[1]fixtures!$L53)</f>
        <v>0</v>
      </c>
      <c r="GF9" s="20" t="str">
        <f>IF(ISBLANK([1]fixtures!$L53),"",":")</f>
        <v>:</v>
      </c>
      <c r="GG9" s="22">
        <f>IF(ISBLANK([1]fixtures!$K53),"",[1]fixtures!$K53)</f>
        <v>2</v>
      </c>
      <c r="GH9" s="20" t="str">
        <f>IF(ISBLANK([1]fixtures!$L53),"",IF(GE9&gt;GG9,"W",IF(GE9=GG9,"D","L")))</f>
        <v>L</v>
      </c>
      <c r="GI9" s="20"/>
      <c r="GJ9" s="20"/>
      <c r="GK9" s="18">
        <v>24</v>
      </c>
      <c r="GL9" s="17" t="s">
        <v>18</v>
      </c>
      <c r="GM9" s="157" t="str">
        <f ca="1">IFERROR(INDIRECT("fixtures!" &amp; [1]Dashboard!J1 &amp;60) - [1]Dashboard!K1/24,"TBC")</f>
        <v>TBC</v>
      </c>
      <c r="GN9" s="17"/>
      <c r="GO9" s="17" t="s">
        <v>35</v>
      </c>
      <c r="GP9" s="17" t="s">
        <v>21</v>
      </c>
      <c r="GQ9" s="18">
        <f>IF(ISBLANK([1]fixtures!$K60),"",[1]fixtures!$K60)</f>
        <v>0</v>
      </c>
      <c r="GR9" s="17" t="str">
        <f>IF(ISBLANK([1]fixtures!$L60),"",":")</f>
        <v>:</v>
      </c>
      <c r="GS9" s="19">
        <f>IF(ISBLANK([1]fixtures!$L60),"",[1]fixtures!$L60)</f>
        <v>8</v>
      </c>
      <c r="GT9" s="17" t="str">
        <f>IF(ISBLANK([1]fixtures!$L60),"",IF(GQ9&gt;GS9,"W",IF(GQ9=GS9,"D","L")))</f>
        <v>L</v>
      </c>
      <c r="GU9" s="17"/>
      <c r="GV9" s="17"/>
      <c r="GW9" s="15">
        <v>24</v>
      </c>
      <c r="GX9" s="14" t="s">
        <v>18</v>
      </c>
      <c r="GY9" s="155" t="str">
        <f ca="1">IFERROR(INDIRECT("fixtures!" &amp; [1]Dashboard!J1 &amp;56) - [1]Dashboard!K1/24,"TBC")</f>
        <v>TBC</v>
      </c>
      <c r="GZ9" s="14"/>
      <c r="HA9" s="14" t="s">
        <v>30</v>
      </c>
      <c r="HB9" s="14" t="s">
        <v>16</v>
      </c>
      <c r="HC9" s="15">
        <f>IF(ISBLANK([1]fixtures!$L56),"",[1]fixtures!$L56)</f>
        <v>2</v>
      </c>
      <c r="HD9" s="14" t="str">
        <f>IF(ISBLANK([1]fixtures!$L56),"",":")</f>
        <v>:</v>
      </c>
      <c r="HE9" s="16">
        <f>IF(ISBLANK([1]fixtures!$K56),"",[1]fixtures!$K56)</f>
        <v>2</v>
      </c>
      <c r="HF9" s="14" t="str">
        <f>IF(ISBLANK([1]fixtures!$L56),"",IF(HC9&gt;HE9,"W",IF(HC9=HE9,"D","L")))</f>
        <v>D</v>
      </c>
      <c r="HG9" s="14"/>
      <c r="HH9" s="14"/>
      <c r="HI9" s="12">
        <v>24</v>
      </c>
      <c r="HJ9" s="11" t="s">
        <v>18</v>
      </c>
      <c r="HK9" s="153" t="str">
        <f ca="1">IFERROR(INDIRECT("fixtures!" &amp; [1]Dashboard!J1 &amp;59) - [1]Dashboard!K1/24,"TBC")</f>
        <v>TBC</v>
      </c>
      <c r="HL9" s="11"/>
      <c r="HM9" s="11" t="s">
        <v>17</v>
      </c>
      <c r="HN9" s="11" t="s">
        <v>16</v>
      </c>
      <c r="HO9" s="12">
        <f>IF(ISBLANK([1]fixtures!$L59),"",[1]fixtures!$L59)</f>
        <v>1</v>
      </c>
      <c r="HP9" s="11" t="str">
        <f>IF(ISBLANK([1]fixtures!$L59),"",":")</f>
        <v>:</v>
      </c>
      <c r="HQ9" s="13">
        <f>IF(ISBLANK([1]fixtures!$K59),"",[1]fixtures!$K59)</f>
        <v>3</v>
      </c>
      <c r="HR9" s="11" t="str">
        <f>IF(ISBLANK([1]fixtures!$L59),"",IF(HO9&gt;HQ9,"W",IF(HO9=HQ9,"D","L")))</f>
        <v>L</v>
      </c>
      <c r="HS9" s="11"/>
      <c r="HT9" s="11"/>
      <c r="HU9" s="9">
        <v>23</v>
      </c>
      <c r="HV9" s="8" t="s">
        <v>39</v>
      </c>
      <c r="HW9" s="151" t="str">
        <f ca="1">IFERROR(INDIRECT("fixtures!" &amp; [1]Dashboard!J1 &amp;52) - [1]Dashboard!K1/24,"TBC")</f>
        <v>TBC</v>
      </c>
      <c r="HX9" s="8"/>
      <c r="HY9" s="8" t="s">
        <v>29</v>
      </c>
      <c r="HZ9" s="8" t="s">
        <v>16</v>
      </c>
      <c r="IA9" s="9">
        <f>IF(ISBLANK([1]fixtures!$L52),"",[1]fixtures!$L52)</f>
        <v>1</v>
      </c>
      <c r="IB9" s="8" t="str">
        <f>IF(ISBLANK([1]fixtures!$L52),"",":")</f>
        <v>:</v>
      </c>
      <c r="IC9" s="10">
        <f>IF(ISBLANK([1]fixtures!$K52),"",[1]fixtures!$K52)</f>
        <v>1</v>
      </c>
      <c r="ID9" s="8" t="str">
        <f>IF(ISBLANK([1]fixtures!$L52),"",IF(IA9&gt;IC9,"W",IF(IA9=IC9,"D","L")))</f>
        <v>D</v>
      </c>
      <c r="IE9" s="8"/>
      <c r="IF9" s="8"/>
      <c r="II9" s="7"/>
    </row>
    <row r="10" spans="1:243" x14ac:dyDescent="0.25">
      <c r="A10" s="67">
        <v>30</v>
      </c>
      <c r="B10" s="66" t="s">
        <v>39</v>
      </c>
      <c r="C10" s="187" t="str">
        <f ca="1">IFERROR(INDIRECT("fixtures!" &amp; [1]Dashboard!J1 &amp;62) - [1]Dashboard!K1/24,"TBC")</f>
        <v>TBC</v>
      </c>
      <c r="D10" s="66"/>
      <c r="E10" s="66" t="s">
        <v>32</v>
      </c>
      <c r="F10" s="66" t="s">
        <v>16</v>
      </c>
      <c r="G10" s="67">
        <f>IF(ISBLANK([1]fixtures!$L62),"",[1]fixtures!$L62)</f>
        <v>4</v>
      </c>
      <c r="H10" s="66" t="str">
        <f>IF(ISBLANK([1]fixtures!$L62),"",":")</f>
        <v>:</v>
      </c>
      <c r="I10" s="68">
        <f>IF(ISBLANK([1]fixtures!$K62),"",[1]fixtures!$K62)</f>
        <v>0</v>
      </c>
      <c r="J10" s="66" t="str">
        <f>IF(ISBLANK([1]fixtures!$L62),"",IF(G10&gt;I10,"W",IF(G10=I10,"D","L")))</f>
        <v>W</v>
      </c>
      <c r="K10" s="66"/>
      <c r="L10" s="66"/>
      <c r="M10" s="63">
        <v>30</v>
      </c>
      <c r="N10" s="62" t="s">
        <v>39</v>
      </c>
      <c r="O10" s="185" t="str">
        <f ca="1">IFERROR(INDIRECT("fixtures!" &amp; [1]Dashboard!J1 &amp;61) - [1]Dashboard!K1/24,"TBC")</f>
        <v>TBC</v>
      </c>
      <c r="P10" s="62"/>
      <c r="Q10" s="62" t="s">
        <v>25</v>
      </c>
      <c r="R10" s="62" t="s">
        <v>21</v>
      </c>
      <c r="S10" s="63">
        <f>IF(ISBLANK([1]fixtures!$K61),"",[1]fixtures!$K61)</f>
        <v>6</v>
      </c>
      <c r="T10" s="62" t="str">
        <f>IF(ISBLANK([1]fixtures!$L61),"",":")</f>
        <v>:</v>
      </c>
      <c r="U10" s="64">
        <f>IF(ISBLANK([1]fixtures!$L61),"",[1]fixtures!$L61)</f>
        <v>1</v>
      </c>
      <c r="V10" s="62" t="str">
        <f>IF(ISBLANK([1]fixtures!$L61),"",IF(S10&gt;U10,"W",IF(S10=U10,"D","L")))</f>
        <v>W</v>
      </c>
      <c r="W10" s="62"/>
      <c r="X10" s="62"/>
      <c r="Y10" s="60">
        <v>30</v>
      </c>
      <c r="Z10" s="59" t="s">
        <v>39</v>
      </c>
      <c r="AA10" s="183" t="str">
        <f ca="1">IFERROR(INDIRECT("fixtures!" &amp; [1]Dashboard!J1 &amp;62) - [1]Dashboard!K1/24,"TBC")</f>
        <v>TBC</v>
      </c>
      <c r="AB10" s="59"/>
      <c r="AC10" s="59" t="s">
        <v>30</v>
      </c>
      <c r="AD10" s="59" t="s">
        <v>21</v>
      </c>
      <c r="AE10" s="60">
        <f>IF(ISBLANK([1]fixtures!$K62),"",[1]fixtures!$K62)</f>
        <v>0</v>
      </c>
      <c r="AF10" s="59" t="str">
        <f>IF(ISBLANK([1]fixtures!$L62),"",":")</f>
        <v>:</v>
      </c>
      <c r="AG10" s="61">
        <f>IF(ISBLANK([1]fixtures!$L62),"",[1]fixtures!$L62)</f>
        <v>4</v>
      </c>
      <c r="AH10" s="59" t="str">
        <f>IF(ISBLANK([1]fixtures!$L62),"",IF(AE10&gt;AG10,"W",IF(AE10=AG10,"D","L")))</f>
        <v>L</v>
      </c>
      <c r="AI10" s="59"/>
      <c r="AJ10" s="59"/>
      <c r="AK10" s="85" t="s">
        <v>52</v>
      </c>
      <c r="AL10" s="56"/>
      <c r="AM10" s="181"/>
      <c r="AN10" s="56"/>
      <c r="AO10" s="56"/>
      <c r="AP10" s="56"/>
      <c r="AQ10" s="57"/>
      <c r="AR10" s="56"/>
      <c r="AS10" s="58"/>
      <c r="AT10" s="56"/>
      <c r="AU10" s="56"/>
      <c r="AV10" s="56"/>
      <c r="AW10" s="54">
        <v>30</v>
      </c>
      <c r="AX10" s="53" t="s">
        <v>39</v>
      </c>
      <c r="AY10" s="179" t="str">
        <f ca="1">IFERROR(INDIRECT("fixtures!" &amp; [1]Dashboard!J1 &amp;61) - [1]Dashboard!K1/24,"TBC")</f>
        <v>TBC</v>
      </c>
      <c r="AZ10" s="53"/>
      <c r="BA10" s="53" t="s">
        <v>31</v>
      </c>
      <c r="BB10" s="53" t="s">
        <v>16</v>
      </c>
      <c r="BC10" s="54">
        <f>IF(ISBLANK([1]fixtures!$L61),"",[1]fixtures!$L61)</f>
        <v>1</v>
      </c>
      <c r="BD10" s="53" t="str">
        <f>IF(ISBLANK([1]fixtures!$L61),"",":")</f>
        <v>:</v>
      </c>
      <c r="BE10" s="55">
        <f>IF(ISBLANK([1]fixtures!$K61),"",[1]fixtures!$K61)</f>
        <v>6</v>
      </c>
      <c r="BF10" s="53" t="str">
        <f>IF(ISBLANK([1]fixtures!$L61),"",IF(BC10&gt;BE10,"W",IF(BC10=BE10,"D","L")))</f>
        <v>L</v>
      </c>
      <c r="BG10" s="53"/>
      <c r="BH10" s="53"/>
      <c r="BI10" s="83" t="s">
        <v>52</v>
      </c>
      <c r="BJ10" s="50"/>
      <c r="BK10" s="177"/>
      <c r="BL10" s="50"/>
      <c r="BM10" s="50"/>
      <c r="BN10" s="50"/>
      <c r="BO10" s="51"/>
      <c r="BP10" s="50"/>
      <c r="BQ10" s="52"/>
      <c r="BR10" s="50"/>
      <c r="BS10" s="50"/>
      <c r="BT10" s="50"/>
      <c r="BU10" s="82" t="s">
        <v>52</v>
      </c>
      <c r="BV10" s="47"/>
      <c r="BW10" s="175"/>
      <c r="BX10" s="47"/>
      <c r="BY10" s="47"/>
      <c r="BZ10" s="47"/>
      <c r="CA10" s="48"/>
      <c r="CB10" s="47"/>
      <c r="CC10" s="49"/>
      <c r="CD10" s="47"/>
      <c r="CE10" s="47"/>
      <c r="CF10" s="47"/>
      <c r="CG10" s="45">
        <v>30</v>
      </c>
      <c r="CH10" s="44" t="s">
        <v>39</v>
      </c>
      <c r="CI10" s="173" t="str">
        <f ca="1">IFERROR(INDIRECT("fixtures!" &amp; [1]Dashboard!J1 &amp;64) - [1]Dashboard!K1/24,"TBC")</f>
        <v>TBC</v>
      </c>
      <c r="CJ10" s="44"/>
      <c r="CK10" s="44" t="s">
        <v>34</v>
      </c>
      <c r="CL10" s="44" t="s">
        <v>16</v>
      </c>
      <c r="CM10" s="45">
        <f>IF(ISBLANK([1]fixtures!$L64),"",[1]fixtures!$L64)</f>
        <v>1</v>
      </c>
      <c r="CN10" s="44" t="str">
        <f>IF(ISBLANK([1]fixtures!$L64),"",":")</f>
        <v>:</v>
      </c>
      <c r="CO10" s="46">
        <f>IF(ISBLANK([1]fixtures!$K64),"",[1]fixtures!$K64)</f>
        <v>0</v>
      </c>
      <c r="CP10" s="44" t="str">
        <f>IF(ISBLANK([1]fixtures!$L64),"",IF(CM10&gt;CO10,"W",IF(CM10=CO10,"D","L")))</f>
        <v>W</v>
      </c>
      <c r="CQ10" s="44"/>
      <c r="CR10" s="44"/>
      <c r="CS10" s="42">
        <v>30</v>
      </c>
      <c r="CT10" s="41" t="s">
        <v>39</v>
      </c>
      <c r="CU10" s="171" t="str">
        <f ca="1">IFERROR(INDIRECT("fixtures!" &amp; [1]Dashboard!J1 &amp;63) - [1]Dashboard!K1/24,"TBC")</f>
        <v>TBC</v>
      </c>
      <c r="CV10" s="41"/>
      <c r="CW10" s="41" t="s">
        <v>29</v>
      </c>
      <c r="CX10" s="41" t="s">
        <v>21</v>
      </c>
      <c r="CY10" s="42">
        <f>IF(ISBLANK([1]fixtures!$K63),"",[1]fixtures!$K63)</f>
        <v>1</v>
      </c>
      <c r="CZ10" s="41" t="str">
        <f>IF(ISBLANK([1]fixtures!$L63),"",":")</f>
        <v>:</v>
      </c>
      <c r="DA10" s="43">
        <f>IF(ISBLANK([1]fixtures!$L63),"",[1]fixtures!$L63)</f>
        <v>2</v>
      </c>
      <c r="DB10" s="41" t="str">
        <f>IF(ISBLANK([1]fixtures!$L63),"",IF(CY10&gt;DA10,"W",IF(CY10=DA10,"D","L")))</f>
        <v>L</v>
      </c>
      <c r="DC10" s="41"/>
      <c r="DD10" s="41"/>
      <c r="DE10" s="79" t="s">
        <v>52</v>
      </c>
      <c r="DF10" s="38"/>
      <c r="DG10" s="169"/>
      <c r="DH10" s="38"/>
      <c r="DI10" s="38"/>
      <c r="DJ10" s="38"/>
      <c r="DK10" s="39"/>
      <c r="DL10" s="38"/>
      <c r="DM10" s="40"/>
      <c r="DN10" s="38"/>
      <c r="DO10" s="38"/>
      <c r="DP10" s="38"/>
      <c r="DQ10" s="36">
        <v>30</v>
      </c>
      <c r="DR10" s="35" t="s">
        <v>39</v>
      </c>
      <c r="DS10" s="167" t="str">
        <f ca="1">IFERROR(INDIRECT("fixtures!" &amp; [1]Dashboard!J1 &amp;68) - [1]Dashboard!K1/24,"TBC")</f>
        <v>TBC</v>
      </c>
      <c r="DT10" s="35"/>
      <c r="DU10" s="35" t="s">
        <v>22</v>
      </c>
      <c r="DV10" s="35" t="s">
        <v>16</v>
      </c>
      <c r="DW10" s="36">
        <f>IF(ISBLANK([1]fixtures!$L68),"",[1]fixtures!$L68)</f>
        <v>1</v>
      </c>
      <c r="DX10" s="35" t="str">
        <f>IF(ISBLANK([1]fixtures!$L68),"",":")</f>
        <v>:</v>
      </c>
      <c r="DY10" s="37">
        <f>IF(ISBLANK([1]fixtures!$K68),"",[1]fixtures!$K68)</f>
        <v>2</v>
      </c>
      <c r="DZ10" s="35" t="str">
        <f>IF(ISBLANK([1]fixtures!$L68),"",IF(DW10&gt;DY10,"W",IF(DW10=DY10,"D","L")))</f>
        <v>L</v>
      </c>
      <c r="EA10" s="35"/>
      <c r="EB10" s="35"/>
      <c r="EC10" s="99" t="s">
        <v>52</v>
      </c>
      <c r="ED10" s="32"/>
      <c r="EE10" s="190"/>
      <c r="EF10" s="32"/>
      <c r="EG10" s="32"/>
      <c r="EH10" s="32"/>
      <c r="EI10" s="33"/>
      <c r="EJ10" s="32"/>
      <c r="EK10" s="34"/>
      <c r="EL10" s="32"/>
      <c r="EM10" s="32"/>
      <c r="EN10" s="32"/>
      <c r="EO10" s="30">
        <v>30</v>
      </c>
      <c r="EP10" s="29" t="s">
        <v>39</v>
      </c>
      <c r="EQ10" s="164" t="str">
        <f ca="1">IFERROR(INDIRECT("fixtures!" &amp; [1]Dashboard!J1 &amp;67) - [1]Dashboard!K1/24,"TBC")</f>
        <v>TBC</v>
      </c>
      <c r="ER10" s="29"/>
      <c r="ES10" s="29" t="s">
        <v>28</v>
      </c>
      <c r="ET10" s="29" t="s">
        <v>16</v>
      </c>
      <c r="EU10" s="30">
        <f>IF(ISBLANK([1]fixtures!$L67),"",[1]fixtures!$L67)</f>
        <v>1</v>
      </c>
      <c r="EV10" s="29" t="str">
        <f>IF(ISBLANK([1]fixtures!$L67),"",":")</f>
        <v>:</v>
      </c>
      <c r="EW10" s="31">
        <f>IF(ISBLANK([1]fixtures!$K67),"",[1]fixtures!$K67)</f>
        <v>2</v>
      </c>
      <c r="EX10" s="29" t="str">
        <f>IF(ISBLANK([1]fixtures!$L67),"",IF(EU10&gt;EW10,"W",IF(EU10=EW10,"D","L")))</f>
        <v>L</v>
      </c>
      <c r="EY10" s="29"/>
      <c r="EZ10" s="29"/>
      <c r="FA10" s="27">
        <v>30</v>
      </c>
      <c r="FB10" s="26" t="s">
        <v>39</v>
      </c>
      <c r="FC10" s="189" t="str">
        <f ca="1">IFERROR(INDIRECT("fixtures!" &amp; [1]Dashboard!J1 &amp;64) - [1]Dashboard!K1/24,"TBC")</f>
        <v>TBC</v>
      </c>
      <c r="FD10" s="26"/>
      <c r="FE10" s="26" t="s">
        <v>37</v>
      </c>
      <c r="FF10" s="26" t="s">
        <v>21</v>
      </c>
      <c r="FG10" s="27">
        <f>IF(ISBLANK([1]fixtures!$K64),"",[1]fixtures!$K64)</f>
        <v>0</v>
      </c>
      <c r="FH10" s="26" t="str">
        <f>IF(ISBLANK([1]fixtures!$L64),"",":")</f>
        <v>:</v>
      </c>
      <c r="FI10" s="28">
        <f>IF(ISBLANK([1]fixtures!$L64),"",[1]fixtures!$L64)</f>
        <v>1</v>
      </c>
      <c r="FJ10" s="26" t="str">
        <f>IF(ISBLANK([1]fixtures!$L64),"",IF(FG10&gt;FI10,"W",IF(FG10=FI10,"D","L")))</f>
        <v>L</v>
      </c>
      <c r="FK10" s="26"/>
      <c r="FL10" s="26"/>
      <c r="FM10" s="24">
        <v>30</v>
      </c>
      <c r="FN10" s="23" t="s">
        <v>39</v>
      </c>
      <c r="FO10" s="161" t="str">
        <f ca="1">IFERROR(INDIRECT("fixtures!" &amp; [1]Dashboard!J1 &amp;65) - [1]Dashboard!K1/24,"TBC")</f>
        <v>TBC</v>
      </c>
      <c r="FP10" s="23"/>
      <c r="FQ10" s="23" t="s">
        <v>23</v>
      </c>
      <c r="FR10" s="23" t="s">
        <v>21</v>
      </c>
      <c r="FS10" s="24">
        <f>IF(ISBLANK([1]fixtures!$K65),"",[1]fixtures!$K65)</f>
        <v>2</v>
      </c>
      <c r="FT10" s="23" t="str">
        <f>IF(ISBLANK([1]fixtures!$L65),"",":")</f>
        <v>:</v>
      </c>
      <c r="FU10" s="25">
        <f>IF(ISBLANK([1]fixtures!$L65),"",[1]fixtures!$L65)</f>
        <v>0</v>
      </c>
      <c r="FV10" s="23" t="str">
        <f>IF(ISBLANK([1]fixtures!$L65),"",IF(FS10&gt;FU10,"W",IF(FS10=FU10,"D","L")))</f>
        <v>W</v>
      </c>
      <c r="FW10" s="23"/>
      <c r="FX10" s="23"/>
      <c r="FY10" s="95" t="s">
        <v>52</v>
      </c>
      <c r="FZ10" s="20"/>
      <c r="GA10" s="159"/>
      <c r="GB10" s="20"/>
      <c r="GC10" s="20"/>
      <c r="GD10" s="20"/>
      <c r="GE10" s="21"/>
      <c r="GF10" s="20"/>
      <c r="GG10" s="22"/>
      <c r="GH10" s="20"/>
      <c r="GI10" s="20"/>
      <c r="GJ10" s="20"/>
      <c r="GK10" s="18">
        <v>30</v>
      </c>
      <c r="GL10" s="17" t="s">
        <v>39</v>
      </c>
      <c r="GM10" s="157" t="str">
        <f ca="1">IFERROR(INDIRECT("fixtures!" &amp; [1]Dashboard!J1 &amp;66) - [1]Dashboard!K1/24,"TBC")</f>
        <v>TBC</v>
      </c>
      <c r="GN10" s="17"/>
      <c r="GO10" s="17" t="s">
        <v>26</v>
      </c>
      <c r="GP10" s="17" t="s">
        <v>16</v>
      </c>
      <c r="GQ10" s="18">
        <f>IF(ISBLANK([1]fixtures!$L66),"",[1]fixtures!$L66)</f>
        <v>0</v>
      </c>
      <c r="GR10" s="17" t="str">
        <f>IF(ISBLANK([1]fixtures!$L66),"",":")</f>
        <v>:</v>
      </c>
      <c r="GS10" s="19">
        <f>IF(ISBLANK([1]fixtures!$K66),"",[1]fixtures!$K66)</f>
        <v>2</v>
      </c>
      <c r="GT10" s="17" t="str">
        <f>IF(ISBLANK([1]fixtures!$L66),"",IF(GQ10&gt;GS10,"W",IF(GQ10=GS10,"D","L")))</f>
        <v>L</v>
      </c>
      <c r="GU10" s="17"/>
      <c r="GV10" s="17"/>
      <c r="GW10" s="15">
        <v>30</v>
      </c>
      <c r="GX10" s="14" t="s">
        <v>39</v>
      </c>
      <c r="GY10" s="155" t="str">
        <f ca="1">IFERROR(INDIRECT("fixtures!" &amp; [1]Dashboard!J1 &amp;68) - [1]Dashboard!K1/24,"TBC")</f>
        <v>TBC</v>
      </c>
      <c r="GZ10" s="14"/>
      <c r="HA10" s="14" t="s">
        <v>17</v>
      </c>
      <c r="HB10" s="14" t="s">
        <v>21</v>
      </c>
      <c r="HC10" s="15">
        <f>IF(ISBLANK([1]fixtures!$K68),"",[1]fixtures!$K68)</f>
        <v>2</v>
      </c>
      <c r="HD10" s="14" t="str">
        <f>IF(ISBLANK([1]fixtures!$L68),"",":")</f>
        <v>:</v>
      </c>
      <c r="HE10" s="16">
        <f>IF(ISBLANK([1]fixtures!$L68),"",[1]fixtures!$L68)</f>
        <v>1</v>
      </c>
      <c r="HF10" s="14" t="str">
        <f>IF(ISBLANK([1]fixtures!$L68),"",IF(HC10&gt;HE10,"W",IF(HC10=HE10,"D","L")))</f>
        <v>W</v>
      </c>
      <c r="HG10" s="14"/>
      <c r="HH10" s="14"/>
      <c r="HI10" s="12">
        <v>30</v>
      </c>
      <c r="HJ10" s="11" t="s">
        <v>39</v>
      </c>
      <c r="HK10" s="153" t="str">
        <f ca="1">IFERROR(INDIRECT("fixtures!" &amp; [1]Dashboard!J1 &amp;66) - [1]Dashboard!K1/24,"TBC")</f>
        <v>TBC</v>
      </c>
      <c r="HL10" s="11"/>
      <c r="HM10" s="11" t="s">
        <v>20</v>
      </c>
      <c r="HN10" s="11" t="s">
        <v>21</v>
      </c>
      <c r="HO10" s="12">
        <f>IF(ISBLANK([1]fixtures!$K66),"",[1]fixtures!$K66)</f>
        <v>2</v>
      </c>
      <c r="HP10" s="11" t="str">
        <f>IF(ISBLANK([1]fixtures!$L66),"",":")</f>
        <v>:</v>
      </c>
      <c r="HQ10" s="13">
        <f>IF(ISBLANK([1]fixtures!$L66),"",[1]fixtures!$L66)</f>
        <v>0</v>
      </c>
      <c r="HR10" s="11" t="str">
        <f>IF(ISBLANK([1]fixtures!$L66),"",IF(HO10&gt;HQ10,"W",IF(HO10=HQ10,"D","L")))</f>
        <v>W</v>
      </c>
      <c r="HS10" s="11"/>
      <c r="HT10" s="11"/>
      <c r="HU10" s="9">
        <v>30</v>
      </c>
      <c r="HV10" s="8" t="s">
        <v>39</v>
      </c>
      <c r="HW10" s="151" t="str">
        <f ca="1">IFERROR(INDIRECT("fixtures!" &amp; [1]Dashboard!J1 &amp;67) - [1]Dashboard!K1/24,"TBC")</f>
        <v>TBC</v>
      </c>
      <c r="HX10" s="8"/>
      <c r="HY10" s="8" t="s">
        <v>19</v>
      </c>
      <c r="HZ10" s="8" t="s">
        <v>21</v>
      </c>
      <c r="IA10" s="9">
        <f>IF(ISBLANK([1]fixtures!$K67),"",[1]fixtures!$K67)</f>
        <v>2</v>
      </c>
      <c r="IB10" s="8" t="str">
        <f>IF(ISBLANK([1]fixtures!$L67),"",":")</f>
        <v>:</v>
      </c>
      <c r="IC10" s="10">
        <f>IF(ISBLANK([1]fixtures!$L67),"",[1]fixtures!$L67)</f>
        <v>1</v>
      </c>
      <c r="ID10" s="8" t="str">
        <f>IF(ISBLANK([1]fixtures!$L67),"",IF(IA10&gt;IC10,"W",IF(IA10=IC10,"D","L")))</f>
        <v>W</v>
      </c>
      <c r="IE10" s="8"/>
      <c r="IF10" s="8"/>
    </row>
    <row r="11" spans="1:243" x14ac:dyDescent="0.25">
      <c r="A11" s="90" t="s">
        <v>52</v>
      </c>
      <c r="B11" s="66"/>
      <c r="C11" s="187"/>
      <c r="D11" s="66"/>
      <c r="E11" s="66"/>
      <c r="F11" s="66"/>
      <c r="G11" s="67"/>
      <c r="H11" s="66"/>
      <c r="I11" s="68"/>
      <c r="J11" s="66"/>
      <c r="K11" s="66"/>
      <c r="L11" s="66"/>
      <c r="M11" s="87" t="s">
        <v>52</v>
      </c>
      <c r="N11" s="64"/>
      <c r="O11" s="185"/>
      <c r="P11" s="62"/>
      <c r="Q11" s="62"/>
      <c r="R11" s="62"/>
      <c r="S11" s="63"/>
      <c r="T11" s="62"/>
      <c r="U11" s="64"/>
      <c r="V11" s="62"/>
      <c r="W11" s="62"/>
      <c r="X11" s="62"/>
      <c r="Y11" s="108" t="s">
        <v>52</v>
      </c>
      <c r="Z11" s="59"/>
      <c r="AA11" s="183"/>
      <c r="AB11" s="59"/>
      <c r="AC11" s="59"/>
      <c r="AD11" s="59"/>
      <c r="AE11" s="60"/>
      <c r="AF11" s="59"/>
      <c r="AG11" s="61"/>
      <c r="AH11" s="59"/>
      <c r="AI11" s="59"/>
      <c r="AJ11" s="59"/>
      <c r="AK11" s="57">
        <v>1</v>
      </c>
      <c r="AL11" s="56" t="s">
        <v>18</v>
      </c>
      <c r="AM11" s="181" t="str">
        <f ca="1">IFERROR(INDIRECT("fixtures!" &amp; [1]Dashboard!J1 &amp;69) - [1]Dashboard!K1/24,"TBC")</f>
        <v>TBC</v>
      </c>
      <c r="AN11" s="56"/>
      <c r="AO11" s="56" t="s">
        <v>33</v>
      </c>
      <c r="AP11" s="56" t="s">
        <v>16</v>
      </c>
      <c r="AQ11" s="57">
        <f>IF(ISBLANK([1]fixtures!$L69),"",[1]fixtures!$L69)</f>
        <v>1</v>
      </c>
      <c r="AR11" s="56" t="str">
        <f>IF(ISBLANK([1]fixtures!$L69),"",":")</f>
        <v>:</v>
      </c>
      <c r="AS11" s="58">
        <f>IF(ISBLANK([1]fixtures!$K69),"",[1]fixtures!$K69)</f>
        <v>1</v>
      </c>
      <c r="AT11" s="56" t="str">
        <f>IF(ISBLANK([1]fixtures!$L69),"",IF(AQ11&gt;AS11,"W",IF(AQ11=AS11,"D","L")))</f>
        <v>D</v>
      </c>
      <c r="AU11" s="56"/>
      <c r="AV11" s="56"/>
      <c r="AW11" s="106" t="s">
        <v>52</v>
      </c>
      <c r="AX11" s="53"/>
      <c r="AY11" s="179"/>
      <c r="AZ11" s="53"/>
      <c r="BA11" s="53"/>
      <c r="BB11" s="53"/>
      <c r="BC11" s="54"/>
      <c r="BD11" s="53"/>
      <c r="BE11" s="55"/>
      <c r="BF11" s="53"/>
      <c r="BG11" s="53"/>
      <c r="BH11" s="53"/>
      <c r="BI11" s="51">
        <v>3</v>
      </c>
      <c r="BJ11" s="50" t="s">
        <v>40</v>
      </c>
      <c r="BK11" s="177" t="str">
        <f ca="1">IFERROR(INDIRECT("fixtures!" &amp; [1]Dashboard!J1 &amp;71) - [1]Dashboard!K1/24,"TBC")</f>
        <v>TBC</v>
      </c>
      <c r="BL11" s="50"/>
      <c r="BM11" s="50" t="s">
        <v>29</v>
      </c>
      <c r="BN11" s="50" t="s">
        <v>16</v>
      </c>
      <c r="BO11" s="51">
        <f>IF(ISBLANK([1]fixtures!$L71),"",[1]fixtures!$L71)</f>
        <v>2</v>
      </c>
      <c r="BP11" s="50" t="str">
        <f>IF(ISBLANK([1]fixtures!$L71),"",":")</f>
        <v>:</v>
      </c>
      <c r="BQ11" s="52">
        <f>IF(ISBLANK([1]fixtures!$K71),"",[1]fixtures!$K71)</f>
        <v>1</v>
      </c>
      <c r="BR11" s="50" t="str">
        <f>IF(ISBLANK([1]fixtures!$L71),"",IF(BO11&gt;BQ11,"W",IF(BO11=BQ11,"D","L")))</f>
        <v>W</v>
      </c>
      <c r="BS11" s="50"/>
      <c r="BT11" s="50"/>
      <c r="BU11" s="48">
        <v>2</v>
      </c>
      <c r="BV11" s="47" t="s">
        <v>42</v>
      </c>
      <c r="BW11" s="175" t="str">
        <f ca="1">IFERROR(INDIRECT("fixtures!" &amp; [1]Dashboard!J1 &amp;70) - [1]Dashboard!K1/24,"TBC")</f>
        <v>TBC</v>
      </c>
      <c r="BX11" s="47"/>
      <c r="BY11" s="47" t="s">
        <v>27</v>
      </c>
      <c r="BZ11" s="47" t="s">
        <v>16</v>
      </c>
      <c r="CA11" s="48">
        <f>IF(ISBLANK([1]fixtures!$L70),"",[1]fixtures!$L70)</f>
        <v>2</v>
      </c>
      <c r="CB11" s="47" t="str">
        <f>IF(ISBLANK([1]fixtures!$L70),"",":")</f>
        <v>:</v>
      </c>
      <c r="CC11" s="49">
        <f>IF(ISBLANK([1]fixtures!$K70),"",[1]fixtures!$K70)</f>
        <v>0</v>
      </c>
      <c r="CD11" s="47" t="str">
        <f>IF(ISBLANK([1]fixtures!$L70),"",IF(CA11&gt;CC11,"W",IF(CA11=CC11,"D","L")))</f>
        <v>W</v>
      </c>
      <c r="CE11" s="47"/>
      <c r="CF11" s="47"/>
      <c r="CG11" s="81" t="s">
        <v>52</v>
      </c>
      <c r="CH11" s="44"/>
      <c r="CI11" s="173"/>
      <c r="CJ11" s="44"/>
      <c r="CK11" s="44"/>
      <c r="CL11" s="44"/>
      <c r="CM11" s="45"/>
      <c r="CN11" s="44"/>
      <c r="CO11" s="46"/>
      <c r="CP11" s="44"/>
      <c r="CQ11" s="44"/>
      <c r="CR11" s="44"/>
      <c r="CS11" s="102" t="s">
        <v>52</v>
      </c>
      <c r="CT11" s="41"/>
      <c r="CU11" s="171"/>
      <c r="CV11" s="41"/>
      <c r="CW11" s="41"/>
      <c r="CX11" s="41"/>
      <c r="CY11" s="42"/>
      <c r="CZ11" s="41"/>
      <c r="DA11" s="43"/>
      <c r="DB11" s="41"/>
      <c r="DC11" s="41"/>
      <c r="DD11" s="41"/>
      <c r="DE11" s="39">
        <v>2</v>
      </c>
      <c r="DF11" s="38" t="s">
        <v>42</v>
      </c>
      <c r="DG11" s="169" t="str">
        <f ca="1">IFERROR(INDIRECT("fixtures!" &amp; [1]Dashboard!J1 &amp;70) - [1]Dashboard!K1/24,"TBC")</f>
        <v>TBC</v>
      </c>
      <c r="DH11" s="38"/>
      <c r="DI11" s="38" t="s">
        <v>36</v>
      </c>
      <c r="DJ11" s="38" t="s">
        <v>21</v>
      </c>
      <c r="DK11" s="39">
        <f>IF(ISBLANK([1]fixtures!$K70),"",[1]fixtures!$K70)</f>
        <v>0</v>
      </c>
      <c r="DL11" s="38" t="str">
        <f>IF(ISBLANK([1]fixtures!$L70),"",":")</f>
        <v>:</v>
      </c>
      <c r="DM11" s="40">
        <f>IF(ISBLANK([1]fixtures!$L70),"",[1]fixtures!$L70)</f>
        <v>2</v>
      </c>
      <c r="DN11" s="38" t="str">
        <f>IF(ISBLANK([1]fixtures!$L70),"",IF(DK11&gt;DM11,"W",IF(DK11=DM11,"D","L")))</f>
        <v>L</v>
      </c>
      <c r="DO11" s="38"/>
      <c r="DP11" s="38"/>
      <c r="DQ11" s="78" t="s">
        <v>52</v>
      </c>
      <c r="DR11" s="35"/>
      <c r="DS11" s="167"/>
      <c r="DT11" s="35"/>
      <c r="DU11" s="35"/>
      <c r="DV11" s="35"/>
      <c r="DW11" s="36"/>
      <c r="DX11" s="35"/>
      <c r="DY11" s="37"/>
      <c r="DZ11" s="35"/>
      <c r="EA11" s="35"/>
      <c r="EB11" s="35"/>
      <c r="EC11" s="33">
        <v>3</v>
      </c>
      <c r="ED11" s="32" t="s">
        <v>40</v>
      </c>
      <c r="EE11" s="190" t="str">
        <f ca="1">IFERROR(INDIRECT("fixtures!" &amp; [1]Dashboard!J1 &amp;71) - [1]Dashboard!K1/24,"TBC")</f>
        <v>TBC</v>
      </c>
      <c r="EF11" s="32"/>
      <c r="EG11" s="32" t="s">
        <v>23</v>
      </c>
      <c r="EH11" s="32" t="s">
        <v>21</v>
      </c>
      <c r="EI11" s="33">
        <f>IF(ISBLANK([1]fixtures!$K71),"",[1]fixtures!$K71)</f>
        <v>1</v>
      </c>
      <c r="EJ11" s="32" t="str">
        <f>IF(ISBLANK([1]fixtures!$L71),"",":")</f>
        <v>:</v>
      </c>
      <c r="EK11" s="34">
        <f>IF(ISBLANK([1]fixtures!$L71),"",[1]fixtures!$L71)</f>
        <v>2</v>
      </c>
      <c r="EL11" s="32" t="str">
        <f>IF(ISBLANK([1]fixtures!$L71),"",IF(EI11&gt;EK11,"W",IF(EI11=EK11,"D","L")))</f>
        <v>L</v>
      </c>
      <c r="EM11" s="32"/>
      <c r="EN11" s="32"/>
      <c r="EO11" s="98" t="s">
        <v>52</v>
      </c>
      <c r="EP11" s="29"/>
      <c r="EQ11" s="164"/>
      <c r="ER11" s="29"/>
      <c r="ES11" s="29"/>
      <c r="ET11" s="29"/>
      <c r="EU11" s="30"/>
      <c r="EV11" s="29"/>
      <c r="EW11" s="31"/>
      <c r="EX11" s="29"/>
      <c r="EY11" s="29"/>
      <c r="EZ11" s="29"/>
      <c r="FA11" s="75" t="s">
        <v>52</v>
      </c>
      <c r="FB11" s="26"/>
      <c r="FC11" s="189"/>
      <c r="FD11" s="26"/>
      <c r="FE11" s="26"/>
      <c r="FF11" s="26"/>
      <c r="FG11" s="27"/>
      <c r="FH11" s="26"/>
      <c r="FI11" s="28"/>
      <c r="FJ11" s="26"/>
      <c r="FK11" s="26"/>
      <c r="FL11" s="26"/>
      <c r="FM11" s="96" t="s">
        <v>52</v>
      </c>
      <c r="FN11" s="23"/>
      <c r="FO11" s="161"/>
      <c r="FP11" s="23"/>
      <c r="FQ11" s="23"/>
      <c r="FR11" s="23"/>
      <c r="FS11" s="24"/>
      <c r="FT11" s="23"/>
      <c r="FU11" s="25"/>
      <c r="FV11" s="23"/>
      <c r="FW11" s="23"/>
      <c r="FX11" s="23"/>
      <c r="FY11" s="21">
        <v>1</v>
      </c>
      <c r="FZ11" s="20" t="s">
        <v>18</v>
      </c>
      <c r="GA11" s="159" t="str">
        <f ca="1">IFERROR(INDIRECT("fixtures!" &amp; [1]Dashboard!J1 &amp;69) - [1]Dashboard!K1/24,"TBC")</f>
        <v>TBC</v>
      </c>
      <c r="GB11" s="20"/>
      <c r="GC11" s="20" t="s">
        <v>24</v>
      </c>
      <c r="GD11" s="20" t="s">
        <v>21</v>
      </c>
      <c r="GE11" s="21">
        <f>IF(ISBLANK([1]fixtures!$K69),"",[1]fixtures!$K69)</f>
        <v>1</v>
      </c>
      <c r="GF11" s="20" t="str">
        <f>IF(ISBLANK([1]fixtures!$L69),"",":")</f>
        <v>:</v>
      </c>
      <c r="GG11" s="22">
        <f>IF(ISBLANK([1]fixtures!$L69),"",[1]fixtures!$L69)</f>
        <v>1</v>
      </c>
      <c r="GH11" s="20" t="str">
        <f>IF(ISBLANK([1]fixtures!$L69),"",IF(GE11&gt;GG11,"W",IF(GE11=GG11,"D","L")))</f>
        <v>D</v>
      </c>
      <c r="GI11" s="20"/>
      <c r="GJ11" s="20"/>
      <c r="GK11" s="72" t="s">
        <v>52</v>
      </c>
      <c r="GL11" s="17"/>
      <c r="GM11" s="157"/>
      <c r="GN11" s="17"/>
      <c r="GO11" s="17"/>
      <c r="GP11" s="17"/>
      <c r="GQ11" s="18"/>
      <c r="GR11" s="17"/>
      <c r="GS11" s="19"/>
      <c r="GT11" s="17"/>
      <c r="GU11" s="17"/>
      <c r="GV11" s="17"/>
      <c r="GW11" s="93" t="s">
        <v>52</v>
      </c>
      <c r="GX11" s="14"/>
      <c r="GY11" s="155"/>
      <c r="GZ11" s="14"/>
      <c r="HA11" s="14"/>
      <c r="HB11" s="14"/>
      <c r="HC11" s="15"/>
      <c r="HD11" s="14"/>
      <c r="HE11" s="16"/>
      <c r="HF11" s="14"/>
      <c r="HG11" s="14"/>
      <c r="HH11" s="14"/>
      <c r="HI11" s="92" t="s">
        <v>52</v>
      </c>
      <c r="HJ11" s="11"/>
      <c r="HK11" s="153"/>
      <c r="HL11" s="11"/>
      <c r="HM11" s="11"/>
      <c r="HN11" s="11"/>
      <c r="HO11" s="12"/>
      <c r="HP11" s="11"/>
      <c r="HQ11" s="13"/>
      <c r="HR11" s="11"/>
      <c r="HS11" s="11"/>
      <c r="HT11" s="11"/>
      <c r="HU11" s="91" t="s">
        <v>52</v>
      </c>
      <c r="HV11" s="8"/>
      <c r="HW11" s="151"/>
      <c r="HX11" s="8"/>
      <c r="HY11" s="8"/>
      <c r="HZ11" s="8"/>
      <c r="IA11" s="9"/>
      <c r="IB11" s="8"/>
      <c r="IC11" s="10"/>
      <c r="ID11" s="8"/>
      <c r="IE11" s="8"/>
      <c r="IF11" s="8"/>
      <c r="II11" s="7"/>
    </row>
    <row r="12" spans="1:243" x14ac:dyDescent="0.25">
      <c r="A12" s="67">
        <v>8</v>
      </c>
      <c r="B12" s="66" t="s">
        <v>18</v>
      </c>
      <c r="C12" s="187" t="str">
        <f ca="1">IFERROR(INDIRECT("fixtures!" &amp; [1]Dashboard!J1 &amp;81) - [1]Dashboard!K1/24,"TBC")</f>
        <v>TBC</v>
      </c>
      <c r="D12" s="66"/>
      <c r="E12" s="66" t="s">
        <v>19</v>
      </c>
      <c r="F12" s="66" t="s">
        <v>21</v>
      </c>
      <c r="G12" s="67">
        <f>IF(ISBLANK([1]fixtures!$K81),"",[1]fixtures!$K81)</f>
        <v>1</v>
      </c>
      <c r="H12" s="66" t="str">
        <f>IF(ISBLANK([1]fixtures!$L81),"",":")</f>
        <v>:</v>
      </c>
      <c r="I12" s="68">
        <f>IF(ISBLANK([1]fixtures!$L81),"",[1]fixtures!$L81)</f>
        <v>0</v>
      </c>
      <c r="J12" s="66" t="str">
        <f>IF(ISBLANK([1]fixtures!$L81),"",IF(G12&gt;I12,"W",IF(G12=I12,"D","L")))</f>
        <v>W</v>
      </c>
      <c r="K12" s="66"/>
      <c r="L12" s="66"/>
      <c r="M12" s="63">
        <v>8</v>
      </c>
      <c r="N12" s="62" t="s">
        <v>18</v>
      </c>
      <c r="O12" s="185" t="str">
        <f ca="1">IFERROR(INDIRECT("fixtures!" &amp; [1]Dashboard!J1 &amp;80) - [1]Dashboard!K1/24,"TBC")</f>
        <v>TBC</v>
      </c>
      <c r="P12" s="62"/>
      <c r="Q12" s="62" t="s">
        <v>28</v>
      </c>
      <c r="R12" s="62" t="s">
        <v>16</v>
      </c>
      <c r="S12" s="63">
        <f>IF(ISBLANK([1]fixtures!$L80),"",[1]fixtures!$L80)</f>
        <v>1</v>
      </c>
      <c r="T12" s="62" t="str">
        <f>IF(ISBLANK([1]fixtures!$L80),"",":")</f>
        <v>:</v>
      </c>
      <c r="U12" s="64">
        <f>IF(ISBLANK([1]fixtures!$K80),"",[1]fixtures!$K80)</f>
        <v>1</v>
      </c>
      <c r="V12" s="62" t="str">
        <f>IF(ISBLANK([1]fixtures!$L80),"",IF(S12&gt;U12,"W",IF(S12=U12,"D","L")))</f>
        <v>D</v>
      </c>
      <c r="W12" s="62"/>
      <c r="X12" s="62"/>
      <c r="Y12" s="60">
        <v>7</v>
      </c>
      <c r="Z12" s="59" t="s">
        <v>39</v>
      </c>
      <c r="AA12" s="183" t="str">
        <f ca="1">IFERROR(INDIRECT("fixtures!" &amp; [1]Dashboard!J1 &amp;74) - [1]Dashboard!K1/24,"TBC")</f>
        <v>TBC</v>
      </c>
      <c r="AB12" s="59"/>
      <c r="AC12" s="59" t="s">
        <v>38</v>
      </c>
      <c r="AD12" s="59" t="s">
        <v>16</v>
      </c>
      <c r="AE12" s="60">
        <f>IF(ISBLANK([1]fixtures!$L74),"",[1]fixtures!$L74)</f>
        <v>0</v>
      </c>
      <c r="AF12" s="59" t="str">
        <f>IF(ISBLANK([1]fixtures!$L74),"",":")</f>
        <v>:</v>
      </c>
      <c r="AG12" s="61">
        <f>IF(ISBLANK([1]fixtures!$K74),"",[1]fixtures!$K74)</f>
        <v>3</v>
      </c>
      <c r="AH12" s="59" t="str">
        <f>IF(ISBLANK([1]fixtures!$L74),"",IF(AE12&gt;AG12,"W",IF(AE12=AG12,"D","L")))</f>
        <v>L</v>
      </c>
      <c r="AI12" s="59"/>
      <c r="AJ12" s="59"/>
      <c r="AK12" s="57">
        <v>7</v>
      </c>
      <c r="AL12" s="56" t="s">
        <v>39</v>
      </c>
      <c r="AM12" s="181" t="str">
        <f ca="1">IFERROR(INDIRECT("fixtures!" &amp; [1]Dashboard!J1 &amp;76) - [1]Dashboard!K1/24,"TBC")</f>
        <v>TBC</v>
      </c>
      <c r="AN12" s="56"/>
      <c r="AO12" s="56" t="s">
        <v>34</v>
      </c>
      <c r="AP12" s="56" t="s">
        <v>16</v>
      </c>
      <c r="AQ12" s="57">
        <f>IF(ISBLANK([1]fixtures!$L76),"",[1]fixtures!$L76)</f>
        <v>1</v>
      </c>
      <c r="AR12" s="56" t="str">
        <f>IF(ISBLANK([1]fixtures!$L76),"",":")</f>
        <v>:</v>
      </c>
      <c r="AS12" s="58">
        <f>IF(ISBLANK([1]fixtures!$K76),"",[1]fixtures!$K76)</f>
        <v>2</v>
      </c>
      <c r="AT12" s="56" t="str">
        <f>IF(ISBLANK([1]fixtures!$L76),"",IF(AQ12&gt;AS12,"W",IF(AQ12=AS12,"D","L")))</f>
        <v>L</v>
      </c>
      <c r="AU12" s="56"/>
      <c r="AV12" s="56"/>
      <c r="AW12" s="54">
        <v>8</v>
      </c>
      <c r="AX12" s="53" t="s">
        <v>18</v>
      </c>
      <c r="AY12" s="179" t="str">
        <f ca="1">IFERROR(INDIRECT("fixtures!" &amp; [1]Dashboard!J1 &amp;78) - [1]Dashboard!K1/24,"TBC")</f>
        <v>TBC</v>
      </c>
      <c r="AZ12" s="53"/>
      <c r="BA12" s="53" t="s">
        <v>17</v>
      </c>
      <c r="BB12" s="53" t="s">
        <v>21</v>
      </c>
      <c r="BC12" s="54">
        <f>IF(ISBLANK([1]fixtures!$K78),"",[1]fixtures!$K78)</f>
        <v>2</v>
      </c>
      <c r="BD12" s="53" t="str">
        <f>IF(ISBLANK([1]fixtures!$L78),"",":")</f>
        <v>:</v>
      </c>
      <c r="BE12" s="55">
        <f>IF(ISBLANK([1]fixtures!$L78),"",[1]fixtures!$L78)</f>
        <v>2</v>
      </c>
      <c r="BF12" s="53" t="str">
        <f>IF(ISBLANK([1]fixtures!$L78),"",IF(BC12&gt;BE12,"W",IF(BC12=BE12,"D","L")))</f>
        <v>D</v>
      </c>
      <c r="BG12" s="53"/>
      <c r="BH12" s="53"/>
      <c r="BI12" s="51">
        <v>7</v>
      </c>
      <c r="BJ12" s="50" t="s">
        <v>39</v>
      </c>
      <c r="BK12" s="177" t="str">
        <f ca="1">IFERROR(INDIRECT("fixtures!" &amp; [1]Dashboard!J1 &amp;73) - [1]Dashboard!K1/24,"TBC")</f>
        <v>TBC</v>
      </c>
      <c r="BL12" s="50"/>
      <c r="BM12" s="50" t="s">
        <v>36</v>
      </c>
      <c r="BN12" s="50" t="s">
        <v>21</v>
      </c>
      <c r="BO12" s="51">
        <f>IF(ISBLANK([1]fixtures!$K73),"",[1]fixtures!$K73)</f>
        <v>1</v>
      </c>
      <c r="BP12" s="50" t="str">
        <f>IF(ISBLANK([1]fixtures!$L73),"",":")</f>
        <v>:</v>
      </c>
      <c r="BQ12" s="52">
        <f>IF(ISBLANK([1]fixtures!$L73),"",[1]fixtures!$L73)</f>
        <v>4</v>
      </c>
      <c r="BR12" s="50" t="str">
        <f>IF(ISBLANK([1]fixtures!$L73),"",IF(BO12&gt;BQ12,"W",IF(BO12=BQ12,"D","L")))</f>
        <v>L</v>
      </c>
      <c r="BS12" s="50"/>
      <c r="BT12" s="50"/>
      <c r="BU12" s="48">
        <v>7</v>
      </c>
      <c r="BV12" s="47" t="s">
        <v>39</v>
      </c>
      <c r="BW12" s="175" t="str">
        <f ca="1">IFERROR(INDIRECT("fixtures!" &amp; [1]Dashboard!J1 &amp;73) - [1]Dashboard!K1/24,"TBC")</f>
        <v>TBC</v>
      </c>
      <c r="BX12" s="47"/>
      <c r="BY12" s="47" t="s">
        <v>23</v>
      </c>
      <c r="BZ12" s="47" t="s">
        <v>16</v>
      </c>
      <c r="CA12" s="48">
        <f>IF(ISBLANK([1]fixtures!$L73),"",[1]fixtures!$L73)</f>
        <v>4</v>
      </c>
      <c r="CB12" s="47" t="str">
        <f>IF(ISBLANK([1]fixtures!$L73),"",":")</f>
        <v>:</v>
      </c>
      <c r="CC12" s="49">
        <f>IF(ISBLANK([1]fixtures!$K73),"",[1]fixtures!$K73)</f>
        <v>1</v>
      </c>
      <c r="CD12" s="47" t="str">
        <f>IF(ISBLANK([1]fixtures!$L73),"",IF(CA12&gt;CC12,"W",IF(CA12=CC12,"D","L")))</f>
        <v>W</v>
      </c>
      <c r="CE12" s="47"/>
      <c r="CF12" s="47"/>
      <c r="CG12" s="45">
        <v>7</v>
      </c>
      <c r="CH12" s="44" t="s">
        <v>39</v>
      </c>
      <c r="CI12" s="173" t="str">
        <f ca="1">IFERROR(INDIRECT("fixtures!" &amp; [1]Dashboard!J1 &amp;77) - [1]Dashboard!K1/24,"TBC")</f>
        <v>TBC</v>
      </c>
      <c r="CJ12" s="44"/>
      <c r="CK12" s="44" t="s">
        <v>33</v>
      </c>
      <c r="CL12" s="44" t="s">
        <v>21</v>
      </c>
      <c r="CM12" s="45">
        <f>IF(ISBLANK([1]fixtures!$K77),"",[1]fixtures!$K77)</f>
        <v>0</v>
      </c>
      <c r="CN12" s="44" t="str">
        <f>IF(ISBLANK([1]fixtures!$L77),"",":")</f>
        <v>:</v>
      </c>
      <c r="CO12" s="46">
        <f>IF(ISBLANK([1]fixtures!$L77),"",[1]fixtures!$L77)</f>
        <v>0</v>
      </c>
      <c r="CP12" s="44" t="str">
        <f>IF(ISBLANK([1]fixtures!$L77),"",IF(CM12&gt;CO12,"W",IF(CM12=CO12,"D","L")))</f>
        <v>D</v>
      </c>
      <c r="CQ12" s="44"/>
      <c r="CR12" s="44"/>
      <c r="CS12" s="42">
        <v>7</v>
      </c>
      <c r="CT12" s="41" t="s">
        <v>39</v>
      </c>
      <c r="CU12" s="171" t="str">
        <f ca="1">IFERROR(INDIRECT("fixtures!" &amp; [1]Dashboard!J1 &amp;74) - [1]Dashboard!K1/24,"TBC")</f>
        <v>TBC</v>
      </c>
      <c r="CV12" s="41"/>
      <c r="CW12" s="41" t="s">
        <v>32</v>
      </c>
      <c r="CX12" s="41" t="s">
        <v>21</v>
      </c>
      <c r="CY12" s="42">
        <f>IF(ISBLANK([1]fixtures!$K74),"",[1]fixtures!$K74)</f>
        <v>3</v>
      </c>
      <c r="CZ12" s="41" t="str">
        <f>IF(ISBLANK([1]fixtures!$L74),"",":")</f>
        <v>:</v>
      </c>
      <c r="DA12" s="43">
        <f>IF(ISBLANK([1]fixtures!$L74),"",[1]fixtures!$L74)</f>
        <v>0</v>
      </c>
      <c r="DB12" s="41" t="str">
        <f>IF(ISBLANK([1]fixtures!$L74),"",IF(CY12&gt;DA12,"W",IF(CY12=DA12,"D","L")))</f>
        <v>W</v>
      </c>
      <c r="DC12" s="41"/>
      <c r="DD12" s="41"/>
      <c r="DE12" s="39">
        <v>7</v>
      </c>
      <c r="DF12" s="38" t="s">
        <v>39</v>
      </c>
      <c r="DG12" s="169" t="str">
        <f ca="1">IFERROR(INDIRECT("fixtures!" &amp; [1]Dashboard!J1 &amp;75) - [1]Dashboard!K1/24,"TBC")</f>
        <v>TBC</v>
      </c>
      <c r="DH12" s="38"/>
      <c r="DI12" s="38" t="s">
        <v>20</v>
      </c>
      <c r="DJ12" s="38" t="s">
        <v>21</v>
      </c>
      <c r="DK12" s="39">
        <f>IF(ISBLANK([1]fixtures!$K75),"",[1]fixtures!$K75)</f>
        <v>3</v>
      </c>
      <c r="DL12" s="38" t="str">
        <f>IF(ISBLANK([1]fixtures!$L75),"",":")</f>
        <v>:</v>
      </c>
      <c r="DM12" s="40">
        <f>IF(ISBLANK([1]fixtures!$L75),"",[1]fixtures!$L75)</f>
        <v>1</v>
      </c>
      <c r="DN12" s="38" t="str">
        <f>IF(ISBLANK([1]fixtures!$L75),"",IF(DK12&gt;DM12,"W",IF(DK12=DM12,"D","L")))</f>
        <v>W</v>
      </c>
      <c r="DO12" s="38"/>
      <c r="DP12" s="38"/>
      <c r="DQ12" s="36">
        <v>8</v>
      </c>
      <c r="DR12" s="35" t="s">
        <v>18</v>
      </c>
      <c r="DS12" s="167" t="str">
        <f ca="1">IFERROR(INDIRECT("fixtures!" &amp; [1]Dashboard!J1 &amp;78) - [1]Dashboard!K1/24,"TBC")</f>
        <v>TBC</v>
      </c>
      <c r="DT12" s="35"/>
      <c r="DU12" s="35" t="s">
        <v>25</v>
      </c>
      <c r="DV12" s="35" t="s">
        <v>16</v>
      </c>
      <c r="DW12" s="36">
        <f>IF(ISBLANK([1]fixtures!$L78),"",[1]fixtures!$L78)</f>
        <v>2</v>
      </c>
      <c r="DX12" s="35" t="str">
        <f>IF(ISBLANK([1]fixtures!$L78),"",":")</f>
        <v>:</v>
      </c>
      <c r="DY12" s="37">
        <f>IF(ISBLANK([1]fixtures!$K78),"",[1]fixtures!$K78)</f>
        <v>2</v>
      </c>
      <c r="DZ12" s="35" t="str">
        <f>IF(ISBLANK([1]fixtures!$L78),"",IF(DW12&gt;DY12,"W",IF(DW12=DY12,"D","L")))</f>
        <v>D</v>
      </c>
      <c r="EA12" s="35"/>
      <c r="EB12" s="35"/>
      <c r="EC12" s="33">
        <v>7</v>
      </c>
      <c r="ED12" s="32" t="s">
        <v>39</v>
      </c>
      <c r="EE12" s="190" t="str">
        <f ca="1">IFERROR(INDIRECT("fixtures!" &amp; [1]Dashboard!J1 &amp;72) - [1]Dashboard!K1/24,"TBC")</f>
        <v>TBC</v>
      </c>
      <c r="EF12" s="32"/>
      <c r="EG12" s="32" t="s">
        <v>22</v>
      </c>
      <c r="EH12" s="32" t="s">
        <v>21</v>
      </c>
      <c r="EI12" s="33">
        <f>IF(ISBLANK([1]fixtures!$K72),"",[1]fixtures!$K72)</f>
        <v>0</v>
      </c>
      <c r="EJ12" s="32" t="str">
        <f>IF(ISBLANK([1]fixtures!$L72),"",":")</f>
        <v>:</v>
      </c>
      <c r="EK12" s="34">
        <f>IF(ISBLANK([1]fixtures!$L72),"",[1]fixtures!$L72)</f>
        <v>1</v>
      </c>
      <c r="EL12" s="32" t="str">
        <f>IF(ISBLANK([1]fixtures!$L72),"",IF(EI12&gt;EK12,"W",IF(EI12=EK12,"D","L")))</f>
        <v>L</v>
      </c>
      <c r="EM12" s="32"/>
      <c r="EN12" s="32"/>
      <c r="EO12" s="30">
        <v>8</v>
      </c>
      <c r="EP12" s="29" t="s">
        <v>18</v>
      </c>
      <c r="EQ12" s="164" t="str">
        <f ca="1">IFERROR(INDIRECT("fixtures!" &amp; [1]Dashboard!J1 &amp;81) - [1]Dashboard!K1/24,"TBC")</f>
        <v>TBC</v>
      </c>
      <c r="ER12" s="29"/>
      <c r="ES12" s="29" t="s">
        <v>30</v>
      </c>
      <c r="ET12" s="29" t="s">
        <v>16</v>
      </c>
      <c r="EU12" s="30">
        <f>IF(ISBLANK([1]fixtures!$L81),"",[1]fixtures!$L81)</f>
        <v>0</v>
      </c>
      <c r="EV12" s="29" t="str">
        <f>IF(ISBLANK([1]fixtures!$L81),"",":")</f>
        <v>:</v>
      </c>
      <c r="EW12" s="31">
        <f>IF(ISBLANK([1]fixtures!$K81),"",[1]fixtures!$K81)</f>
        <v>1</v>
      </c>
      <c r="EX12" s="29" t="str">
        <f>IF(ISBLANK([1]fixtures!$L81),"",IF(EU12&gt;EW12,"W",IF(EU12=EW12,"D","L")))</f>
        <v>L</v>
      </c>
      <c r="EY12" s="29"/>
      <c r="EZ12" s="29"/>
      <c r="FA12" s="27">
        <v>7</v>
      </c>
      <c r="FB12" s="26" t="s">
        <v>39</v>
      </c>
      <c r="FC12" s="189" t="str">
        <f ca="1">IFERROR(INDIRECT("fixtures!" &amp; [1]Dashboard!J1 &amp;76) - [1]Dashboard!K1/24,"TBC")</f>
        <v>TBC</v>
      </c>
      <c r="FD12" s="26"/>
      <c r="FE12" s="26" t="s">
        <v>24</v>
      </c>
      <c r="FF12" s="26" t="s">
        <v>21</v>
      </c>
      <c r="FG12" s="27">
        <f>IF(ISBLANK([1]fixtures!$K76),"",[1]fixtures!$K76)</f>
        <v>2</v>
      </c>
      <c r="FH12" s="26" t="str">
        <f>IF(ISBLANK([1]fixtures!$L76),"",":")</f>
        <v>:</v>
      </c>
      <c r="FI12" s="28">
        <f>IF(ISBLANK([1]fixtures!$L76),"",[1]fixtures!$L76)</f>
        <v>1</v>
      </c>
      <c r="FJ12" s="26" t="str">
        <f>IF(ISBLANK([1]fixtures!$L76),"",IF(FG12&gt;FI12,"W",IF(FG12=FI12,"D","L")))</f>
        <v>W</v>
      </c>
      <c r="FK12" s="26"/>
      <c r="FL12" s="26"/>
      <c r="FM12" s="24">
        <v>8</v>
      </c>
      <c r="FN12" s="23" t="s">
        <v>18</v>
      </c>
      <c r="FO12" s="161" t="str">
        <f ca="1">IFERROR(INDIRECT("fixtures!" &amp; [1]Dashboard!J1 &amp;79) - [1]Dashboard!K1/24,"TBC")</f>
        <v>TBC</v>
      </c>
      <c r="FP12" s="23"/>
      <c r="FQ12" s="23" t="s">
        <v>26</v>
      </c>
      <c r="FR12" s="23" t="s">
        <v>16</v>
      </c>
      <c r="FS12" s="24">
        <f>IF(ISBLANK([1]fixtures!$L79),"",[1]fixtures!$L79)</f>
        <v>2</v>
      </c>
      <c r="FT12" s="23" t="str">
        <f>IF(ISBLANK([1]fixtures!$L79),"",":")</f>
        <v>:</v>
      </c>
      <c r="FU12" s="25">
        <f>IF(ISBLANK([1]fixtures!$K79),"",[1]fixtures!$K79)</f>
        <v>2</v>
      </c>
      <c r="FV12" s="23" t="str">
        <f>IF(ISBLANK([1]fixtures!$L79),"",IF(FS12&gt;FU12,"W",IF(FS12=FU12,"D","L")))</f>
        <v>D</v>
      </c>
      <c r="FW12" s="23"/>
      <c r="FX12" s="23"/>
      <c r="FY12" s="21">
        <v>7</v>
      </c>
      <c r="FZ12" s="20" t="s">
        <v>39</v>
      </c>
      <c r="GA12" s="159" t="str">
        <f ca="1">IFERROR(INDIRECT("fixtures!" &amp; [1]Dashboard!J1 &amp;77) - [1]Dashboard!K1/24,"TBC")</f>
        <v>TBC</v>
      </c>
      <c r="GB12" s="20"/>
      <c r="GC12" s="20" t="s">
        <v>37</v>
      </c>
      <c r="GD12" s="20" t="s">
        <v>16</v>
      </c>
      <c r="GE12" s="21">
        <f>IF(ISBLANK([1]fixtures!$L77),"",[1]fixtures!$L77)</f>
        <v>0</v>
      </c>
      <c r="GF12" s="20" t="str">
        <f>IF(ISBLANK([1]fixtures!$L77),"",":")</f>
        <v>:</v>
      </c>
      <c r="GG12" s="22">
        <f>IF(ISBLANK([1]fixtures!$K77),"",[1]fixtures!$K77)</f>
        <v>0</v>
      </c>
      <c r="GH12" s="20" t="str">
        <f>IF(ISBLANK([1]fixtures!$L77),"",IF(GE12&gt;GG12,"W",IF(GE12=GG12,"D","L")))</f>
        <v>D</v>
      </c>
      <c r="GI12" s="20"/>
      <c r="GJ12" s="20"/>
      <c r="GK12" s="18">
        <v>7</v>
      </c>
      <c r="GL12" s="17" t="s">
        <v>39</v>
      </c>
      <c r="GM12" s="157" t="str">
        <f ca="1">IFERROR(INDIRECT("fixtures!" &amp; [1]Dashboard!J1 &amp;75) - [1]Dashboard!K1/24,"TBC")</f>
        <v>TBC</v>
      </c>
      <c r="GN12" s="17"/>
      <c r="GO12" s="17" t="s">
        <v>27</v>
      </c>
      <c r="GP12" s="17" t="s">
        <v>16</v>
      </c>
      <c r="GQ12" s="18">
        <f>IF(ISBLANK([1]fixtures!$L75),"",[1]fixtures!$L75)</f>
        <v>1</v>
      </c>
      <c r="GR12" s="17" t="str">
        <f>IF(ISBLANK([1]fixtures!$L75),"",":")</f>
        <v>:</v>
      </c>
      <c r="GS12" s="19">
        <f>IF(ISBLANK([1]fixtures!$K75),"",[1]fixtures!$K75)</f>
        <v>3</v>
      </c>
      <c r="GT12" s="17" t="str">
        <f>IF(ISBLANK([1]fixtures!$L75),"",IF(GQ12&gt;GS12,"W",IF(GQ12=GS12,"D","L")))</f>
        <v>L</v>
      </c>
      <c r="GU12" s="17"/>
      <c r="GV12" s="17"/>
      <c r="GW12" s="15">
        <v>7</v>
      </c>
      <c r="GX12" s="14" t="s">
        <v>39</v>
      </c>
      <c r="GY12" s="155" t="str">
        <f ca="1">IFERROR(INDIRECT("fixtures!" &amp; [1]Dashboard!J1 &amp;72) - [1]Dashboard!K1/24,"TBC")</f>
        <v>TBC</v>
      </c>
      <c r="GZ12" s="14"/>
      <c r="HA12" s="14" t="s">
        <v>29</v>
      </c>
      <c r="HB12" s="14" t="s">
        <v>16</v>
      </c>
      <c r="HC12" s="15">
        <f>IF(ISBLANK([1]fixtures!$L72),"",[1]fixtures!$L72)</f>
        <v>1</v>
      </c>
      <c r="HD12" s="14" t="str">
        <f>IF(ISBLANK([1]fixtures!$L72),"",":")</f>
        <v>:</v>
      </c>
      <c r="HE12" s="16">
        <f>IF(ISBLANK([1]fixtures!$K72),"",[1]fixtures!$K72)</f>
        <v>0</v>
      </c>
      <c r="HF12" s="14" t="str">
        <f>IF(ISBLANK([1]fixtures!$L72),"",IF(HC12&gt;HE12,"W",IF(HC12=HE12,"D","L")))</f>
        <v>W</v>
      </c>
      <c r="HG12" s="14"/>
      <c r="HH12" s="14"/>
      <c r="HI12" s="12">
        <v>8</v>
      </c>
      <c r="HJ12" s="11" t="s">
        <v>18</v>
      </c>
      <c r="HK12" s="153" t="str">
        <f ca="1">IFERROR(INDIRECT("fixtures!" &amp; [1]Dashboard!J1 &amp;79) - [1]Dashboard!K1/24,"TBC")</f>
        <v>TBC</v>
      </c>
      <c r="HL12" s="11"/>
      <c r="HM12" s="11" t="s">
        <v>35</v>
      </c>
      <c r="HN12" s="11" t="s">
        <v>21</v>
      </c>
      <c r="HO12" s="12">
        <f>IF(ISBLANK([1]fixtures!$K79),"",[1]fixtures!$K79)</f>
        <v>2</v>
      </c>
      <c r="HP12" s="11" t="str">
        <f>IF(ISBLANK([1]fixtures!$L79),"",":")</f>
        <v>:</v>
      </c>
      <c r="HQ12" s="13">
        <f>IF(ISBLANK([1]fixtures!$L79),"",[1]fixtures!$L79)</f>
        <v>2</v>
      </c>
      <c r="HR12" s="11" t="str">
        <f>IF(ISBLANK([1]fixtures!$L79),"",IF(HO12&gt;HQ12,"W",IF(HO12=HQ12,"D","L")))</f>
        <v>D</v>
      </c>
      <c r="HS12" s="11"/>
      <c r="HT12" s="11"/>
      <c r="HU12" s="9">
        <v>8</v>
      </c>
      <c r="HV12" s="8" t="s">
        <v>18</v>
      </c>
      <c r="HW12" s="151" t="str">
        <f ca="1">IFERROR(INDIRECT("fixtures!" &amp; [1]Dashboard!J1 &amp;80) - [1]Dashboard!K1/24,"TBC")</f>
        <v>TBC</v>
      </c>
      <c r="HX12" s="8"/>
      <c r="HY12" s="8" t="s">
        <v>31</v>
      </c>
      <c r="HZ12" s="8" t="s">
        <v>21</v>
      </c>
      <c r="IA12" s="9">
        <f>IF(ISBLANK([1]fixtures!$K80),"",[1]fixtures!$K80)</f>
        <v>1</v>
      </c>
      <c r="IB12" s="8" t="str">
        <f>IF(ISBLANK([1]fixtures!$L80),"",":")</f>
        <v>:</v>
      </c>
      <c r="IC12" s="10">
        <f>IF(ISBLANK([1]fixtures!$L80),"",[1]fixtures!$L80)</f>
        <v>1</v>
      </c>
      <c r="ID12" s="8" t="str">
        <f>IF(ISBLANK([1]fixtures!$L80),"",IF(IA12&gt;IC12,"W",IF(IA12=IC12,"D","L")))</f>
        <v>D</v>
      </c>
      <c r="IE12" s="8"/>
      <c r="IF12" s="8"/>
      <c r="II12" s="7"/>
    </row>
    <row r="13" spans="1:243" x14ac:dyDescent="0.25">
      <c r="A13" s="67">
        <v>21</v>
      </c>
      <c r="B13" s="68" t="s">
        <v>39</v>
      </c>
      <c r="C13" s="187" t="str">
        <f ca="1">IFERROR(INDIRECT("fixtures!" &amp; [1]Dashboard!J1 &amp;88) - [1]Dashboard!K1/24,"TBC")</f>
        <v>TBC</v>
      </c>
      <c r="D13" s="66"/>
      <c r="E13" s="66" t="s">
        <v>36</v>
      </c>
      <c r="F13" s="66" t="s">
        <v>16</v>
      </c>
      <c r="G13" s="67">
        <f>IF(ISBLANK([1]fixtures!$L88),"",[1]fixtures!$L88)</f>
        <v>2</v>
      </c>
      <c r="H13" s="66" t="str">
        <f>IF(ISBLANK([1]fixtures!$L88),"",":")</f>
        <v>:</v>
      </c>
      <c r="I13" s="68">
        <f>IF(ISBLANK([1]fixtures!$K88),"",[1]fixtures!$K88)</f>
        <v>2</v>
      </c>
      <c r="J13" s="66" t="str">
        <f>IF(ISBLANK([1]fixtures!$L88),"",IF(G13&gt;I13,"W",IF(G13=I13,"D","L")))</f>
        <v>D</v>
      </c>
      <c r="K13" s="66"/>
      <c r="L13" s="66"/>
      <c r="M13" s="63">
        <v>22</v>
      </c>
      <c r="N13" s="62" t="s">
        <v>18</v>
      </c>
      <c r="O13" s="185" t="str">
        <f ca="1">IFERROR(INDIRECT("fixtures!" &amp; [1]Dashboard!J1 &amp;90) - [1]Dashboard!K1/24,"TBC")</f>
        <v>TBC</v>
      </c>
      <c r="P13" s="62"/>
      <c r="Q13" s="62" t="s">
        <v>26</v>
      </c>
      <c r="R13" s="62" t="s">
        <v>21</v>
      </c>
      <c r="S13" s="63">
        <f>IF(ISBLANK([1]fixtures!$K90),"",[1]fixtures!$K90)</f>
        <v>4</v>
      </c>
      <c r="T13" s="62" t="str">
        <f>IF(ISBLANK([1]fixtures!$L90),"",":")</f>
        <v>:</v>
      </c>
      <c r="U13" s="64">
        <f>IF(ISBLANK([1]fixtures!$L90),"",[1]fixtures!$L90)</f>
        <v>1</v>
      </c>
      <c r="V13" s="62" t="str">
        <f>IF(ISBLANK([1]fixtures!$L90),"",IF(S13&gt;U13,"W",IF(S13=U13,"D","L")))</f>
        <v>W</v>
      </c>
      <c r="W13" s="62"/>
      <c r="X13" s="62"/>
      <c r="Y13" s="60">
        <v>21</v>
      </c>
      <c r="Z13" s="59" t="s">
        <v>39</v>
      </c>
      <c r="AA13" s="183" t="str">
        <f ca="1">IFERROR(INDIRECT("fixtures!" &amp; [1]Dashboard!J1 &amp;83) - [1]Dashboard!K1/24,"TBC")</f>
        <v>TBC</v>
      </c>
      <c r="AB13" s="59"/>
      <c r="AC13" s="59" t="s">
        <v>28</v>
      </c>
      <c r="AD13" s="59" t="s">
        <v>21</v>
      </c>
      <c r="AE13" s="60">
        <f>IF(ISBLANK([1]fixtures!$K83),"",[1]fixtures!$K83)</f>
        <v>1</v>
      </c>
      <c r="AF13" s="59" t="str">
        <f>IF(ISBLANK([1]fixtures!$L83),"",":")</f>
        <v>:</v>
      </c>
      <c r="AG13" s="61">
        <f>IF(ISBLANK([1]fixtures!$L83),"",[1]fixtures!$L83)</f>
        <v>2</v>
      </c>
      <c r="AH13" s="59" t="str">
        <f>IF(ISBLANK([1]fixtures!$L83),"",IF(AE13&gt;AG13,"W",IF(AE13=AG13,"D","L")))</f>
        <v>L</v>
      </c>
      <c r="AI13" s="59"/>
      <c r="AJ13" s="59"/>
      <c r="AK13" s="57">
        <v>21</v>
      </c>
      <c r="AL13" s="56" t="s">
        <v>39</v>
      </c>
      <c r="AM13" s="181" t="str">
        <f ca="1">IFERROR(INDIRECT("fixtures!" &amp; [1]Dashboard!J1 &amp;84) - [1]Dashboard!K1/24,"TBC")</f>
        <v>TBC</v>
      </c>
      <c r="AN13" s="56"/>
      <c r="AO13" s="56" t="s">
        <v>23</v>
      </c>
      <c r="AP13" s="56" t="s">
        <v>21</v>
      </c>
      <c r="AQ13" s="57">
        <f>IF(ISBLANK([1]fixtures!$K84),"",[1]fixtures!$K84)</f>
        <v>3</v>
      </c>
      <c r="AR13" s="56" t="str">
        <f>IF(ISBLANK([1]fixtures!$L84),"",":")</f>
        <v>:</v>
      </c>
      <c r="AS13" s="58">
        <f>IF(ISBLANK([1]fixtures!$L84),"",[1]fixtures!$L84)</f>
        <v>0</v>
      </c>
      <c r="AT13" s="56" t="str">
        <f>IF(ISBLANK([1]fixtures!$L84),"",IF(AQ13&gt;AS13,"W",IF(AQ13=AS13,"D","L")))</f>
        <v>W</v>
      </c>
      <c r="AU13" s="56"/>
      <c r="AV13" s="56"/>
      <c r="AW13" s="54">
        <v>21</v>
      </c>
      <c r="AX13" s="53" t="s">
        <v>39</v>
      </c>
      <c r="AY13" s="179" t="str">
        <f ca="1">IFERROR(INDIRECT("fixtures!" &amp; [1]Dashboard!J1 &amp;85) - [1]Dashboard!K1/24,"TBC")</f>
        <v>TBC</v>
      </c>
      <c r="AZ13" s="53"/>
      <c r="BA13" s="53" t="s">
        <v>19</v>
      </c>
      <c r="BB13" s="53" t="s">
        <v>16</v>
      </c>
      <c r="BC13" s="54">
        <f>IF(ISBLANK([1]fixtures!$L85),"",[1]fixtures!$L85)</f>
        <v>1</v>
      </c>
      <c r="BD13" s="53" t="str">
        <f>IF(ISBLANK([1]fixtures!$L85),"",":")</f>
        <v>:</v>
      </c>
      <c r="BE13" s="55">
        <f>IF(ISBLANK([1]fixtures!$K85),"",[1]fixtures!$K85)</f>
        <v>2</v>
      </c>
      <c r="BF13" s="53" t="str">
        <f>IF(ISBLANK([1]fixtures!$L85),"",IF(BC13&gt;BE13,"W",IF(BC13=BE13,"D","L")))</f>
        <v>L</v>
      </c>
      <c r="BG13" s="53"/>
      <c r="BH13" s="53"/>
      <c r="BI13" s="51">
        <v>21</v>
      </c>
      <c r="BJ13" s="50" t="s">
        <v>39</v>
      </c>
      <c r="BK13" s="177" t="str">
        <f ca="1">IFERROR(INDIRECT("fixtures!" &amp; [1]Dashboard!J1 &amp;84) - [1]Dashboard!K1/24,"TBC")</f>
        <v>TBC</v>
      </c>
      <c r="BL13" s="50"/>
      <c r="BM13" s="50" t="s">
        <v>24</v>
      </c>
      <c r="BN13" s="50" t="s">
        <v>16</v>
      </c>
      <c r="BO13" s="51">
        <f>IF(ISBLANK([1]fixtures!$L84),"",[1]fixtures!$L84)</f>
        <v>0</v>
      </c>
      <c r="BP13" s="50" t="str">
        <f>IF(ISBLANK([1]fixtures!$L84),"",":")</f>
        <v>:</v>
      </c>
      <c r="BQ13" s="52">
        <f>IF(ISBLANK([1]fixtures!$K84),"",[1]fixtures!$K84)</f>
        <v>3</v>
      </c>
      <c r="BR13" s="50" t="str">
        <f>IF(ISBLANK([1]fixtures!$L84),"",IF(BO13&gt;BQ13,"W",IF(BO13=BQ13,"D","L")))</f>
        <v>L</v>
      </c>
      <c r="BS13" s="50"/>
      <c r="BT13" s="50"/>
      <c r="BU13" s="48">
        <v>21</v>
      </c>
      <c r="BV13" s="47" t="s">
        <v>39</v>
      </c>
      <c r="BW13" s="175" t="str">
        <f ca="1">IFERROR(INDIRECT("fixtures!" &amp; [1]Dashboard!J1 &amp;88) - [1]Dashboard!K1/24,"TBC")</f>
        <v>TBC</v>
      </c>
      <c r="BX13" s="47"/>
      <c r="BY13" s="47" t="s">
        <v>30</v>
      </c>
      <c r="BZ13" s="47" t="s">
        <v>21</v>
      </c>
      <c r="CA13" s="48">
        <f>IF(ISBLANK([1]fixtures!$K88),"",[1]fixtures!$K88)</f>
        <v>2</v>
      </c>
      <c r="CB13" s="47" t="str">
        <f>IF(ISBLANK([1]fixtures!$L88),"",":")</f>
        <v>:</v>
      </c>
      <c r="CC13" s="49">
        <f>IF(ISBLANK([1]fixtures!$L88),"",[1]fixtures!$L88)</f>
        <v>2</v>
      </c>
      <c r="CD13" s="47" t="str">
        <f>IF(ISBLANK([1]fixtures!$L88),"",IF(CA13&gt;CC13,"W",IF(CA13=CC13,"D","L")))</f>
        <v>D</v>
      </c>
      <c r="CE13" s="47"/>
      <c r="CF13" s="47"/>
      <c r="CG13" s="45">
        <v>21</v>
      </c>
      <c r="CH13" s="44" t="s">
        <v>39</v>
      </c>
      <c r="CI13" s="173" t="str">
        <f ca="1">IFERROR(INDIRECT("fixtures!" &amp; [1]Dashboard!J1 &amp;86) - [1]Dashboard!K1/24,"TBC")</f>
        <v>TBC</v>
      </c>
      <c r="CJ13" s="44"/>
      <c r="CK13" s="44" t="s">
        <v>35</v>
      </c>
      <c r="CL13" s="44" t="s">
        <v>16</v>
      </c>
      <c r="CM13" s="45">
        <f>IF(ISBLANK([1]fixtures!$L86),"",[1]fixtures!$L86)</f>
        <v>0</v>
      </c>
      <c r="CN13" s="44" t="str">
        <f>IF(ISBLANK([1]fixtures!$L86),"",":")</f>
        <v>:</v>
      </c>
      <c r="CO13" s="46">
        <f>IF(ISBLANK([1]fixtures!$K86),"",[1]fixtures!$K86)</f>
        <v>4</v>
      </c>
      <c r="CP13" s="44" t="str">
        <f>IF(ISBLANK([1]fixtures!$L86),"",IF(CM13&gt;CO13,"W",IF(CM13=CO13,"D","L")))</f>
        <v>L</v>
      </c>
      <c r="CQ13" s="44"/>
      <c r="CR13" s="44"/>
      <c r="CS13" s="42">
        <v>21</v>
      </c>
      <c r="CT13" s="41" t="s">
        <v>39</v>
      </c>
      <c r="CU13" s="171" t="str">
        <f ca="1">IFERROR(INDIRECT("fixtures!" &amp; [1]Dashboard!J1 &amp;82) - [1]Dashboard!K1/24,"TBC")</f>
        <v>TBC</v>
      </c>
      <c r="CV13" s="41"/>
      <c r="CW13" s="41" t="s">
        <v>17</v>
      </c>
      <c r="CX13" s="41" t="s">
        <v>16</v>
      </c>
      <c r="CY13" s="42">
        <f>IF(ISBLANK([1]fixtures!$L82),"",[1]fixtures!$L82)</f>
        <v>0</v>
      </c>
      <c r="CZ13" s="41" t="str">
        <f>IF(ISBLANK([1]fixtures!$L82),"",":")</f>
        <v>:</v>
      </c>
      <c r="DA13" s="43">
        <f>IF(ISBLANK([1]fixtures!$K82),"",[1]fixtures!$K82)</f>
        <v>2</v>
      </c>
      <c r="DB13" s="41" t="str">
        <f>IF(ISBLANK([1]fixtures!$L82),"",IF(CY13&gt;DA13,"W",IF(CY13=DA13,"D","L")))</f>
        <v>L</v>
      </c>
      <c r="DC13" s="41"/>
      <c r="DD13" s="41"/>
      <c r="DE13" s="39">
        <v>23</v>
      </c>
      <c r="DF13" s="38" t="s">
        <v>42</v>
      </c>
      <c r="DG13" s="169" t="str">
        <f ca="1">IFERROR(INDIRECT("fixtures!" &amp; [1]Dashboard!J1 &amp;91) - [1]Dashboard!K1/24,"TBC")</f>
        <v>TBC</v>
      </c>
      <c r="DH13" s="38"/>
      <c r="DI13" s="38" t="s">
        <v>22</v>
      </c>
      <c r="DJ13" s="38" t="s">
        <v>16</v>
      </c>
      <c r="DK13" s="39">
        <f>IF(ISBLANK([1]fixtures!$L91),"",[1]fixtures!$L91)</f>
        <v>0</v>
      </c>
      <c r="DL13" s="38" t="str">
        <f>IF(ISBLANK([1]fixtures!$L91),"",":")</f>
        <v>:</v>
      </c>
      <c r="DM13" s="40">
        <f>IF(ISBLANK([1]fixtures!$K91),"",[1]fixtures!$K91)</f>
        <v>2</v>
      </c>
      <c r="DN13" s="38" t="str">
        <f>IF(ISBLANK([1]fixtures!$L91),"",IF(DK13&gt;DM13,"W",IF(DK13=DM13,"D","L")))</f>
        <v>L</v>
      </c>
      <c r="DO13" s="38"/>
      <c r="DP13" s="38"/>
      <c r="DQ13" s="36">
        <v>21</v>
      </c>
      <c r="DR13" s="35" t="s">
        <v>39</v>
      </c>
      <c r="DS13" s="167" t="str">
        <f ca="1">IFERROR(INDIRECT("fixtures!" &amp; [1]Dashboard!J1 &amp;82) - [1]Dashboard!K1/24,"TBC")</f>
        <v>TBC</v>
      </c>
      <c r="DT13" s="35"/>
      <c r="DU13" s="35" t="s">
        <v>38</v>
      </c>
      <c r="DV13" s="35" t="s">
        <v>21</v>
      </c>
      <c r="DW13" s="36">
        <f>IF(ISBLANK([1]fixtures!$K82),"",[1]fixtures!$K82)</f>
        <v>2</v>
      </c>
      <c r="DX13" s="35" t="str">
        <f>IF(ISBLANK([1]fixtures!$L82),"",":")</f>
        <v>:</v>
      </c>
      <c r="DY13" s="37">
        <f>IF(ISBLANK([1]fixtures!$L82),"",[1]fixtures!$L82)</f>
        <v>0</v>
      </c>
      <c r="DZ13" s="35" t="str">
        <f>IF(ISBLANK([1]fixtures!$L82),"",IF(DW13&gt;DY13,"W",IF(DW13=DY13,"D","L")))</f>
        <v>W</v>
      </c>
      <c r="EA13" s="35"/>
      <c r="EB13" s="35"/>
      <c r="EC13" s="33">
        <v>21</v>
      </c>
      <c r="ED13" s="32" t="s">
        <v>39</v>
      </c>
      <c r="EE13" s="190" t="str">
        <f ca="1">IFERROR(INDIRECT("fixtures!" &amp; [1]Dashboard!J1 &amp;87) - [1]Dashboard!K1/24,"TBC")</f>
        <v>TBC</v>
      </c>
      <c r="EF13" s="32"/>
      <c r="EG13" s="32" t="s">
        <v>33</v>
      </c>
      <c r="EH13" s="32" t="s">
        <v>16</v>
      </c>
      <c r="EI13" s="33">
        <f>IF(ISBLANK([1]fixtures!$L87),"",[1]fixtures!$L87)</f>
        <v>2</v>
      </c>
      <c r="EJ13" s="32" t="str">
        <f>IF(ISBLANK([1]fixtures!$L87),"",":")</f>
        <v>:</v>
      </c>
      <c r="EK13" s="34">
        <f>IF(ISBLANK([1]fixtures!$K87),"",[1]fixtures!$K87)</f>
        <v>2</v>
      </c>
      <c r="EL13" s="32" t="str">
        <f>IF(ISBLANK([1]fixtures!$L87),"",IF(EI13&gt;EK13,"W",IF(EI13=EK13,"D","L")))</f>
        <v>D</v>
      </c>
      <c r="EM13" s="32"/>
      <c r="EN13" s="32"/>
      <c r="EO13" s="30">
        <v>21</v>
      </c>
      <c r="EP13" s="29" t="s">
        <v>39</v>
      </c>
      <c r="EQ13" s="164" t="str">
        <f ca="1">IFERROR(INDIRECT("fixtures!" &amp; [1]Dashboard!J1 &amp;85) - [1]Dashboard!K1/24,"TBC")</f>
        <v>TBC</v>
      </c>
      <c r="ER13" s="29"/>
      <c r="ES13" s="29" t="s">
        <v>25</v>
      </c>
      <c r="ET13" s="29" t="s">
        <v>21</v>
      </c>
      <c r="EU13" s="30">
        <f>IF(ISBLANK([1]fixtures!$K85),"",[1]fixtures!$K85)</f>
        <v>2</v>
      </c>
      <c r="EV13" s="29" t="str">
        <f>IF(ISBLANK([1]fixtures!$L85),"",":")</f>
        <v>:</v>
      </c>
      <c r="EW13" s="31">
        <f>IF(ISBLANK([1]fixtures!$L85),"",[1]fixtures!$L85)</f>
        <v>1</v>
      </c>
      <c r="EX13" s="29" t="str">
        <f>IF(ISBLANK([1]fixtures!$L85),"",IF(EU13&gt;EW13,"W",IF(EU13=EW13,"D","L")))</f>
        <v>W</v>
      </c>
      <c r="EY13" s="29"/>
      <c r="EZ13" s="29"/>
      <c r="FA13" s="27">
        <v>21</v>
      </c>
      <c r="FB13" s="26" t="s">
        <v>39</v>
      </c>
      <c r="FC13" s="189" t="str">
        <f ca="1">IFERROR(INDIRECT("fixtures!" &amp; [1]Dashboard!J1 &amp;89) - [1]Dashboard!K1/24,"TBC")</f>
        <v>TBC</v>
      </c>
      <c r="FD13" s="26"/>
      <c r="FE13" s="26" t="s">
        <v>20</v>
      </c>
      <c r="FF13" s="26" t="s">
        <v>16</v>
      </c>
      <c r="FG13" s="27">
        <f>IF(ISBLANK([1]fixtures!$L89),"",[1]fixtures!$L89)</f>
        <v>2</v>
      </c>
      <c r="FH13" s="26" t="str">
        <f>IF(ISBLANK([1]fixtures!$L89),"",":")</f>
        <v>:</v>
      </c>
      <c r="FI13" s="28">
        <f>IF(ISBLANK([1]fixtures!$K89),"",[1]fixtures!$K89)</f>
        <v>1</v>
      </c>
      <c r="FJ13" s="26" t="str">
        <f>IF(ISBLANK([1]fixtures!$L89),"",IF(FG13&gt;FI13,"W",IF(FG13=FI13,"D","L")))</f>
        <v>W</v>
      </c>
      <c r="FK13" s="26"/>
      <c r="FL13" s="26"/>
      <c r="FM13" s="24">
        <v>21</v>
      </c>
      <c r="FN13" s="23" t="s">
        <v>39</v>
      </c>
      <c r="FO13" s="161" t="str">
        <f ca="1">IFERROR(INDIRECT("fixtures!" &amp; [1]Dashboard!J1 &amp;86) - [1]Dashboard!K1/24,"TBC")</f>
        <v>TBC</v>
      </c>
      <c r="FP13" s="23"/>
      <c r="FQ13" s="23" t="s">
        <v>37</v>
      </c>
      <c r="FR13" s="23" t="s">
        <v>21</v>
      </c>
      <c r="FS13" s="24">
        <f>IF(ISBLANK([1]fixtures!$K86),"",[1]fixtures!$K86)</f>
        <v>4</v>
      </c>
      <c r="FT13" s="23" t="str">
        <f>IF(ISBLANK([1]fixtures!$L86),"",":")</f>
        <v>:</v>
      </c>
      <c r="FU13" s="25">
        <f>IF(ISBLANK([1]fixtures!$L86),"",[1]fixtures!$L86)</f>
        <v>0</v>
      </c>
      <c r="FV13" s="23" t="str">
        <f>IF(ISBLANK([1]fixtures!$L86),"",IF(FS13&gt;FU13,"W",IF(FS13=FU13,"D","L")))</f>
        <v>W</v>
      </c>
      <c r="FW13" s="23"/>
      <c r="FX13" s="23"/>
      <c r="FY13" s="21">
        <v>21</v>
      </c>
      <c r="FZ13" s="20" t="s">
        <v>39</v>
      </c>
      <c r="GA13" s="159" t="str">
        <f ca="1">IFERROR(INDIRECT("fixtures!" &amp; [1]Dashboard!J1 &amp;87) - [1]Dashboard!K1/24,"TBC")</f>
        <v>TBC</v>
      </c>
      <c r="GB13" s="20"/>
      <c r="GC13" s="20" t="s">
        <v>29</v>
      </c>
      <c r="GD13" s="20" t="s">
        <v>21</v>
      </c>
      <c r="GE13" s="21">
        <f>IF(ISBLANK([1]fixtures!$K87),"",[1]fixtures!$K87)</f>
        <v>2</v>
      </c>
      <c r="GF13" s="20" t="str">
        <f>IF(ISBLANK([1]fixtures!$L87),"",":")</f>
        <v>:</v>
      </c>
      <c r="GG13" s="22">
        <f>IF(ISBLANK([1]fixtures!$L87),"",[1]fixtures!$L87)</f>
        <v>2</v>
      </c>
      <c r="GH13" s="20" t="str">
        <f>IF(ISBLANK([1]fixtures!$L87),"",IF(GE13&gt;GG13,"W",IF(GE13=GG13,"D","L")))</f>
        <v>D</v>
      </c>
      <c r="GI13" s="20"/>
      <c r="GJ13" s="20"/>
      <c r="GK13" s="18">
        <v>21</v>
      </c>
      <c r="GL13" s="17" t="s">
        <v>39</v>
      </c>
      <c r="GM13" s="157" t="str">
        <f ca="1">IFERROR(INDIRECT("fixtures!" &amp; [1]Dashboard!J1 &amp;89) - [1]Dashboard!K1/24,"TBC")</f>
        <v>TBC</v>
      </c>
      <c r="GN13" s="17"/>
      <c r="GO13" s="17" t="s">
        <v>34</v>
      </c>
      <c r="GP13" s="17" t="s">
        <v>21</v>
      </c>
      <c r="GQ13" s="18">
        <f>IF(ISBLANK([1]fixtures!$K89),"",[1]fixtures!$K89)</f>
        <v>1</v>
      </c>
      <c r="GR13" s="17" t="str">
        <f>IF(ISBLANK([1]fixtures!$L89),"",":")</f>
        <v>:</v>
      </c>
      <c r="GS13" s="19">
        <f>IF(ISBLANK([1]fixtures!$L89),"",[1]fixtures!$L89)</f>
        <v>2</v>
      </c>
      <c r="GT13" s="17" t="str">
        <f>IF(ISBLANK([1]fixtures!$L89),"",IF(GQ13&gt;GS13,"W",IF(GQ13=GS13,"D","L")))</f>
        <v>L</v>
      </c>
      <c r="GU13" s="17"/>
      <c r="GV13" s="17"/>
      <c r="GW13" s="15">
        <v>23</v>
      </c>
      <c r="GX13" s="14" t="s">
        <v>42</v>
      </c>
      <c r="GY13" s="155" t="str">
        <f ca="1">IFERROR(INDIRECT("fixtures!" &amp; [1]Dashboard!J1 &amp;91) - [1]Dashboard!K1/24,"TBC")</f>
        <v>TBC</v>
      </c>
      <c r="GZ13" s="14"/>
      <c r="HA13" s="14" t="s">
        <v>27</v>
      </c>
      <c r="HB13" s="14" t="s">
        <v>21</v>
      </c>
      <c r="HC13" s="15">
        <f>IF(ISBLANK([1]fixtures!$K91),"",[1]fixtures!$K91)</f>
        <v>2</v>
      </c>
      <c r="HD13" s="14" t="str">
        <f>IF(ISBLANK([1]fixtures!$L91),"",":")</f>
        <v>:</v>
      </c>
      <c r="HE13" s="16">
        <f>IF(ISBLANK([1]fixtures!$L91),"",[1]fixtures!$L91)</f>
        <v>0</v>
      </c>
      <c r="HF13" s="14" t="str">
        <f>IF(ISBLANK([1]fixtures!$L91),"",IF(HC13&gt;HE13,"W",IF(HC13=HE13,"D","L")))</f>
        <v>W</v>
      </c>
      <c r="HG13" s="14"/>
      <c r="HH13" s="14"/>
      <c r="HI13" s="12">
        <v>22</v>
      </c>
      <c r="HJ13" s="11" t="s">
        <v>18</v>
      </c>
      <c r="HK13" s="153" t="str">
        <f ca="1">IFERROR(INDIRECT("fixtures!" &amp; [1]Dashboard!J1 &amp;90) - [1]Dashboard!K1/24,"TBC")</f>
        <v>TBC</v>
      </c>
      <c r="HL13" s="11"/>
      <c r="HM13" s="11" t="s">
        <v>31</v>
      </c>
      <c r="HN13" s="11" t="s">
        <v>16</v>
      </c>
      <c r="HO13" s="12">
        <f>IF(ISBLANK([1]fixtures!$L90),"",[1]fixtures!$L90)</f>
        <v>1</v>
      </c>
      <c r="HP13" s="11" t="str">
        <f>IF(ISBLANK([1]fixtures!$L90),"",":")</f>
        <v>:</v>
      </c>
      <c r="HQ13" s="13">
        <f>IF(ISBLANK([1]fixtures!$K90),"",[1]fixtures!$K90)</f>
        <v>4</v>
      </c>
      <c r="HR13" s="11" t="str">
        <f>IF(ISBLANK([1]fixtures!$L90),"",IF(HO13&gt;HQ13,"W",IF(HO13=HQ13,"D","L")))</f>
        <v>L</v>
      </c>
      <c r="HS13" s="11"/>
      <c r="HT13" s="11"/>
      <c r="HU13" s="9">
        <v>21</v>
      </c>
      <c r="HV13" s="8" t="s">
        <v>39</v>
      </c>
      <c r="HW13" s="151" t="str">
        <f ca="1">IFERROR(INDIRECT("fixtures!" &amp; [1]Dashboard!J1 &amp;83) - [1]Dashboard!K1/24,"TBC")</f>
        <v>TBC</v>
      </c>
      <c r="HX13" s="8"/>
      <c r="HY13" s="8" t="s">
        <v>32</v>
      </c>
      <c r="HZ13" s="8" t="s">
        <v>16</v>
      </c>
      <c r="IA13" s="9">
        <f>IF(ISBLANK([1]fixtures!$L83),"",[1]fixtures!$L83)</f>
        <v>2</v>
      </c>
      <c r="IB13" s="8" t="str">
        <f>IF(ISBLANK([1]fixtures!$L83),"",":")</f>
        <v>:</v>
      </c>
      <c r="IC13" s="10">
        <f>IF(ISBLANK([1]fixtures!$K83),"",[1]fixtures!$K83)</f>
        <v>1</v>
      </c>
      <c r="ID13" s="8" t="str">
        <f>IF(ISBLANK([1]fixtures!$L83),"",IF(IA13&gt;IC13,"W",IF(IA13=IC13,"D","L")))</f>
        <v>W</v>
      </c>
      <c r="IE13" s="8"/>
      <c r="IF13" s="8"/>
    </row>
    <row r="14" spans="1:243" x14ac:dyDescent="0.25">
      <c r="A14" s="67">
        <v>28</v>
      </c>
      <c r="B14" s="66" t="s">
        <v>39</v>
      </c>
      <c r="C14" s="187" t="str">
        <f ca="1">IFERROR(INDIRECT("fixtures!" &amp; [1]Dashboard!J1 &amp;94) - [1]Dashboard!K1/24,"TBC")</f>
        <v>TBC</v>
      </c>
      <c r="D14" s="66"/>
      <c r="E14" s="193" t="s">
        <v>20</v>
      </c>
      <c r="F14" s="66" t="s">
        <v>21</v>
      </c>
      <c r="G14" s="67">
        <f>IF(ISBLANK([1]fixtures!$K94),"",[1]fixtures!$K94)</f>
        <v>5</v>
      </c>
      <c r="H14" s="66" t="str">
        <f>IF(ISBLANK([1]fixtures!$L94),"",":")</f>
        <v>:</v>
      </c>
      <c r="I14" s="68">
        <f>IF(ISBLANK([1]fixtures!$L94),"",[1]fixtures!$L94)</f>
        <v>0</v>
      </c>
      <c r="J14" s="66" t="str">
        <f>IF(ISBLANK([1]fixtures!$L94),"",IF(G14&gt;I14,"W",IF(G14=I14,"D","L")))</f>
        <v>W</v>
      </c>
      <c r="K14" s="66"/>
      <c r="L14" s="66"/>
      <c r="M14" s="63">
        <v>29</v>
      </c>
      <c r="N14" s="62" t="s">
        <v>18</v>
      </c>
      <c r="O14" s="185" t="str">
        <f ca="1">IFERROR(INDIRECT("fixtures!" &amp; [1]Dashboard!J1 &amp;98) - [1]Dashboard!K1/24,"TBC")</f>
        <v>TBC</v>
      </c>
      <c r="P14" s="62"/>
      <c r="Q14" s="62" t="s">
        <v>29</v>
      </c>
      <c r="R14" s="62" t="s">
        <v>21</v>
      </c>
      <c r="S14" s="63">
        <f>IF(ISBLANK([1]fixtures!$K98),"",[1]fixtures!$K98)</f>
        <v>3</v>
      </c>
      <c r="T14" s="62" t="str">
        <f>IF(ISBLANK([1]fixtures!$L98),"",":")</f>
        <v>:</v>
      </c>
      <c r="U14" s="64">
        <f>IF(ISBLANK([1]fixtures!$L98),"",[1]fixtures!$L98)</f>
        <v>1</v>
      </c>
      <c r="V14" s="62" t="str">
        <f>IF(ISBLANK([1]fixtures!$L98),"",IF(S14&gt;U14,"W",IF(S14=U14,"D","L")))</f>
        <v>W</v>
      </c>
      <c r="W14" s="62"/>
      <c r="X14" s="62"/>
      <c r="Y14" s="60">
        <v>28</v>
      </c>
      <c r="Z14" s="59" t="s">
        <v>39</v>
      </c>
      <c r="AA14" s="183" t="str">
        <f ca="1">IFERROR(INDIRECT("fixtures!" &amp; [1]Dashboard!J1 &amp;95) - [1]Dashboard!K1/24,"TBC")</f>
        <v>TBC</v>
      </c>
      <c r="AB14" s="59"/>
      <c r="AC14" s="59" t="s">
        <v>23</v>
      </c>
      <c r="AD14" s="59" t="s">
        <v>21</v>
      </c>
      <c r="AE14" s="60">
        <f>IF(ISBLANK([1]fixtures!$K95),"",[1]fixtures!$K95)</f>
        <v>2</v>
      </c>
      <c r="AF14" s="59" t="str">
        <f>IF(ISBLANK([1]fixtures!$L95),"",":")</f>
        <v>:</v>
      </c>
      <c r="AG14" s="61">
        <f>IF(ISBLANK([1]fixtures!$L95),"",[1]fixtures!$L95)</f>
        <v>1</v>
      </c>
      <c r="AH14" s="59" t="str">
        <f>IF(ISBLANK([1]fixtures!$L95),"",IF(AE14&gt;AG14,"W",IF(AE14=AG14,"D","L")))</f>
        <v>W</v>
      </c>
      <c r="AI14" s="59"/>
      <c r="AJ14" s="59"/>
      <c r="AK14" s="57">
        <v>28</v>
      </c>
      <c r="AL14" s="56" t="s">
        <v>39</v>
      </c>
      <c r="AM14" s="181" t="str">
        <f ca="1">IFERROR(INDIRECT("fixtures!" &amp; [1]Dashboard!J1 &amp;93) - [1]Dashboard!K1/24,"TBC")</f>
        <v>TBC</v>
      </c>
      <c r="AN14" s="56"/>
      <c r="AO14" s="56" t="s">
        <v>36</v>
      </c>
      <c r="AP14" s="56" t="s">
        <v>16</v>
      </c>
      <c r="AQ14" s="57">
        <f>IF(ISBLANK([1]fixtures!$L93),"",[1]fixtures!$L93)</f>
        <v>2</v>
      </c>
      <c r="AR14" s="56" t="str">
        <f>IF(ISBLANK([1]fixtures!$L93),"",":")</f>
        <v>:</v>
      </c>
      <c r="AS14" s="58">
        <f>IF(ISBLANK([1]fixtures!$K93),"",[1]fixtures!$K93)</f>
        <v>0</v>
      </c>
      <c r="AT14" s="56" t="str">
        <f>IF(ISBLANK([1]fixtures!$L93),"",IF(AQ14&gt;AS14,"W",IF(AQ14=AS14,"D","L")))</f>
        <v>W</v>
      </c>
      <c r="AU14" s="56"/>
      <c r="AV14" s="56"/>
      <c r="AW14" s="54">
        <v>29</v>
      </c>
      <c r="AX14" s="53" t="s">
        <v>18</v>
      </c>
      <c r="AY14" s="179" t="str">
        <f ca="1">IFERROR(INDIRECT("fixtures!" &amp; [1]Dashboard!J1 &amp;99) - [1]Dashboard!K1/24,"TBC")</f>
        <v>TBC</v>
      </c>
      <c r="AZ14" s="53"/>
      <c r="BA14" s="53" t="s">
        <v>27</v>
      </c>
      <c r="BB14" s="53" t="s">
        <v>21</v>
      </c>
      <c r="BC14" s="54">
        <f>IF(ISBLANK([1]fixtures!$K99),"",[1]fixtures!$K99)</f>
        <v>1</v>
      </c>
      <c r="BD14" s="53" t="str">
        <f>IF(ISBLANK([1]fixtures!$L99),"",":")</f>
        <v>:</v>
      </c>
      <c r="BE14" s="55">
        <f>IF(ISBLANK([1]fixtures!$L99),"",[1]fixtures!$L99)</f>
        <v>1</v>
      </c>
      <c r="BF14" s="53" t="str">
        <f>IF(ISBLANK([1]fixtures!$L99),"",IF(BC14&gt;BE14,"W",IF(BC14=BE14,"D","L")))</f>
        <v>D</v>
      </c>
      <c r="BG14" s="53"/>
      <c r="BH14" s="53"/>
      <c r="BI14" s="51">
        <v>28</v>
      </c>
      <c r="BJ14" s="50" t="s">
        <v>39</v>
      </c>
      <c r="BK14" s="177" t="str">
        <f ca="1">IFERROR(INDIRECT("fixtures!" &amp; [1]Dashboard!J1 &amp;95) - [1]Dashboard!K1/24,"TBC")</f>
        <v>TBC</v>
      </c>
      <c r="BL14" s="50"/>
      <c r="BM14" s="50" t="s">
        <v>32</v>
      </c>
      <c r="BN14" s="50" t="s">
        <v>16</v>
      </c>
      <c r="BO14" s="51">
        <f>IF(ISBLANK([1]fixtures!$L95),"",[1]fixtures!$L95)</f>
        <v>1</v>
      </c>
      <c r="BP14" s="50" t="str">
        <f>IF(ISBLANK([1]fixtures!$L95),"",":")</f>
        <v>:</v>
      </c>
      <c r="BQ14" s="52">
        <f>IF(ISBLANK([1]fixtures!$K95),"",[1]fixtures!$K95)</f>
        <v>2</v>
      </c>
      <c r="BR14" s="50" t="str">
        <f>IF(ISBLANK([1]fixtures!$L95),"",IF(BO14&gt;BQ14,"W",IF(BO14=BQ14,"D","L")))</f>
        <v>L</v>
      </c>
      <c r="BS14" s="50"/>
      <c r="BT14" s="50"/>
      <c r="BU14" s="48">
        <v>28</v>
      </c>
      <c r="BV14" s="47" t="s">
        <v>39</v>
      </c>
      <c r="BW14" s="175" t="str">
        <f ca="1">IFERROR(INDIRECT("fixtures!" &amp; [1]Dashboard!J1 &amp;93) - [1]Dashboard!K1/24,"TBC")</f>
        <v>TBC</v>
      </c>
      <c r="BX14" s="47"/>
      <c r="BY14" s="47" t="s">
        <v>24</v>
      </c>
      <c r="BZ14" s="47" t="s">
        <v>21</v>
      </c>
      <c r="CA14" s="48">
        <f>IF(ISBLANK([1]fixtures!$K93),"",[1]fixtures!$K93)</f>
        <v>0</v>
      </c>
      <c r="CB14" s="47" t="str">
        <f>IF(ISBLANK([1]fixtures!$L93),"",":")</f>
        <v>:</v>
      </c>
      <c r="CC14" s="49">
        <f>IF(ISBLANK([1]fixtures!$L93),"",[1]fixtures!$L93)</f>
        <v>2</v>
      </c>
      <c r="CD14" s="47" t="str">
        <f>IF(ISBLANK([1]fixtures!$L93),"",IF(CA14&gt;CC14,"W",IF(CA14=CC14,"D","L")))</f>
        <v>L</v>
      </c>
      <c r="CE14" s="47"/>
      <c r="CF14" s="47"/>
      <c r="CG14" s="45">
        <v>27</v>
      </c>
      <c r="CH14" s="44" t="s">
        <v>43</v>
      </c>
      <c r="CI14" s="173" t="str">
        <f ca="1">IFERROR(INDIRECT("fixtures!" &amp; [1]Dashboard!J1 &amp;92) - [1]Dashboard!K1/24,"TBC")</f>
        <v>TBC</v>
      </c>
      <c r="CJ14" s="44"/>
      <c r="CK14" s="44" t="s">
        <v>22</v>
      </c>
      <c r="CL14" s="44" t="s">
        <v>21</v>
      </c>
      <c r="CM14" s="45">
        <f>IF(ISBLANK([1]fixtures!$K92),"",[1]fixtures!$K92)</f>
        <v>1</v>
      </c>
      <c r="CN14" s="44" t="str">
        <f>IF(ISBLANK([1]fixtures!$L92),"",":")</f>
        <v>:</v>
      </c>
      <c r="CO14" s="46">
        <f>IF(ISBLANK([1]fixtures!$L92),"",[1]fixtures!$L92)</f>
        <v>2</v>
      </c>
      <c r="CP14" s="44" t="str">
        <f>IF(ISBLANK([1]fixtures!$L92),"",IF(CM14&gt;CO14,"W",IF(CM14=CO14,"D","L")))</f>
        <v>L</v>
      </c>
      <c r="CQ14" s="44"/>
      <c r="CR14" s="44"/>
      <c r="CS14" s="42">
        <v>29</v>
      </c>
      <c r="CT14" s="41" t="s">
        <v>18</v>
      </c>
      <c r="CU14" s="171" t="str">
        <f ca="1">IFERROR(INDIRECT("fixtures!" &amp; [1]Dashboard!J1 &amp;97) - [1]Dashboard!K1/24,"TBC")</f>
        <v>TBC</v>
      </c>
      <c r="CV14" s="41"/>
      <c r="CW14" s="41" t="s">
        <v>26</v>
      </c>
      <c r="CX14" s="41" t="s">
        <v>16</v>
      </c>
      <c r="CY14" s="42">
        <f>IF(ISBLANK([1]fixtures!$L97),"",[1]fixtures!$L97)</f>
        <v>1</v>
      </c>
      <c r="CZ14" s="41" t="str">
        <f>IF(ISBLANK([1]fixtures!$L97),"",":")</f>
        <v>:</v>
      </c>
      <c r="DA14" s="43">
        <f>IF(ISBLANK([1]fixtures!$K97),"",[1]fixtures!$K97)</f>
        <v>0</v>
      </c>
      <c r="DB14" s="41" t="str">
        <f>IF(ISBLANK([1]fixtures!$L97),"",IF(CY14&gt;DA14,"W",IF(CY14=DA14,"D","L")))</f>
        <v>W</v>
      </c>
      <c r="DC14" s="41"/>
      <c r="DD14" s="41"/>
      <c r="DE14" s="39">
        <v>29</v>
      </c>
      <c r="DF14" s="38" t="s">
        <v>18</v>
      </c>
      <c r="DG14" s="169" t="str">
        <f ca="1">IFERROR(INDIRECT("fixtures!" &amp; [1]Dashboard!J1 &amp;99) - [1]Dashboard!K1/24,"TBC")</f>
        <v>TBC</v>
      </c>
      <c r="DH14" s="38"/>
      <c r="DI14" s="38" t="s">
        <v>25</v>
      </c>
      <c r="DJ14" s="38" t="s">
        <v>16</v>
      </c>
      <c r="DK14" s="39">
        <f>IF(ISBLANK([1]fixtures!$L99),"",[1]fixtures!$L99)</f>
        <v>1</v>
      </c>
      <c r="DL14" s="38" t="str">
        <f>IF(ISBLANK([1]fixtures!$L99),"",":")</f>
        <v>:</v>
      </c>
      <c r="DM14" s="40">
        <f>IF(ISBLANK([1]fixtures!$K99),"",[1]fixtures!$K99)</f>
        <v>1</v>
      </c>
      <c r="DN14" s="38" t="str">
        <f>IF(ISBLANK([1]fixtures!$L99),"",IF(DK14&gt;DM14,"W",IF(DK14=DM14,"D","L")))</f>
        <v>D</v>
      </c>
      <c r="DO14" s="38"/>
      <c r="DP14" s="38"/>
      <c r="DQ14" s="36">
        <v>29</v>
      </c>
      <c r="DR14" s="35" t="s">
        <v>18</v>
      </c>
      <c r="DS14" s="167" t="str">
        <f ca="1">IFERROR(INDIRECT("fixtures!" &amp; [1]Dashboard!J1 &amp;100) - [1]Dashboard!K1/24,"TBC")</f>
        <v>TBC</v>
      </c>
      <c r="DT14" s="35"/>
      <c r="DU14" s="35" t="s">
        <v>33</v>
      </c>
      <c r="DV14" s="35" t="s">
        <v>21</v>
      </c>
      <c r="DW14" s="36">
        <f>IF(ISBLANK([1]fixtures!$K100),"",[1]fixtures!$K100)</f>
        <v>3</v>
      </c>
      <c r="DX14" s="35" t="str">
        <f>IF(ISBLANK([1]fixtures!$L100),"",":")</f>
        <v>:</v>
      </c>
      <c r="DY14" s="37">
        <f>IF(ISBLANK([1]fixtures!$L100),"",[1]fixtures!$L100)</f>
        <v>0</v>
      </c>
      <c r="DZ14" s="35" t="str">
        <f>IF(ISBLANK([1]fixtures!$L100),"",IF(DW14&gt;DY14,"W",IF(DW14=DY14,"D","L")))</f>
        <v>W</v>
      </c>
      <c r="EA14" s="35"/>
      <c r="EB14" s="35"/>
      <c r="EC14" s="33">
        <v>29</v>
      </c>
      <c r="ED14" s="32" t="s">
        <v>18</v>
      </c>
      <c r="EE14" s="190" t="str">
        <f ca="1">IFERROR(INDIRECT("fixtures!" &amp; [1]Dashboard!J1 &amp;98) - [1]Dashboard!K1/24,"TBC")</f>
        <v>TBC</v>
      </c>
      <c r="EF14" s="32"/>
      <c r="EG14" s="32" t="s">
        <v>31</v>
      </c>
      <c r="EH14" s="32" t="s">
        <v>16</v>
      </c>
      <c r="EI14" s="33">
        <f>IF(ISBLANK([1]fixtures!$L98),"",[1]fixtures!$L98)</f>
        <v>1</v>
      </c>
      <c r="EJ14" s="32" t="str">
        <f>IF(ISBLANK([1]fixtures!$L98),"",":")</f>
        <v>:</v>
      </c>
      <c r="EK14" s="34">
        <f>IF(ISBLANK([1]fixtures!$K98),"",[1]fixtures!$K98)</f>
        <v>3</v>
      </c>
      <c r="EL14" s="32" t="str">
        <f>IF(ISBLANK([1]fixtures!$L98),"",IF(EI14&gt;EK14,"W",IF(EI14=EK14,"D","L")))</f>
        <v>L</v>
      </c>
      <c r="EM14" s="32"/>
      <c r="EN14" s="32"/>
      <c r="EO14" s="30">
        <v>29</v>
      </c>
      <c r="EP14" s="29" t="s">
        <v>18</v>
      </c>
      <c r="EQ14" s="164" t="str">
        <f ca="1">IFERROR(INDIRECT("fixtures!" &amp; [1]Dashboard!J1 &amp;101) - [1]Dashboard!K1/24,"TBC")</f>
        <v>TBC</v>
      </c>
      <c r="ER14" s="29"/>
      <c r="ES14" s="29" t="s">
        <v>34</v>
      </c>
      <c r="ET14" s="29" t="s">
        <v>16</v>
      </c>
      <c r="EU14" s="30">
        <f>IF(ISBLANK([1]fixtures!$L101),"",[1]fixtures!$L101)</f>
        <v>3</v>
      </c>
      <c r="EV14" s="29" t="str">
        <f>IF(ISBLANK([1]fixtures!$L101),"",":")</f>
        <v>:</v>
      </c>
      <c r="EW14" s="31">
        <f>IF(ISBLANK([1]fixtures!$K101),"",[1]fixtures!$K101)</f>
        <v>0</v>
      </c>
      <c r="EX14" s="29" t="str">
        <f>IF(ISBLANK([1]fixtures!$L101),"",IF(EU14&gt;EW14,"W",IF(EU14=EW14,"D","L")))</f>
        <v>W</v>
      </c>
      <c r="EY14" s="29"/>
      <c r="EZ14" s="29"/>
      <c r="FA14" s="27">
        <v>29</v>
      </c>
      <c r="FB14" s="26" t="s">
        <v>18</v>
      </c>
      <c r="FC14" s="189" t="str">
        <f ca="1">IFERROR(INDIRECT("fixtures!" &amp; [1]Dashboard!J1 &amp;101) - [1]Dashboard!K1/24,"TBC")</f>
        <v>TBC</v>
      </c>
      <c r="FD14" s="26"/>
      <c r="FE14" s="26" t="s">
        <v>19</v>
      </c>
      <c r="FF14" s="26" t="s">
        <v>21</v>
      </c>
      <c r="FG14" s="27">
        <f>IF(ISBLANK([1]fixtures!$K101),"",[1]fixtures!$K101)</f>
        <v>0</v>
      </c>
      <c r="FH14" s="26" t="str">
        <f>IF(ISBLANK([1]fixtures!$L101),"",":")</f>
        <v>:</v>
      </c>
      <c r="FI14" s="28">
        <f>IF(ISBLANK([1]fixtures!$L101),"",[1]fixtures!$L101)</f>
        <v>3</v>
      </c>
      <c r="FJ14" s="26" t="str">
        <f>IF(ISBLANK([1]fixtures!$L101),"",IF(FG14&gt;FI14,"W",IF(FG14=FI14,"D","L")))</f>
        <v>L</v>
      </c>
      <c r="FK14" s="26"/>
      <c r="FL14" s="26"/>
      <c r="FM14" s="24">
        <v>28</v>
      </c>
      <c r="FN14" s="23" t="s">
        <v>39</v>
      </c>
      <c r="FO14" s="161" t="str">
        <f ca="1">IFERROR(INDIRECT("fixtures!" &amp; [1]Dashboard!J1 &amp;96) - [1]Dashboard!K1/24,"TBC")</f>
        <v>TBC</v>
      </c>
      <c r="FP14" s="23"/>
      <c r="FQ14" s="23" t="s">
        <v>28</v>
      </c>
      <c r="FR14" s="23" t="s">
        <v>16</v>
      </c>
      <c r="FS14" s="24">
        <f>IF(ISBLANK([1]fixtures!$L96),"",[1]fixtures!$L96)</f>
        <v>2</v>
      </c>
      <c r="FT14" s="23" t="str">
        <f>IF(ISBLANK([1]fixtures!$L96),"",":")</f>
        <v>:</v>
      </c>
      <c r="FU14" s="25">
        <f>IF(ISBLANK([1]fixtures!$K96),"",[1]fixtures!$K96)</f>
        <v>2</v>
      </c>
      <c r="FV14" s="23" t="str">
        <f>IF(ISBLANK([1]fixtures!$L96),"",IF(FS14&gt;FU14,"W",IF(FS14=FU14,"D","L")))</f>
        <v>D</v>
      </c>
      <c r="FW14" s="23"/>
      <c r="FX14" s="23"/>
      <c r="FY14" s="21">
        <v>29</v>
      </c>
      <c r="FZ14" s="20" t="s">
        <v>18</v>
      </c>
      <c r="GA14" s="159" t="str">
        <f ca="1">IFERROR(INDIRECT("fixtures!" &amp; [1]Dashboard!J1 &amp;100) - [1]Dashboard!K1/24,"TBC")</f>
        <v>TBC</v>
      </c>
      <c r="GB14" s="20"/>
      <c r="GC14" s="20" t="s">
        <v>17</v>
      </c>
      <c r="GD14" s="20" t="s">
        <v>16</v>
      </c>
      <c r="GE14" s="21">
        <f>IF(ISBLANK([1]fixtures!$L100),"",[1]fixtures!$L100)</f>
        <v>0</v>
      </c>
      <c r="GF14" s="20" t="str">
        <f>IF(ISBLANK([1]fixtures!$L100),"",":")</f>
        <v>:</v>
      </c>
      <c r="GG14" s="22">
        <f>IF(ISBLANK([1]fixtures!$K100),"",[1]fixtures!$K100)</f>
        <v>3</v>
      </c>
      <c r="GH14" s="20" t="str">
        <f>IF(ISBLANK([1]fixtures!$L100),"",IF(GE14&gt;GG14,"W",IF(GE14=GG14,"D","L")))</f>
        <v>L</v>
      </c>
      <c r="GI14" s="20"/>
      <c r="GJ14" s="20"/>
      <c r="GK14" s="18">
        <v>28</v>
      </c>
      <c r="GL14" s="17" t="s">
        <v>39</v>
      </c>
      <c r="GM14" s="157" t="str">
        <f ca="1">IFERROR(INDIRECT("fixtures!" &amp; [1]Dashboard!J1 &amp;94) - [1]Dashboard!K1/24,"TBC")</f>
        <v>TBC</v>
      </c>
      <c r="GN14" s="17"/>
      <c r="GO14" s="17" t="s">
        <v>30</v>
      </c>
      <c r="GP14" s="17" t="s">
        <v>16</v>
      </c>
      <c r="GQ14" s="18">
        <f>IF(ISBLANK([1]fixtures!$L94),"",[1]fixtures!$L94)</f>
        <v>0</v>
      </c>
      <c r="GR14" s="17" t="str">
        <f>IF(ISBLANK([1]fixtures!$L94),"",":")</f>
        <v>:</v>
      </c>
      <c r="GS14" s="19">
        <f>IF(ISBLANK([1]fixtures!$K94),"",[1]fixtures!$K94)</f>
        <v>5</v>
      </c>
      <c r="GT14" s="17" t="str">
        <f>IF(ISBLANK([1]fixtures!$L94),"",IF(GQ14&gt;GS14,"W",IF(GQ14=GS14,"D","L")))</f>
        <v>L</v>
      </c>
      <c r="GU14" s="17"/>
      <c r="GV14" s="17"/>
      <c r="GW14" s="15">
        <v>27</v>
      </c>
      <c r="GX14" s="14" t="s">
        <v>43</v>
      </c>
      <c r="GY14" s="155" t="str">
        <f ca="1">IFERROR(INDIRECT("fixtures!" &amp; [1]Dashboard!J1 &amp;92) - [1]Dashboard!K1/24,"TBC")</f>
        <v>TBC</v>
      </c>
      <c r="GZ14" s="14"/>
      <c r="HA14" s="14" t="s">
        <v>37</v>
      </c>
      <c r="HB14" s="14" t="s">
        <v>16</v>
      </c>
      <c r="HC14" s="15">
        <f>IF(ISBLANK([1]fixtures!$L92),"",[1]fixtures!$L92)</f>
        <v>2</v>
      </c>
      <c r="HD14" s="14" t="str">
        <f>IF(ISBLANK([1]fixtures!$L92),"",":")</f>
        <v>:</v>
      </c>
      <c r="HE14" s="16">
        <f>IF(ISBLANK([1]fixtures!$K92),"",[1]fixtures!$K92)</f>
        <v>1</v>
      </c>
      <c r="HF14" s="14" t="str">
        <f>IF(ISBLANK([1]fixtures!$L92),"",IF(HC14&gt;HE14,"W",IF(HC14=HE14,"D","L")))</f>
        <v>W</v>
      </c>
      <c r="HG14" s="14"/>
      <c r="HH14" s="14"/>
      <c r="HI14" s="12">
        <v>29</v>
      </c>
      <c r="HJ14" s="11" t="s">
        <v>18</v>
      </c>
      <c r="HK14" s="153" t="str">
        <f ca="1">IFERROR(INDIRECT("fixtures!" &amp; [1]Dashboard!J1 &amp;97) - [1]Dashboard!K1/24,"TBC")</f>
        <v>TBC</v>
      </c>
      <c r="HL14" s="11"/>
      <c r="HM14" s="11" t="s">
        <v>38</v>
      </c>
      <c r="HN14" s="11" t="s">
        <v>21</v>
      </c>
      <c r="HO14" s="12">
        <f>IF(ISBLANK([1]fixtures!$K97),"",[1]fixtures!$K97)</f>
        <v>0</v>
      </c>
      <c r="HP14" s="11" t="str">
        <f>IF(ISBLANK([1]fixtures!$L97),"",":")</f>
        <v>:</v>
      </c>
      <c r="HQ14" s="13">
        <f>IF(ISBLANK([1]fixtures!$L97),"",[1]fixtures!$L97)</f>
        <v>1</v>
      </c>
      <c r="HR14" s="11" t="str">
        <f>IF(ISBLANK([1]fixtures!$L97),"",IF(HO14&gt;HQ14,"W",IF(HO14=HQ14,"D","L")))</f>
        <v>L</v>
      </c>
      <c r="HS14" s="11"/>
      <c r="HT14" s="11"/>
      <c r="HU14" s="9">
        <v>28</v>
      </c>
      <c r="HV14" s="8" t="s">
        <v>39</v>
      </c>
      <c r="HW14" s="151" t="str">
        <f ca="1">IFERROR(INDIRECT("fixtures!" &amp; [1]Dashboard!J1 &amp;96) - [1]Dashboard!K1/24,"TBC")</f>
        <v>TBC</v>
      </c>
      <c r="HX14" s="8"/>
      <c r="HY14" s="8" t="s">
        <v>35</v>
      </c>
      <c r="HZ14" s="8" t="s">
        <v>21</v>
      </c>
      <c r="IA14" s="9">
        <f>IF(ISBLANK([1]fixtures!$K96),"",[1]fixtures!$K96)</f>
        <v>2</v>
      </c>
      <c r="IB14" s="8" t="str">
        <f>IF(ISBLANK([1]fixtures!$L96),"",":")</f>
        <v>:</v>
      </c>
      <c r="IC14" s="10">
        <f>IF(ISBLANK([1]fixtures!$L96),"",[1]fixtures!$L96)</f>
        <v>2</v>
      </c>
      <c r="ID14" s="8" t="str">
        <f>IF(ISBLANK([1]fixtures!$L96),"",IF(IA14&gt;IC14,"W",IF(IA14=IC14,"D","L")))</f>
        <v>D</v>
      </c>
      <c r="IE14" s="8"/>
      <c r="IF14" s="8"/>
    </row>
    <row r="15" spans="1:243" x14ac:dyDescent="0.25">
      <c r="A15" s="90" t="s">
        <v>51</v>
      </c>
      <c r="B15" s="66"/>
      <c r="C15" s="187"/>
      <c r="D15" s="66"/>
      <c r="E15" s="66"/>
      <c r="F15" s="66"/>
      <c r="G15" s="67"/>
      <c r="H15" s="66"/>
      <c r="I15" s="68"/>
      <c r="J15" s="66"/>
      <c r="K15" s="66"/>
      <c r="L15" s="66"/>
      <c r="M15" s="87" t="s">
        <v>51</v>
      </c>
      <c r="N15" s="62"/>
      <c r="O15" s="185"/>
      <c r="P15" s="62"/>
      <c r="Q15" s="62"/>
      <c r="R15" s="62"/>
      <c r="S15" s="63"/>
      <c r="T15" s="62"/>
      <c r="U15" s="64"/>
      <c r="V15" s="62"/>
      <c r="W15" s="62"/>
      <c r="X15" s="62"/>
      <c r="Y15" s="108" t="s">
        <v>51</v>
      </c>
      <c r="Z15" s="59"/>
      <c r="AA15" s="183"/>
      <c r="AB15" s="59"/>
      <c r="AC15" s="59"/>
      <c r="AD15" s="59"/>
      <c r="AE15" s="60"/>
      <c r="AF15" s="59"/>
      <c r="AG15" s="61"/>
      <c r="AH15" s="59"/>
      <c r="AI15" s="59"/>
      <c r="AJ15" s="59"/>
      <c r="AK15" s="85" t="s">
        <v>51</v>
      </c>
      <c r="AL15" s="56"/>
      <c r="AM15" s="181"/>
      <c r="AN15" s="56"/>
      <c r="AO15" s="56"/>
      <c r="AP15" s="56"/>
      <c r="AQ15" s="57"/>
      <c r="AR15" s="56"/>
      <c r="AS15" s="58"/>
      <c r="AT15" s="56"/>
      <c r="AU15" s="56"/>
      <c r="AV15" s="56"/>
      <c r="AW15" s="106" t="s">
        <v>51</v>
      </c>
      <c r="AX15" s="53"/>
      <c r="AY15" s="179"/>
      <c r="AZ15" s="53"/>
      <c r="BA15" s="53"/>
      <c r="BB15" s="53"/>
      <c r="BC15" s="54"/>
      <c r="BD15" s="53"/>
      <c r="BE15" s="55"/>
      <c r="BF15" s="53"/>
      <c r="BG15" s="53"/>
      <c r="BH15" s="53"/>
      <c r="BI15" s="83" t="s">
        <v>51</v>
      </c>
      <c r="BJ15" s="50"/>
      <c r="BK15" s="177"/>
      <c r="BL15" s="50"/>
      <c r="BM15" s="50"/>
      <c r="BN15" s="50"/>
      <c r="BO15" s="51"/>
      <c r="BP15" s="50"/>
      <c r="BQ15" s="52"/>
      <c r="BR15" s="50"/>
      <c r="BS15" s="50"/>
      <c r="BT15" s="50"/>
      <c r="BU15" s="82" t="s">
        <v>51</v>
      </c>
      <c r="BV15" s="47"/>
      <c r="BW15" s="175"/>
      <c r="BX15" s="47"/>
      <c r="BY15" s="47"/>
      <c r="BZ15" s="47"/>
      <c r="CA15" s="48"/>
      <c r="CB15" s="47"/>
      <c r="CC15" s="49"/>
      <c r="CD15" s="47"/>
      <c r="CE15" s="47"/>
      <c r="CF15" s="47"/>
      <c r="CG15" s="81" t="s">
        <v>51</v>
      </c>
      <c r="CH15" s="44"/>
      <c r="CI15" s="173"/>
      <c r="CJ15" s="44"/>
      <c r="CK15" s="44"/>
      <c r="CL15" s="44"/>
      <c r="CM15" s="45"/>
      <c r="CN15" s="44"/>
      <c r="CO15" s="46"/>
      <c r="CP15" s="44"/>
      <c r="CQ15" s="44"/>
      <c r="CR15" s="44"/>
      <c r="CS15" s="102" t="s">
        <v>51</v>
      </c>
      <c r="CT15" s="41"/>
      <c r="CU15" s="171"/>
      <c r="CV15" s="41"/>
      <c r="CW15" s="41"/>
      <c r="CX15" s="41"/>
      <c r="CY15" s="42"/>
      <c r="CZ15" s="41"/>
      <c r="DA15" s="43"/>
      <c r="DB15" s="41"/>
      <c r="DC15" s="41"/>
      <c r="DD15" s="41"/>
      <c r="DE15" s="79" t="s">
        <v>51</v>
      </c>
      <c r="DF15" s="38"/>
      <c r="DG15" s="169"/>
      <c r="DH15" s="38"/>
      <c r="DI15" s="38"/>
      <c r="DJ15" s="38"/>
      <c r="DK15" s="39"/>
      <c r="DL15" s="38"/>
      <c r="DM15" s="40"/>
      <c r="DN15" s="38"/>
      <c r="DO15" s="38"/>
      <c r="DP15" s="38"/>
      <c r="DQ15" s="78" t="s">
        <v>51</v>
      </c>
      <c r="DR15" s="35"/>
      <c r="DS15" s="167"/>
      <c r="DT15" s="35"/>
      <c r="DU15" s="35"/>
      <c r="DV15" s="35"/>
      <c r="DW15" s="36"/>
      <c r="DX15" s="35"/>
      <c r="DY15" s="37"/>
      <c r="DZ15" s="35"/>
      <c r="EA15" s="35"/>
      <c r="EB15" s="35"/>
      <c r="EC15" s="99" t="s">
        <v>51</v>
      </c>
      <c r="ED15" s="32"/>
      <c r="EE15" s="190"/>
      <c r="EF15" s="32"/>
      <c r="EG15" s="32"/>
      <c r="EH15" s="32"/>
      <c r="EI15" s="33"/>
      <c r="EJ15" s="32"/>
      <c r="EK15" s="34"/>
      <c r="EL15" s="32"/>
      <c r="EM15" s="32"/>
      <c r="EN15" s="32"/>
      <c r="EO15" s="98" t="s">
        <v>51</v>
      </c>
      <c r="EP15" s="29"/>
      <c r="EQ15" s="164"/>
      <c r="ER15" s="29"/>
      <c r="ES15" s="29"/>
      <c r="ET15" s="29"/>
      <c r="EU15" s="30"/>
      <c r="EV15" s="29"/>
      <c r="EW15" s="31"/>
      <c r="EX15" s="29"/>
      <c r="EY15" s="29"/>
      <c r="EZ15" s="29"/>
      <c r="FA15" s="75" t="s">
        <v>51</v>
      </c>
      <c r="FB15" s="26"/>
      <c r="FC15" s="189"/>
      <c r="FD15" s="26"/>
      <c r="FE15" s="26"/>
      <c r="FF15" s="26"/>
      <c r="FG15" s="27"/>
      <c r="FH15" s="26"/>
      <c r="FI15" s="28"/>
      <c r="FJ15" s="26"/>
      <c r="FK15" s="26"/>
      <c r="FL15" s="26"/>
      <c r="FM15" s="96" t="s">
        <v>51</v>
      </c>
      <c r="FN15" s="23"/>
      <c r="FO15" s="161"/>
      <c r="FP15" s="23"/>
      <c r="FQ15" s="23"/>
      <c r="FR15" s="23"/>
      <c r="FS15" s="24"/>
      <c r="FT15" s="23"/>
      <c r="FU15" s="25"/>
      <c r="FV15" s="23"/>
      <c r="FW15" s="23"/>
      <c r="FX15" s="23"/>
      <c r="FY15" s="95" t="s">
        <v>51</v>
      </c>
      <c r="FZ15" s="20"/>
      <c r="GA15" s="159"/>
      <c r="GB15" s="20"/>
      <c r="GC15" s="20"/>
      <c r="GD15" s="20"/>
      <c r="GE15" s="21"/>
      <c r="GF15" s="20"/>
      <c r="GG15" s="22"/>
      <c r="GH15" s="20"/>
      <c r="GI15" s="20"/>
      <c r="GJ15" s="20"/>
      <c r="GK15" s="72" t="s">
        <v>51</v>
      </c>
      <c r="GL15" s="17"/>
      <c r="GM15" s="157"/>
      <c r="GN15" s="17"/>
      <c r="GO15" s="17"/>
      <c r="GP15" s="17"/>
      <c r="GQ15" s="18"/>
      <c r="GR15" s="17"/>
      <c r="GS15" s="19"/>
      <c r="GT15" s="17"/>
      <c r="GU15" s="17"/>
      <c r="GV15" s="17"/>
      <c r="GW15" s="93" t="s">
        <v>51</v>
      </c>
      <c r="GX15" s="14"/>
      <c r="GY15" s="155"/>
      <c r="GZ15" s="14"/>
      <c r="HA15" s="14"/>
      <c r="HB15" s="14"/>
      <c r="HC15" s="15"/>
      <c r="HD15" s="14"/>
      <c r="HE15" s="16"/>
      <c r="HF15" s="14"/>
      <c r="HG15" s="14"/>
      <c r="HH15" s="14"/>
      <c r="HI15" s="92" t="s">
        <v>51</v>
      </c>
      <c r="HJ15" s="11"/>
      <c r="HK15" s="153"/>
      <c r="HL15" s="11"/>
      <c r="HM15" s="11"/>
      <c r="HN15" s="11"/>
      <c r="HO15" s="12"/>
      <c r="HP15" s="11"/>
      <c r="HQ15" s="13"/>
      <c r="HR15" s="11"/>
      <c r="HS15" s="11"/>
      <c r="HT15" s="11"/>
      <c r="HU15" s="91" t="s">
        <v>51</v>
      </c>
      <c r="HV15" s="10"/>
      <c r="HW15" s="151"/>
      <c r="HX15" s="8"/>
      <c r="HY15" s="8"/>
      <c r="HZ15" s="8"/>
      <c r="IA15" s="9"/>
      <c r="IB15" s="8"/>
      <c r="IC15" s="10"/>
      <c r="ID15" s="8"/>
      <c r="IE15" s="8"/>
      <c r="IF15" s="8"/>
    </row>
    <row r="16" spans="1:243" x14ac:dyDescent="0.25">
      <c r="A16" s="67">
        <v>4</v>
      </c>
      <c r="B16" s="66" t="s">
        <v>39</v>
      </c>
      <c r="C16" s="187" t="str">
        <f ca="1">IFERROR(INDIRECT("fixtures!" &amp; [1]Dashboard!J1 &amp;108) - [1]Dashboard!K1/24,"TBC")</f>
        <v>TBC</v>
      </c>
      <c r="D16" s="66"/>
      <c r="E16" s="66" t="s">
        <v>35</v>
      </c>
      <c r="F16" s="66" t="s">
        <v>16</v>
      </c>
      <c r="G16" s="67">
        <f>IF(ISBLANK([1]fixtures!$L108),"",[1]fixtures!$L108)</f>
        <v>0</v>
      </c>
      <c r="H16" s="66" t="str">
        <f>IF(ISBLANK([1]fixtures!$L108),"",":")</f>
        <v>:</v>
      </c>
      <c r="I16" s="68">
        <f>IF(ISBLANK([1]fixtures!$K108),"",[1]fixtures!$K108)</f>
        <v>1</v>
      </c>
      <c r="J16" s="66" t="str">
        <f>IF(ISBLANK([1]fixtures!$L108),"",IF(G16&gt;I16,"W",IF(G16=I16,"D","L")))</f>
        <v>L</v>
      </c>
      <c r="K16" s="66"/>
      <c r="L16" s="66"/>
      <c r="M16" s="63">
        <v>5</v>
      </c>
      <c r="N16" s="62" t="s">
        <v>18</v>
      </c>
      <c r="O16" s="185" t="str">
        <f ca="1">IFERROR(INDIRECT("fixtures!" &amp; [1]Dashboard!J1 &amp;109) - [1]Dashboard!K1/24,"TBC")</f>
        <v>TBC</v>
      </c>
      <c r="P16" s="62"/>
      <c r="Q16" s="62" t="s">
        <v>33</v>
      </c>
      <c r="R16" s="62" t="s">
        <v>16</v>
      </c>
      <c r="S16" s="63">
        <f>IF(ISBLANK([1]fixtures!$L109),"",[1]fixtures!$L109)</f>
        <v>0</v>
      </c>
      <c r="T16" s="62" t="str">
        <f>IF(ISBLANK([1]fixtures!$L109),"",":")</f>
        <v>:</v>
      </c>
      <c r="U16" s="64">
        <f>IF(ISBLANK([1]fixtures!$K109),"",[1]fixtures!$K109)</f>
        <v>2</v>
      </c>
      <c r="V16" s="62" t="str">
        <f>IF(ISBLANK([1]fixtures!$L109),"",IF(S16&gt;U16,"W",IF(S16=U16,"D","L")))</f>
        <v>L</v>
      </c>
      <c r="W16" s="62"/>
      <c r="X16" s="62"/>
      <c r="Y16" s="60">
        <v>4</v>
      </c>
      <c r="Z16" s="59" t="s">
        <v>39</v>
      </c>
      <c r="AA16" s="183" t="str">
        <f ca="1">IFERROR(INDIRECT("fixtures!" &amp; [1]Dashboard!J1 &amp;106) - [1]Dashboard!K1/24,"TBC")</f>
        <v>TBC</v>
      </c>
      <c r="AB16" s="59"/>
      <c r="AC16" s="59" t="s">
        <v>19</v>
      </c>
      <c r="AD16" s="59" t="s">
        <v>16</v>
      </c>
      <c r="AE16" s="60">
        <f>IF(ISBLANK([1]fixtures!$L106),"",[1]fixtures!$L106)</f>
        <v>1</v>
      </c>
      <c r="AF16" s="59" t="str">
        <f>IF(ISBLANK([1]fixtures!$L106),"",":")</f>
        <v>:</v>
      </c>
      <c r="AG16" s="61">
        <f>IF(ISBLANK([1]fixtures!$K106),"",[1]fixtures!$K106)</f>
        <v>6</v>
      </c>
      <c r="AH16" s="59" t="str">
        <f>IF(ISBLANK([1]fixtures!$L106),"",IF(AE16&gt;AG16,"W",IF(AE16=AG16,"D","L")))</f>
        <v>L</v>
      </c>
      <c r="AI16" s="59"/>
      <c r="AJ16" s="59"/>
      <c r="AK16" s="57">
        <v>4</v>
      </c>
      <c r="AL16" s="56" t="s">
        <v>39</v>
      </c>
      <c r="AM16" s="181" t="str">
        <f ca="1">IFERROR(INDIRECT("fixtures!" &amp; [1]Dashboard!J1 &amp;103) - [1]Dashboard!K1/24,"TBC")</f>
        <v>TBC</v>
      </c>
      <c r="AN16" s="56"/>
      <c r="AO16" s="56" t="s">
        <v>26</v>
      </c>
      <c r="AP16" s="56" t="s">
        <v>21</v>
      </c>
      <c r="AQ16" s="57">
        <f>IF(ISBLANK([1]fixtures!$K103),"",[1]fixtures!$K103)</f>
        <v>3</v>
      </c>
      <c r="AR16" s="56" t="str">
        <f>IF(ISBLANK([1]fixtures!$L103),"",":")</f>
        <v>:</v>
      </c>
      <c r="AS16" s="58">
        <f>IF(ISBLANK([1]fixtures!$L103),"",[1]fixtures!$L103)</f>
        <v>2</v>
      </c>
      <c r="AT16" s="56" t="str">
        <f>IF(ISBLANK([1]fixtures!$L103),"",IF(AQ16&gt;AS16,"W",IF(AQ16=AS16,"D","L")))</f>
        <v>W</v>
      </c>
      <c r="AU16" s="56"/>
      <c r="AV16" s="56"/>
      <c r="AW16" s="54">
        <v>4</v>
      </c>
      <c r="AX16" s="53" t="s">
        <v>39</v>
      </c>
      <c r="AY16" s="179" t="str">
        <f ca="1">IFERROR(INDIRECT("fixtures!" &amp; [1]Dashboard!J1 &amp;105) - [1]Dashboard!K1/24,"TBC")</f>
        <v>TBC</v>
      </c>
      <c r="AZ16" s="53"/>
      <c r="BA16" s="53" t="s">
        <v>38</v>
      </c>
      <c r="BB16" s="53" t="s">
        <v>16</v>
      </c>
      <c r="BC16" s="54">
        <f>IF(ISBLANK([1]fixtures!$L105),"",[1]fixtures!$L105)</f>
        <v>1</v>
      </c>
      <c r="BD16" s="53" t="str">
        <f>IF(ISBLANK([1]fixtures!$L105),"",":")</f>
        <v>:</v>
      </c>
      <c r="BE16" s="55">
        <f>IF(ISBLANK([1]fixtures!$K105),"",[1]fixtures!$K105)</f>
        <v>1</v>
      </c>
      <c r="BF16" s="53" t="str">
        <f>IF(ISBLANK([1]fixtures!$L105),"",IF(BC16&gt;BE16,"W",IF(BC16=BE16,"D","L")))</f>
        <v>D</v>
      </c>
      <c r="BG16" s="53"/>
      <c r="BH16" s="53"/>
      <c r="BI16" s="51">
        <v>4</v>
      </c>
      <c r="BJ16" s="50" t="s">
        <v>39</v>
      </c>
      <c r="BK16" s="177" t="str">
        <f ca="1">IFERROR(INDIRECT("fixtures!" &amp; [1]Dashboard!J1 &amp;104) - [1]Dashboard!K1/24,"TBC")</f>
        <v>TBC</v>
      </c>
      <c r="BL16" s="50"/>
      <c r="BM16" s="50" t="s">
        <v>37</v>
      </c>
      <c r="BN16" s="50" t="s">
        <v>21</v>
      </c>
      <c r="BO16" s="51">
        <f>IF(ISBLANK([1]fixtures!$K104),"",[1]fixtures!$K104)</f>
        <v>0</v>
      </c>
      <c r="BP16" s="50" t="str">
        <f>IF(ISBLANK([1]fixtures!$L104),"",":")</f>
        <v>:</v>
      </c>
      <c r="BQ16" s="52">
        <f>IF(ISBLANK([1]fixtures!$L104),"",[1]fixtures!$L104)</f>
        <v>2</v>
      </c>
      <c r="BR16" s="50" t="str">
        <f>IF(ISBLANK([1]fixtures!$L104),"",IF(BO16&gt;BQ16,"W",IF(BO16=BQ16,"D","L")))</f>
        <v>L</v>
      </c>
      <c r="BS16" s="50"/>
      <c r="BT16" s="50"/>
      <c r="BU16" s="48">
        <v>6</v>
      </c>
      <c r="BV16" s="47" t="s">
        <v>42</v>
      </c>
      <c r="BW16" s="175" t="str">
        <f ca="1">IFERROR(INDIRECT("fixtures!" &amp; [1]Dashboard!J1 &amp;111) - [1]Dashboard!K1/24,"TBC")</f>
        <v>TBC</v>
      </c>
      <c r="BX16" s="47"/>
      <c r="BY16" s="47" t="s">
        <v>22</v>
      </c>
      <c r="BZ16" s="47" t="s">
        <v>16</v>
      </c>
      <c r="CA16" s="48">
        <f>IF(ISBLANK([1]fixtures!$L111),"",[1]fixtures!$L111)</f>
        <v>4</v>
      </c>
      <c r="CB16" s="47" t="str">
        <f>IF(ISBLANK([1]fixtures!$L111),"",":")</f>
        <v>:</v>
      </c>
      <c r="CC16" s="49">
        <f>IF(ISBLANK([1]fixtures!$K111),"",[1]fixtures!$K111)</f>
        <v>1</v>
      </c>
      <c r="CD16" s="47" t="str">
        <f>IF(ISBLANK([1]fixtures!$L111),"",IF(CA16&gt;CC16,"W",IF(CA16=CC16,"D","L")))</f>
        <v>W</v>
      </c>
      <c r="CE16" s="47"/>
      <c r="CF16" s="47"/>
      <c r="CG16" s="45">
        <v>4</v>
      </c>
      <c r="CH16" s="44" t="s">
        <v>39</v>
      </c>
      <c r="CI16" s="173" t="str">
        <f ca="1">IFERROR(INDIRECT("fixtures!" &amp; [1]Dashboard!J1 &amp;104) - [1]Dashboard!K1/24,"TBC")</f>
        <v>TBC</v>
      </c>
      <c r="CJ16" s="44"/>
      <c r="CK16" s="44" t="s">
        <v>23</v>
      </c>
      <c r="CL16" s="44" t="s">
        <v>16</v>
      </c>
      <c r="CM16" s="45">
        <f>IF(ISBLANK([1]fixtures!$L104),"",[1]fixtures!$L104)</f>
        <v>2</v>
      </c>
      <c r="CN16" s="44" t="str">
        <f>IF(ISBLANK([1]fixtures!$L104),"",":")</f>
        <v>:</v>
      </c>
      <c r="CO16" s="46">
        <f>IF(ISBLANK([1]fixtures!$K104),"",[1]fixtures!$K104)</f>
        <v>0</v>
      </c>
      <c r="CP16" s="44" t="str">
        <f>IF(ISBLANK([1]fixtures!$L104),"",IF(CM16&gt;CO16,"W",IF(CM16=CO16,"D","L")))</f>
        <v>W</v>
      </c>
      <c r="CQ16" s="44"/>
      <c r="CR16" s="44"/>
      <c r="CS16" s="42">
        <v>4</v>
      </c>
      <c r="CT16" s="41" t="s">
        <v>39</v>
      </c>
      <c r="CU16" s="171" t="str">
        <f ca="1">IFERROR(INDIRECT("fixtures!" &amp; [1]Dashboard!J1 &amp;105) - [1]Dashboard!K1/24,"TBC")</f>
        <v>TBC</v>
      </c>
      <c r="CV16" s="41"/>
      <c r="CW16" s="41" t="s">
        <v>25</v>
      </c>
      <c r="CX16" s="41" t="s">
        <v>21</v>
      </c>
      <c r="CY16" s="42">
        <f>IF(ISBLANK([1]fixtures!$K105),"",[1]fixtures!$K105)</f>
        <v>1</v>
      </c>
      <c r="CZ16" s="41" t="str">
        <f>IF(ISBLANK([1]fixtures!$L105),"",":")</f>
        <v>:</v>
      </c>
      <c r="DA16" s="43">
        <f>IF(ISBLANK([1]fixtures!$L105),"",[1]fixtures!$L105)</f>
        <v>1</v>
      </c>
      <c r="DB16" s="41" t="str">
        <f>IF(ISBLANK([1]fixtures!$L105),"",IF(CY16&gt;DA16,"W",IF(CY16=DA16,"D","L")))</f>
        <v>D</v>
      </c>
      <c r="DC16" s="41"/>
      <c r="DD16" s="41"/>
      <c r="DE16" s="39">
        <v>4</v>
      </c>
      <c r="DF16" s="38" t="s">
        <v>39</v>
      </c>
      <c r="DG16" s="169" t="str">
        <f ca="1">IFERROR(INDIRECT("fixtures!" &amp; [1]Dashboard!J1 &amp;102) - [1]Dashboard!K1/24,"TBC")</f>
        <v>TBC</v>
      </c>
      <c r="DH16" s="38"/>
      <c r="DI16" s="38" t="s">
        <v>34</v>
      </c>
      <c r="DJ16" s="38" t="s">
        <v>21</v>
      </c>
      <c r="DK16" s="39">
        <f>IF(ISBLANK([1]fixtures!$K102),"",[1]fixtures!$K102)</f>
        <v>0</v>
      </c>
      <c r="DL16" s="38" t="str">
        <f>IF(ISBLANK([1]fixtures!$L102),"",":")</f>
        <v>:</v>
      </c>
      <c r="DM16" s="40">
        <f>IF(ISBLANK([1]fixtures!$L102),"",[1]fixtures!$L102)</f>
        <v>1</v>
      </c>
      <c r="DN16" s="38" t="str">
        <f>IF(ISBLANK([1]fixtures!$L102),"",IF(DK16&gt;DM16,"W",IF(DK16=DM16,"D","L")))</f>
        <v>L</v>
      </c>
      <c r="DO16" s="38"/>
      <c r="DP16" s="38"/>
      <c r="DQ16" s="36">
        <v>5</v>
      </c>
      <c r="DR16" s="35" t="s">
        <v>18</v>
      </c>
      <c r="DS16" s="167" t="str">
        <f ca="1">IFERROR(INDIRECT("fixtures!" &amp; [1]Dashboard!J1 &amp;110) - [1]Dashboard!K1/24,"TBC")</f>
        <v>TBC</v>
      </c>
      <c r="DT16" s="35"/>
      <c r="DU16" s="35" t="s">
        <v>29</v>
      </c>
      <c r="DV16" s="35" t="s">
        <v>16</v>
      </c>
      <c r="DW16" s="36">
        <f>IF(ISBLANK([1]fixtures!$L110),"",[1]fixtures!$L110)</f>
        <v>1</v>
      </c>
      <c r="DX16" s="35" t="str">
        <f>IF(ISBLANK([1]fixtures!$L110),"",":")</f>
        <v>:</v>
      </c>
      <c r="DY16" s="37">
        <f>IF(ISBLANK([1]fixtures!$K110),"",[1]fixtures!$K110)</f>
        <v>1</v>
      </c>
      <c r="DZ16" s="35" t="str">
        <f>IF(ISBLANK([1]fixtures!$L110),"",IF(DW16&gt;DY16,"W",IF(DW16=DY16,"D","L")))</f>
        <v>D</v>
      </c>
      <c r="EA16" s="35"/>
      <c r="EB16" s="35"/>
      <c r="EC16" s="33">
        <v>5</v>
      </c>
      <c r="ED16" s="32" t="s">
        <v>18</v>
      </c>
      <c r="EE16" s="190" t="str">
        <f ca="1">IFERROR(INDIRECT("fixtures!" &amp; [1]Dashboard!J1 &amp;110) - [1]Dashboard!K1/24,"TBC")</f>
        <v>TBC</v>
      </c>
      <c r="EF16" s="32"/>
      <c r="EG16" s="32" t="s">
        <v>17</v>
      </c>
      <c r="EH16" s="32" t="s">
        <v>21</v>
      </c>
      <c r="EI16" s="33">
        <f>IF(ISBLANK([1]fixtures!$K110),"",[1]fixtures!$K110)</f>
        <v>1</v>
      </c>
      <c r="EJ16" s="32" t="str">
        <f>IF(ISBLANK([1]fixtures!$L110),"",":")</f>
        <v>:</v>
      </c>
      <c r="EK16" s="34">
        <f>IF(ISBLANK([1]fixtures!$L110),"",[1]fixtures!$L110)</f>
        <v>1</v>
      </c>
      <c r="EL16" s="32" t="str">
        <f>IF(ISBLANK([1]fixtures!$L110),"",IF(EI16&gt;EK16,"W",IF(EI16=EK16,"D","L")))</f>
        <v>D</v>
      </c>
      <c r="EM16" s="32"/>
      <c r="EN16" s="32"/>
      <c r="EO16" s="30">
        <v>4</v>
      </c>
      <c r="EP16" s="29" t="s">
        <v>39</v>
      </c>
      <c r="EQ16" s="164" t="str">
        <f ca="1">IFERROR(INDIRECT("fixtures!" &amp; [1]Dashboard!J1 &amp;106) - [1]Dashboard!K1/24,"TBC")</f>
        <v>TBC</v>
      </c>
      <c r="ER16" s="29"/>
      <c r="ES16" s="29" t="s">
        <v>32</v>
      </c>
      <c r="ET16" s="29" t="s">
        <v>21</v>
      </c>
      <c r="EU16" s="30">
        <f>IF(ISBLANK([1]fixtures!$K106),"",[1]fixtures!$K106)</f>
        <v>6</v>
      </c>
      <c r="EV16" s="29" t="str">
        <f>IF(ISBLANK([1]fixtures!$L106),"",":")</f>
        <v>:</v>
      </c>
      <c r="EW16" s="31">
        <f>IF(ISBLANK([1]fixtures!$L106),"",[1]fixtures!$L106)</f>
        <v>1</v>
      </c>
      <c r="EX16" s="29" t="str">
        <f>IF(ISBLANK([1]fixtures!$L106),"",IF(EU16&gt;EW16,"W",IF(EU16=EW16,"D","L")))</f>
        <v>W</v>
      </c>
      <c r="EY16" s="29"/>
      <c r="EZ16" s="29"/>
      <c r="FA16" s="27">
        <v>4</v>
      </c>
      <c r="FB16" s="26" t="s">
        <v>39</v>
      </c>
      <c r="FC16" s="189" t="str">
        <f ca="1">IFERROR(INDIRECT("fixtures!" &amp; [1]Dashboard!J1 &amp;102) - [1]Dashboard!K1/24,"TBC")</f>
        <v>TBC</v>
      </c>
      <c r="FD16" s="26"/>
      <c r="FE16" s="26" t="s">
        <v>27</v>
      </c>
      <c r="FF16" s="26" t="s">
        <v>16</v>
      </c>
      <c r="FG16" s="27">
        <f>IF(ISBLANK([1]fixtures!$L102),"",[1]fixtures!$L102)</f>
        <v>1</v>
      </c>
      <c r="FH16" s="26" t="str">
        <f>IF(ISBLANK([1]fixtures!$L102),"",":")</f>
        <v>:</v>
      </c>
      <c r="FI16" s="28">
        <f>IF(ISBLANK([1]fixtures!$K102),"",[1]fixtures!$K102)</f>
        <v>0</v>
      </c>
      <c r="FJ16" s="26" t="str">
        <f>IF(ISBLANK([1]fixtures!$L102),"",IF(FG16&gt;FI16,"W",IF(FG16=FI16,"D","L")))</f>
        <v>W</v>
      </c>
      <c r="FK16" s="26"/>
      <c r="FL16" s="26"/>
      <c r="FM16" s="24">
        <v>4</v>
      </c>
      <c r="FN16" s="23" t="s">
        <v>39</v>
      </c>
      <c r="FO16" s="161" t="str">
        <f ca="1">IFERROR(INDIRECT("fixtures!" &amp; [1]Dashboard!J1 &amp;108) - [1]Dashboard!K1/24,"TBC")</f>
        <v>TBC</v>
      </c>
      <c r="FP16" s="23"/>
      <c r="FQ16" s="23" t="s">
        <v>30</v>
      </c>
      <c r="FR16" s="23" t="s">
        <v>21</v>
      </c>
      <c r="FS16" s="24">
        <f>IF(ISBLANK([1]fixtures!$K108),"",[1]fixtures!$K108)</f>
        <v>1</v>
      </c>
      <c r="FT16" s="23" t="str">
        <f>IF(ISBLANK([1]fixtures!$L108),"",":")</f>
        <v>:</v>
      </c>
      <c r="FU16" s="25">
        <f>IF(ISBLANK([1]fixtures!$L108),"",[1]fixtures!$L108)</f>
        <v>0</v>
      </c>
      <c r="FV16" s="23" t="str">
        <f>IF(ISBLANK([1]fixtures!$L108),"",IF(FS16&gt;FU16,"W",IF(FS16=FU16,"D","L")))</f>
        <v>W</v>
      </c>
      <c r="FW16" s="23"/>
      <c r="FX16" s="23"/>
      <c r="FY16" s="21">
        <v>5</v>
      </c>
      <c r="FZ16" s="20" t="s">
        <v>18</v>
      </c>
      <c r="GA16" s="159" t="str">
        <f ca="1">IFERROR(INDIRECT("fixtures!" &amp; [1]Dashboard!J1 &amp;109) - [1]Dashboard!K1/24,"TBC")</f>
        <v>TBC</v>
      </c>
      <c r="GB16" s="20"/>
      <c r="GC16" s="20" t="s">
        <v>31</v>
      </c>
      <c r="GD16" s="20" t="s">
        <v>21</v>
      </c>
      <c r="GE16" s="21">
        <f>IF(ISBLANK([1]fixtures!$K109),"",[1]fixtures!$K109)</f>
        <v>2</v>
      </c>
      <c r="GF16" s="20" t="str">
        <f>IF(ISBLANK([1]fixtures!$L109),"",":")</f>
        <v>:</v>
      </c>
      <c r="GG16" s="22">
        <f>IF(ISBLANK([1]fixtures!$L109),"",[1]fixtures!$L109)</f>
        <v>0</v>
      </c>
      <c r="GH16" s="20" t="str">
        <f>IF(ISBLANK([1]fixtures!$L109),"",IF(GE16&gt;GG16,"W",IF(GE16=GG16,"D","L")))</f>
        <v>W</v>
      </c>
      <c r="GI16" s="20"/>
      <c r="GJ16" s="20"/>
      <c r="GK16" s="18">
        <v>4</v>
      </c>
      <c r="GL16" s="17" t="s">
        <v>39</v>
      </c>
      <c r="GM16" s="157" t="str">
        <f ca="1">IFERROR(INDIRECT("fixtures!" &amp; [1]Dashboard!J1 &amp;107) - [1]Dashboard!K1/24,"TBC")</f>
        <v>TBC</v>
      </c>
      <c r="GN16" s="17"/>
      <c r="GO16" s="17" t="s">
        <v>28</v>
      </c>
      <c r="GP16" s="17" t="s">
        <v>21</v>
      </c>
      <c r="GQ16" s="18">
        <f>IF(ISBLANK([1]fixtures!$K107),"",[1]fixtures!$K107)</f>
        <v>2</v>
      </c>
      <c r="GR16" s="17" t="str">
        <f>IF(ISBLANK([1]fixtures!$L107),"",":")</f>
        <v>:</v>
      </c>
      <c r="GS16" s="19">
        <f>IF(ISBLANK([1]fixtures!$L107),"",[1]fixtures!$L107)</f>
        <v>1</v>
      </c>
      <c r="GT16" s="17" t="str">
        <f>IF(ISBLANK([1]fixtures!$L107),"",IF(GQ16&gt;GS16,"W",IF(GQ16=GS16,"D","L")))</f>
        <v>W</v>
      </c>
      <c r="GU16" s="17"/>
      <c r="GV16" s="17"/>
      <c r="GW16" s="15">
        <v>6</v>
      </c>
      <c r="GX16" s="14" t="s">
        <v>42</v>
      </c>
      <c r="GY16" s="155" t="str">
        <f ca="1">IFERROR(INDIRECT("fixtures!" &amp; [1]Dashboard!J1 &amp;111) - [1]Dashboard!K1/24,"TBC")</f>
        <v>TBC</v>
      </c>
      <c r="GZ16" s="14"/>
      <c r="HA16" s="14" t="s">
        <v>36</v>
      </c>
      <c r="HB16" s="14" t="s">
        <v>21</v>
      </c>
      <c r="HC16" s="15">
        <f>IF(ISBLANK([1]fixtures!$K111),"",[1]fixtures!$K111)</f>
        <v>1</v>
      </c>
      <c r="HD16" s="14" t="str">
        <f>IF(ISBLANK([1]fixtures!$L111),"",":")</f>
        <v>:</v>
      </c>
      <c r="HE16" s="16">
        <f>IF(ISBLANK([1]fixtures!$L111),"",[1]fixtures!$L111)</f>
        <v>4</v>
      </c>
      <c r="HF16" s="14" t="str">
        <f>IF(ISBLANK([1]fixtures!$L111),"",IF(HC16&gt;HE16,"W",IF(HC16=HE16,"D","L")))</f>
        <v>L</v>
      </c>
      <c r="HG16" s="14"/>
      <c r="HH16" s="14"/>
      <c r="HI16" s="12">
        <v>4</v>
      </c>
      <c r="HJ16" s="11" t="s">
        <v>39</v>
      </c>
      <c r="HK16" s="153" t="str">
        <f ca="1">IFERROR(INDIRECT("fixtures!" &amp; [1]Dashboard!J1 &amp;103) - [1]Dashboard!K1/24,"TBC")</f>
        <v>TBC</v>
      </c>
      <c r="HL16" s="11"/>
      <c r="HM16" s="11" t="s">
        <v>24</v>
      </c>
      <c r="HN16" s="11" t="s">
        <v>16</v>
      </c>
      <c r="HO16" s="12">
        <f>IF(ISBLANK([1]fixtures!$L103),"",[1]fixtures!$L103)</f>
        <v>2</v>
      </c>
      <c r="HP16" s="11" t="str">
        <f>IF(ISBLANK([1]fixtures!$L103),"",":")</f>
        <v>:</v>
      </c>
      <c r="HQ16" s="13">
        <f>IF(ISBLANK([1]fixtures!$K103),"",[1]fixtures!$K103)</f>
        <v>3</v>
      </c>
      <c r="HR16" s="11" t="str">
        <f>IF(ISBLANK([1]fixtures!$L103),"",IF(HO16&gt;HQ16,"W",IF(HO16=HQ16,"D","L")))</f>
        <v>L</v>
      </c>
      <c r="HS16" s="11"/>
      <c r="HT16" s="11"/>
      <c r="HU16" s="9">
        <v>4</v>
      </c>
      <c r="HV16" s="8" t="s">
        <v>39</v>
      </c>
      <c r="HW16" s="151" t="str">
        <f ca="1">IFERROR(INDIRECT("fixtures!" &amp; [1]Dashboard!J1 &amp;107) - [1]Dashboard!K1/24,"TBC")</f>
        <v>TBC</v>
      </c>
      <c r="HX16" s="8"/>
      <c r="HY16" s="8" t="s">
        <v>20</v>
      </c>
      <c r="HZ16" s="8" t="s">
        <v>16</v>
      </c>
      <c r="IA16" s="9">
        <f>IF(ISBLANK([1]fixtures!$L107),"",[1]fixtures!$L107)</f>
        <v>1</v>
      </c>
      <c r="IB16" s="8" t="str">
        <f>IF(ISBLANK([1]fixtures!$L107),"",":")</f>
        <v>:</v>
      </c>
      <c r="IC16" s="10">
        <f>IF(ISBLANK([1]fixtures!$K107),"",[1]fixtures!$K107)</f>
        <v>2</v>
      </c>
      <c r="ID16" s="8" t="str">
        <f>IF(ISBLANK([1]fixtures!$L107),"",IF(IA16&gt;IC16,"W",IF(IA16=IC16,"D","L")))</f>
        <v>L</v>
      </c>
      <c r="IE16" s="8"/>
      <c r="IF16" s="8"/>
    </row>
    <row r="17" spans="1:243" x14ac:dyDescent="0.25">
      <c r="A17" s="67">
        <v>11</v>
      </c>
      <c r="B17" s="68" t="s">
        <v>39</v>
      </c>
      <c r="C17" s="187" t="str">
        <f ca="1">IFERROR(INDIRECT("fixtures!" &amp; [1]Dashboard!J1 &amp;113) - [1]Dashboard!K1/24,"TBC")</f>
        <v>TBC</v>
      </c>
      <c r="D17" s="66"/>
      <c r="E17" s="66" t="s">
        <v>23</v>
      </c>
      <c r="F17" s="66" t="s">
        <v>21</v>
      </c>
      <c r="G17" s="67">
        <f>IF(ISBLANK([1]fixtures!$K113),"",[1]fixtures!$K113)</f>
        <v>3</v>
      </c>
      <c r="H17" s="66" t="str">
        <f>IF(ISBLANK([1]fixtures!$L113),"",":")</f>
        <v>:</v>
      </c>
      <c r="I17" s="68">
        <f>IF(ISBLANK([1]fixtures!$L113),"",[1]fixtures!$L113)</f>
        <v>1</v>
      </c>
      <c r="J17" s="66" t="str">
        <f>IF(ISBLANK([1]fixtures!$L113),"",IF(G17&gt;I17,"W",IF(G17=I17,"D","L")))</f>
        <v>W</v>
      </c>
      <c r="K17" s="66"/>
      <c r="L17" s="66"/>
      <c r="M17" s="63">
        <v>12</v>
      </c>
      <c r="N17" s="62" t="s">
        <v>18</v>
      </c>
      <c r="O17" s="185" t="str">
        <f ca="1">IFERROR(INDIRECT("fixtures!" &amp; [1]Dashboard!J1 &amp;117) - [1]Dashboard!K1/24,"TBC")</f>
        <v>TBC</v>
      </c>
      <c r="P17" s="62"/>
      <c r="Q17" s="62" t="s">
        <v>27</v>
      </c>
      <c r="R17" s="62" t="s">
        <v>21</v>
      </c>
      <c r="S17" s="63">
        <f>IF(ISBLANK([1]fixtures!$K117),"",[1]fixtures!$K117)</f>
        <v>3</v>
      </c>
      <c r="T17" s="62" t="str">
        <f>IF(ISBLANK([1]fixtures!$L117),"",":")</f>
        <v>:</v>
      </c>
      <c r="U17" s="64">
        <f>IF(ISBLANK([1]fixtures!$L117),"",[1]fixtures!$L117)</f>
        <v>1</v>
      </c>
      <c r="V17" s="62" t="str">
        <f>IF(ISBLANK([1]fixtures!$L117),"",IF(S17&gt;U17,"W",IF(S17=U17,"D","L")))</f>
        <v>W</v>
      </c>
      <c r="W17" s="62"/>
      <c r="X17" s="62"/>
      <c r="Y17" s="60">
        <v>11</v>
      </c>
      <c r="Z17" s="59" t="s">
        <v>39</v>
      </c>
      <c r="AA17" s="183" t="str">
        <f ca="1">IFERROR(INDIRECT("fixtures!" &amp; [1]Dashboard!J1 &amp;116) - [1]Dashboard!K1/24,"TBC")</f>
        <v>TBC</v>
      </c>
      <c r="AB17" s="59"/>
      <c r="AC17" s="59" t="s">
        <v>35</v>
      </c>
      <c r="AD17" s="59" t="s">
        <v>21</v>
      </c>
      <c r="AE17" s="60">
        <f>IF(ISBLANK([1]fixtures!$K116),"",[1]fixtures!$K116)</f>
        <v>2</v>
      </c>
      <c r="AF17" s="59" t="str">
        <f>IF(ISBLANK([1]fixtures!$L116),"",":")</f>
        <v>:</v>
      </c>
      <c r="AG17" s="61">
        <f>IF(ISBLANK([1]fixtures!$L116),"",[1]fixtures!$L116)</f>
        <v>0</v>
      </c>
      <c r="AH17" s="59" t="str">
        <f>IF(ISBLANK([1]fixtures!$L116),"",IF(AE17&gt;AG17,"W",IF(AE17=AG17,"D","L")))</f>
        <v>W</v>
      </c>
      <c r="AI17" s="59"/>
      <c r="AJ17" s="59"/>
      <c r="AK17" s="57">
        <v>12</v>
      </c>
      <c r="AL17" s="56" t="s">
        <v>18</v>
      </c>
      <c r="AM17" s="181" t="str">
        <f ca="1">IFERROR(INDIRECT("fixtures!" &amp; [1]Dashboard!J1 &amp;119) - [1]Dashboard!K1/24,"TBC")</f>
        <v>TBC</v>
      </c>
      <c r="AN17" s="56"/>
      <c r="AO17" s="56" t="s">
        <v>17</v>
      </c>
      <c r="AP17" s="56" t="s">
        <v>16</v>
      </c>
      <c r="AQ17" s="57">
        <f>IF(ISBLANK([1]fixtures!$L119),"",[1]fixtures!$L119)</f>
        <v>0</v>
      </c>
      <c r="AR17" s="56" t="str">
        <f>IF(ISBLANK([1]fixtures!$L119),"",":")</f>
        <v>:</v>
      </c>
      <c r="AS17" s="58">
        <f>IF(ISBLANK([1]fixtures!$K119),"",[1]fixtures!$K119)</f>
        <v>3</v>
      </c>
      <c r="AT17" s="56" t="str">
        <f>IF(ISBLANK([1]fixtures!$L119),"",IF(AQ17&gt;AS17,"W",IF(AQ17=AS17,"D","L")))</f>
        <v>L</v>
      </c>
      <c r="AU17" s="56"/>
      <c r="AV17" s="56"/>
      <c r="AW17" s="54">
        <v>12</v>
      </c>
      <c r="AX17" s="53" t="s">
        <v>18</v>
      </c>
      <c r="AY17" s="179" t="str">
        <f ca="1">IFERROR(INDIRECT("fixtures!" &amp; [1]Dashboard!J1 &amp;118) - [1]Dashboard!K1/24,"TBC")</f>
        <v>TBC</v>
      </c>
      <c r="AZ17" s="53"/>
      <c r="BA17" s="53" t="s">
        <v>20</v>
      </c>
      <c r="BB17" s="53" t="s">
        <v>21</v>
      </c>
      <c r="BC17" s="54">
        <f>IF(ISBLANK([1]fixtures!$K118),"",[1]fixtures!$K118)</f>
        <v>1</v>
      </c>
      <c r="BD17" s="53" t="str">
        <f>IF(ISBLANK([1]fixtures!$L118),"",":")</f>
        <v>:</v>
      </c>
      <c r="BE17" s="55">
        <f>IF(ISBLANK([1]fixtures!$L118),"",[1]fixtures!$L118)</f>
        <v>1</v>
      </c>
      <c r="BF17" s="53" t="str">
        <f>IF(ISBLANK([1]fixtures!$L118),"",IF(BC17&gt;BE17,"W",IF(BC17=BE17,"D","L")))</f>
        <v>D</v>
      </c>
      <c r="BG17" s="53"/>
      <c r="BH17" s="53"/>
      <c r="BI17" s="51">
        <v>11</v>
      </c>
      <c r="BJ17" s="50" t="s">
        <v>39</v>
      </c>
      <c r="BK17" s="177" t="str">
        <f ca="1">IFERROR(INDIRECT("fixtures!" &amp; [1]Dashboard!J1 &amp;113) - [1]Dashboard!K1/24,"TBC")</f>
        <v>TBC</v>
      </c>
      <c r="BL17" s="50"/>
      <c r="BM17" s="50" t="s">
        <v>30</v>
      </c>
      <c r="BN17" s="50" t="s">
        <v>16</v>
      </c>
      <c r="BO17" s="51">
        <f>IF(ISBLANK([1]fixtures!$L113),"",[1]fixtures!$L113)</f>
        <v>1</v>
      </c>
      <c r="BP17" s="50" t="str">
        <f>IF(ISBLANK([1]fixtures!$L113),"",":")</f>
        <v>:</v>
      </c>
      <c r="BQ17" s="52">
        <f>IF(ISBLANK([1]fixtures!$K113),"",[1]fixtures!$K113)</f>
        <v>3</v>
      </c>
      <c r="BR17" s="50" t="str">
        <f>IF(ISBLANK([1]fixtures!$L113),"",IF(BO17&gt;BQ17,"W",IF(BO17=BQ17,"D","L")))</f>
        <v>L</v>
      </c>
      <c r="BS17" s="50"/>
      <c r="BT17" s="50"/>
      <c r="BU17" s="48">
        <v>12</v>
      </c>
      <c r="BV17" s="47" t="s">
        <v>18</v>
      </c>
      <c r="BW17" s="175" t="str">
        <f ca="1">IFERROR(INDIRECT("fixtures!" &amp; [1]Dashboard!J1 &amp;121) - [1]Dashboard!K1/24,"TBC")</f>
        <v>TBC</v>
      </c>
      <c r="BX17" s="47"/>
      <c r="BY17" s="47" t="s">
        <v>19</v>
      </c>
      <c r="BZ17" s="47" t="s">
        <v>21</v>
      </c>
      <c r="CA17" s="48">
        <f>IF(ISBLANK([1]fixtures!$K121),"",[1]fixtures!$K121)</f>
        <v>4</v>
      </c>
      <c r="CB17" s="47" t="str">
        <f>IF(ISBLANK([1]fixtures!$L121),"",":")</f>
        <v>:</v>
      </c>
      <c r="CC17" s="49">
        <f>IF(ISBLANK([1]fixtures!$L121),"",[1]fixtures!$L121)</f>
        <v>4</v>
      </c>
      <c r="CD17" s="47" t="str">
        <f>IF(ISBLANK([1]fixtures!$L121),"",IF(CA17&gt;CC17,"W",IF(CA17=CC17,"D","L")))</f>
        <v>D</v>
      </c>
      <c r="CE17" s="47"/>
      <c r="CF17" s="47"/>
      <c r="CG17" s="45">
        <v>11</v>
      </c>
      <c r="CH17" s="44" t="s">
        <v>39</v>
      </c>
      <c r="CI17" s="173" t="str">
        <f ca="1">IFERROR(INDIRECT("fixtures!" &amp; [1]Dashboard!J1 &amp;114) - [1]Dashboard!K1/24,"TBC")</f>
        <v>TBC</v>
      </c>
      <c r="CJ17" s="44"/>
      <c r="CK17" s="44" t="s">
        <v>38</v>
      </c>
      <c r="CL17" s="44" t="s">
        <v>21</v>
      </c>
      <c r="CM17" s="45">
        <f>IF(ISBLANK([1]fixtures!$K114),"",[1]fixtures!$K114)</f>
        <v>2</v>
      </c>
      <c r="CN17" s="44" t="str">
        <f>IF(ISBLANK([1]fixtures!$L114),"",":")</f>
        <v>:</v>
      </c>
      <c r="CO17" s="46">
        <f>IF(ISBLANK([1]fixtures!$L114),"",[1]fixtures!$L114)</f>
        <v>3</v>
      </c>
      <c r="CP17" s="44" t="str">
        <f>IF(ISBLANK([1]fixtures!$L114),"",IF(CM17&gt;CO17,"W",IF(CM17=CO17,"D","L")))</f>
        <v>L</v>
      </c>
      <c r="CQ17" s="44"/>
      <c r="CR17" s="44"/>
      <c r="CS17" s="42">
        <v>11</v>
      </c>
      <c r="CT17" s="41" t="s">
        <v>39</v>
      </c>
      <c r="CU17" s="171" t="str">
        <f ca="1">IFERROR(INDIRECT("fixtures!" &amp; [1]Dashboard!J1 &amp;114) - [1]Dashboard!K1/24,"TBC")</f>
        <v>TBC</v>
      </c>
      <c r="CV17" s="41"/>
      <c r="CW17" s="41" t="s">
        <v>37</v>
      </c>
      <c r="CX17" s="41" t="s">
        <v>16</v>
      </c>
      <c r="CY17" s="42">
        <f>IF(ISBLANK([1]fixtures!$L114),"",[1]fixtures!$L114)</f>
        <v>3</v>
      </c>
      <c r="CZ17" s="41" t="str">
        <f>IF(ISBLANK([1]fixtures!$L114),"",":")</f>
        <v>:</v>
      </c>
      <c r="DA17" s="43">
        <f>IF(ISBLANK([1]fixtures!$K114),"",[1]fixtures!$K114)</f>
        <v>2</v>
      </c>
      <c r="DB17" s="41" t="str">
        <f>IF(ISBLANK([1]fixtures!$L114),"",IF(CY17&gt;DA17,"W",IF(CY17=DA17,"D","L")))</f>
        <v>W</v>
      </c>
      <c r="DC17" s="41"/>
      <c r="DD17" s="41"/>
      <c r="DE17" s="39">
        <v>12</v>
      </c>
      <c r="DF17" s="38" t="s">
        <v>18</v>
      </c>
      <c r="DG17" s="169" t="str">
        <f ca="1">IFERROR(INDIRECT("fixtures!" &amp; [1]Dashboard!J1 &amp;117) - [1]Dashboard!K1/24,"TBC")</f>
        <v>TBC</v>
      </c>
      <c r="DH17" s="38"/>
      <c r="DI17" s="38" t="s">
        <v>31</v>
      </c>
      <c r="DJ17" s="38" t="s">
        <v>16</v>
      </c>
      <c r="DK17" s="39">
        <f>IF(ISBLANK([1]fixtures!$L117),"",[1]fixtures!$L117)</f>
        <v>1</v>
      </c>
      <c r="DL17" s="38" t="str">
        <f>IF(ISBLANK([1]fixtures!$L117),"",":")</f>
        <v>:</v>
      </c>
      <c r="DM17" s="40">
        <f>IF(ISBLANK([1]fixtures!$K117),"",[1]fixtures!$K117)</f>
        <v>3</v>
      </c>
      <c r="DN17" s="38" t="str">
        <f>IF(ISBLANK([1]fixtures!$L117),"",IF(DK17&gt;DM17,"W",IF(DK17=DM17,"D","L")))</f>
        <v>L</v>
      </c>
      <c r="DO17" s="38"/>
      <c r="DP17" s="38"/>
      <c r="DQ17" s="36">
        <v>12</v>
      </c>
      <c r="DR17" s="35" t="s">
        <v>18</v>
      </c>
      <c r="DS17" s="167" t="str">
        <f ca="1">IFERROR(INDIRECT("fixtures!" &amp; [1]Dashboard!J1 &amp;119) - [1]Dashboard!K1/24,"TBC")</f>
        <v>TBC</v>
      </c>
      <c r="DT17" s="35"/>
      <c r="DU17" s="35" t="s">
        <v>24</v>
      </c>
      <c r="DV17" s="35" t="s">
        <v>21</v>
      </c>
      <c r="DW17" s="36">
        <f>IF(ISBLANK([1]fixtures!$K119),"",[1]fixtures!$K119)</f>
        <v>3</v>
      </c>
      <c r="DX17" s="35" t="str">
        <f>IF(ISBLANK([1]fixtures!$L119),"",":")</f>
        <v>:</v>
      </c>
      <c r="DY17" s="37">
        <f>IF(ISBLANK([1]fixtures!$L119),"",[1]fixtures!$L119)</f>
        <v>0</v>
      </c>
      <c r="DZ17" s="35" t="str">
        <f>IF(ISBLANK([1]fixtures!$L119),"",IF(DW17&gt;DY17,"W",IF(DW17=DY17,"D","L")))</f>
        <v>W</v>
      </c>
      <c r="EA17" s="35"/>
      <c r="EB17" s="35"/>
      <c r="EC17" s="33">
        <v>11</v>
      </c>
      <c r="ED17" s="32" t="s">
        <v>39</v>
      </c>
      <c r="EE17" s="190" t="str">
        <f ca="1">IFERROR(INDIRECT("fixtures!" &amp; [1]Dashboard!J1 &amp;115) - [1]Dashboard!K1/24,"TBC")</f>
        <v>TBC</v>
      </c>
      <c r="EF17" s="32"/>
      <c r="EG17" s="32" t="s">
        <v>34</v>
      </c>
      <c r="EH17" s="32" t="s">
        <v>16</v>
      </c>
      <c r="EI17" s="33">
        <f>IF(ISBLANK([1]fixtures!$L115),"",[1]fixtures!$L115)</f>
        <v>0</v>
      </c>
      <c r="EJ17" s="32" t="str">
        <f>IF(ISBLANK([1]fixtures!$L115),"",":")</f>
        <v>:</v>
      </c>
      <c r="EK17" s="34">
        <f>IF(ISBLANK([1]fixtures!$K115),"",[1]fixtures!$K115)</f>
        <v>1</v>
      </c>
      <c r="EL17" s="32" t="str">
        <f>IF(ISBLANK([1]fixtures!$L115),"",IF(EI17&gt;EK17,"W",IF(EI17=EK17,"D","L")))</f>
        <v>L</v>
      </c>
      <c r="EM17" s="32"/>
      <c r="EN17" s="32"/>
      <c r="EO17" s="30">
        <v>12</v>
      </c>
      <c r="EP17" s="29" t="s">
        <v>18</v>
      </c>
      <c r="EQ17" s="164" t="str">
        <f ca="1">IFERROR(INDIRECT("fixtures!" &amp; [1]Dashboard!J1 &amp;121) - [1]Dashboard!K1/24,"TBC")</f>
        <v>TBC</v>
      </c>
      <c r="ER17" s="29"/>
      <c r="ES17" s="29" t="s">
        <v>36</v>
      </c>
      <c r="ET17" s="29" t="s">
        <v>16</v>
      </c>
      <c r="EU17" s="30">
        <f>IF(ISBLANK([1]fixtures!$L121),"",[1]fixtures!$L121)</f>
        <v>4</v>
      </c>
      <c r="EV17" s="29" t="str">
        <f>IF(ISBLANK([1]fixtures!$L121),"",":")</f>
        <v>:</v>
      </c>
      <c r="EW17" s="31">
        <f>IF(ISBLANK([1]fixtures!$K121),"",[1]fixtures!$K121)</f>
        <v>4</v>
      </c>
      <c r="EX17" s="29" t="str">
        <f>IF(ISBLANK([1]fixtures!$L121),"",IF(EU17&gt;EW17,"W",IF(EU17=EW17,"D","L")))</f>
        <v>D</v>
      </c>
      <c r="EY17" s="29"/>
      <c r="EZ17" s="29"/>
      <c r="FA17" s="27">
        <v>11</v>
      </c>
      <c r="FB17" s="26" t="s">
        <v>39</v>
      </c>
      <c r="FC17" s="189" t="str">
        <f ca="1">IFERROR(INDIRECT("fixtures!" &amp; [1]Dashboard!J1 &amp;115) - [1]Dashboard!K1/24,"TBC")</f>
        <v>TBC</v>
      </c>
      <c r="FD17" s="26"/>
      <c r="FE17" s="26" t="s">
        <v>29</v>
      </c>
      <c r="FF17" s="26" t="s">
        <v>21</v>
      </c>
      <c r="FG17" s="27">
        <f>IF(ISBLANK([1]fixtures!$K115),"",[1]fixtures!$K115)</f>
        <v>1</v>
      </c>
      <c r="FH17" s="26" t="str">
        <f>IF(ISBLANK([1]fixtures!$L115),"",":")</f>
        <v>:</v>
      </c>
      <c r="FI17" s="28">
        <f>IF(ISBLANK([1]fixtures!$L115),"",[1]fixtures!$L115)</f>
        <v>0</v>
      </c>
      <c r="FJ17" s="26" t="str">
        <f>IF(ISBLANK([1]fixtures!$L115),"",IF(FG17&gt;FI17,"W",IF(FG17=FI17,"D","L")))</f>
        <v>W</v>
      </c>
      <c r="FK17" s="26"/>
      <c r="FL17" s="26"/>
      <c r="FM17" s="24">
        <v>11</v>
      </c>
      <c r="FN17" s="23" t="s">
        <v>39</v>
      </c>
      <c r="FO17" s="161" t="str">
        <f ca="1">IFERROR(INDIRECT("fixtures!" &amp; [1]Dashboard!J1 &amp;116) - [1]Dashboard!K1/24,"TBC")</f>
        <v>TBC</v>
      </c>
      <c r="FP17" s="23"/>
      <c r="FQ17" s="23" t="s">
        <v>32</v>
      </c>
      <c r="FR17" s="23" t="s">
        <v>16</v>
      </c>
      <c r="FS17" s="24">
        <f>IF(ISBLANK([1]fixtures!$L116),"",[1]fixtures!$L116)</f>
        <v>0</v>
      </c>
      <c r="FT17" s="23" t="str">
        <f>IF(ISBLANK([1]fixtures!$L116),"",":")</f>
        <v>:</v>
      </c>
      <c r="FU17" s="25">
        <f>IF(ISBLANK([1]fixtures!$K116),"",[1]fixtures!$K116)</f>
        <v>2</v>
      </c>
      <c r="FV17" s="23" t="str">
        <f>IF(ISBLANK([1]fixtures!$L116),"",IF(FS17&gt;FU17,"W",IF(FS17=FU17,"D","L")))</f>
        <v>L</v>
      </c>
      <c r="FW17" s="23"/>
      <c r="FX17" s="23"/>
      <c r="FY17" s="21">
        <v>12</v>
      </c>
      <c r="FZ17" s="20" t="s">
        <v>18</v>
      </c>
      <c r="GA17" s="159" t="str">
        <f ca="1">IFERROR(INDIRECT("fixtures!" &amp; [1]Dashboard!J1 &amp;120) - [1]Dashboard!K1/24,"TBC")</f>
        <v>TBC</v>
      </c>
      <c r="GB17" s="20"/>
      <c r="GC17" s="20" t="s">
        <v>26</v>
      </c>
      <c r="GD17" s="20" t="s">
        <v>16</v>
      </c>
      <c r="GE17" s="21">
        <f>IF(ISBLANK([1]fixtures!$L120),"",[1]fixtures!$L120)</f>
        <v>2</v>
      </c>
      <c r="GF17" s="20" t="str">
        <f>IF(ISBLANK([1]fixtures!$L120),"",":")</f>
        <v>:</v>
      </c>
      <c r="GG17" s="22">
        <f>IF(ISBLANK([1]fixtures!$K120),"",[1]fixtures!$K120)</f>
        <v>3</v>
      </c>
      <c r="GH17" s="20" t="str">
        <f>IF(ISBLANK([1]fixtures!$L120),"",IF(GE17&gt;GG17,"W",IF(GE17=GG17,"D","L")))</f>
        <v>L</v>
      </c>
      <c r="GI17" s="20"/>
      <c r="GJ17" s="20"/>
      <c r="GK17" s="18">
        <v>12</v>
      </c>
      <c r="GL17" s="17" t="s">
        <v>18</v>
      </c>
      <c r="GM17" s="157" t="str">
        <f ca="1">IFERROR(INDIRECT("fixtures!" &amp; [1]Dashboard!J1 &amp;118) - [1]Dashboard!K1/24,"TBC")</f>
        <v>TBC</v>
      </c>
      <c r="GN17" s="17"/>
      <c r="GO17" s="17" t="s">
        <v>25</v>
      </c>
      <c r="GP17" s="17" t="s">
        <v>16</v>
      </c>
      <c r="GQ17" s="18">
        <f>IF(ISBLANK([1]fixtures!$L118),"",[1]fixtures!$L118)</f>
        <v>1</v>
      </c>
      <c r="GR17" s="17" t="str">
        <f>IF(ISBLANK([1]fixtures!$L118),"",":")</f>
        <v>:</v>
      </c>
      <c r="GS17" s="19">
        <f>IF(ISBLANK([1]fixtures!$K118),"",[1]fixtures!$K118)</f>
        <v>1</v>
      </c>
      <c r="GT17" s="17" t="str">
        <f>IF(ISBLANK([1]fixtures!$L118),"",IF(GQ17&gt;GS17,"W",IF(GQ17=GS17,"D","L")))</f>
        <v>D</v>
      </c>
      <c r="GU17" s="17"/>
      <c r="GV17" s="17"/>
      <c r="GW17" s="15">
        <v>11</v>
      </c>
      <c r="GX17" s="14" t="s">
        <v>39</v>
      </c>
      <c r="GY17" s="155" t="str">
        <f ca="1">IFERROR(INDIRECT("fixtures!" &amp; [1]Dashboard!J1 &amp;112) - [1]Dashboard!K1/24,"TBC")</f>
        <v>TBC</v>
      </c>
      <c r="GZ17" s="14"/>
      <c r="HA17" s="14" t="s">
        <v>28</v>
      </c>
      <c r="HB17" s="14" t="s">
        <v>16</v>
      </c>
      <c r="HC17" s="15">
        <f>IF(ISBLANK([1]fixtures!$L112),"",[1]fixtures!$L112)</f>
        <v>1</v>
      </c>
      <c r="HD17" s="14" t="str">
        <f>IF(ISBLANK([1]fixtures!$L112),"",":")</f>
        <v>:</v>
      </c>
      <c r="HE17" s="16">
        <f>IF(ISBLANK([1]fixtures!$K112),"",[1]fixtures!$K112)</f>
        <v>2</v>
      </c>
      <c r="HF17" s="14" t="str">
        <f>IF(ISBLANK([1]fixtures!$L112),"",IF(HC17&gt;HE17,"W",IF(HC17=HE17,"D","L")))</f>
        <v>L</v>
      </c>
      <c r="HG17" s="14"/>
      <c r="HH17" s="14"/>
      <c r="HI17" s="12">
        <v>12</v>
      </c>
      <c r="HJ17" s="11" t="s">
        <v>18</v>
      </c>
      <c r="HK17" s="153" t="str">
        <f ca="1">IFERROR(INDIRECT("fixtures!" &amp; [1]Dashboard!J1 &amp;120) - [1]Dashboard!K1/24,"TBC")</f>
        <v>TBC</v>
      </c>
      <c r="HL17" s="11"/>
      <c r="HM17" s="11" t="s">
        <v>33</v>
      </c>
      <c r="HN17" s="11" t="s">
        <v>21</v>
      </c>
      <c r="HO17" s="12">
        <f>IF(ISBLANK([1]fixtures!$K120),"",[1]fixtures!$K120)</f>
        <v>3</v>
      </c>
      <c r="HP17" s="11" t="str">
        <f>IF(ISBLANK([1]fixtures!$L120),"",":")</f>
        <v>:</v>
      </c>
      <c r="HQ17" s="13">
        <f>IF(ISBLANK([1]fixtures!$L120),"",[1]fixtures!$L120)</f>
        <v>2</v>
      </c>
      <c r="HR17" s="11" t="str">
        <f>IF(ISBLANK([1]fixtures!$L120),"",IF(HO17&gt;HQ17,"W",IF(HO17=HQ17,"D","L")))</f>
        <v>W</v>
      </c>
      <c r="HS17" s="11"/>
      <c r="HT17" s="11"/>
      <c r="HU17" s="9">
        <v>11</v>
      </c>
      <c r="HV17" s="8" t="s">
        <v>39</v>
      </c>
      <c r="HW17" s="151" t="str">
        <f ca="1">IFERROR(INDIRECT("fixtures!" &amp; [1]Dashboard!J1 &amp;112) - [1]Dashboard!K1/24,"TBC")</f>
        <v>TBC</v>
      </c>
      <c r="HX17" s="8"/>
      <c r="HY17" s="8" t="s">
        <v>22</v>
      </c>
      <c r="HZ17" s="8" t="s">
        <v>21</v>
      </c>
      <c r="IA17" s="9">
        <f>IF(ISBLANK([1]fixtures!$K112),"",[1]fixtures!$K112)</f>
        <v>2</v>
      </c>
      <c r="IB17" s="8" t="str">
        <f>IF(ISBLANK([1]fixtures!$L112),"",":")</f>
        <v>:</v>
      </c>
      <c r="IC17" s="10">
        <f>IF(ISBLANK([1]fixtures!$L112),"",[1]fixtures!$L112)</f>
        <v>1</v>
      </c>
      <c r="ID17" s="8" t="str">
        <f>IF(ISBLANK([1]fixtures!$L112),"",IF(IA17&gt;IC17,"W",IF(IA17=IC17,"D","L")))</f>
        <v>W</v>
      </c>
      <c r="IE17" s="8"/>
      <c r="IF17" s="8"/>
    </row>
    <row r="18" spans="1:243" x14ac:dyDescent="0.25">
      <c r="A18" s="67">
        <v>25</v>
      </c>
      <c r="B18" s="66" t="s">
        <v>39</v>
      </c>
      <c r="C18" s="187" t="str">
        <f ca="1">IFERROR(INDIRECT("fixtures!" &amp; [1]Dashboard!J1 &amp;128) - [1]Dashboard!K1/24,"TBC")</f>
        <v>TBC</v>
      </c>
      <c r="D18" s="66"/>
      <c r="E18" s="66" t="s">
        <v>24</v>
      </c>
      <c r="F18" s="66" t="s">
        <v>16</v>
      </c>
      <c r="G18" s="67">
        <f>IF(ISBLANK([1]fixtures!$L128),"",[1]fixtures!$L128)</f>
        <v>1</v>
      </c>
      <c r="H18" s="66" t="str">
        <f>IF(ISBLANK([1]fixtures!$L128),"",":")</f>
        <v>:</v>
      </c>
      <c r="I18" s="68">
        <f>IF(ISBLANK([1]fixtures!$K128),"",[1]fixtures!$K128)</f>
        <v>0</v>
      </c>
      <c r="J18" s="66" t="str">
        <f>IF(ISBLANK([1]fixtures!$L128),"",IF(G18&gt;I18,"W",IF(G18=I18,"D","L")))</f>
        <v>W</v>
      </c>
      <c r="K18" s="66"/>
      <c r="L18" s="66"/>
      <c r="M18" s="63">
        <v>26</v>
      </c>
      <c r="N18" s="62" t="s">
        <v>18</v>
      </c>
      <c r="O18" s="185" t="str">
        <f ca="1">IFERROR(INDIRECT("fixtures!" &amp; [1]Dashboard!J1 &amp;129) - [1]Dashboard!K1/24,"TBC")</f>
        <v>TBC</v>
      </c>
      <c r="P18" s="62"/>
      <c r="Q18" s="62" t="s">
        <v>22</v>
      </c>
      <c r="R18" s="62" t="s">
        <v>16</v>
      </c>
      <c r="S18" s="63">
        <f>IF(ISBLANK([1]fixtures!$L129),"",[1]fixtures!$L129)</f>
        <v>2</v>
      </c>
      <c r="T18" s="62" t="str">
        <f>IF(ISBLANK([1]fixtures!$L129),"",":")</f>
        <v>:</v>
      </c>
      <c r="U18" s="64">
        <f>IF(ISBLANK([1]fixtures!$K129),"",[1]fixtures!$K129)</f>
        <v>1</v>
      </c>
      <c r="V18" s="62" t="str">
        <f>IF(ISBLANK([1]fixtures!$L129),"",IF(S18&gt;U18,"W",IF(S18=U18,"D","L")))</f>
        <v>W</v>
      </c>
      <c r="W18" s="62"/>
      <c r="X18" s="62"/>
      <c r="Y18" s="60">
        <v>25</v>
      </c>
      <c r="Z18" s="59" t="s">
        <v>39</v>
      </c>
      <c r="AA18" s="183" t="str">
        <f ca="1">IFERROR(INDIRECT("fixtures!" &amp; [1]Dashboard!J1 &amp;127) - [1]Dashboard!K1/24,"TBC")</f>
        <v>TBC</v>
      </c>
      <c r="AB18" s="59"/>
      <c r="AC18" s="59" t="s">
        <v>20</v>
      </c>
      <c r="AD18" s="59" t="s">
        <v>16</v>
      </c>
      <c r="AE18" s="60">
        <f>IF(ISBLANK([1]fixtures!$L127),"",[1]fixtures!$L127)</f>
        <v>3</v>
      </c>
      <c r="AF18" s="59" t="str">
        <f>IF(ISBLANK([1]fixtures!$L127),"",":")</f>
        <v>:</v>
      </c>
      <c r="AG18" s="61">
        <f>IF(ISBLANK([1]fixtures!$K127),"",[1]fixtures!$K127)</f>
        <v>1</v>
      </c>
      <c r="AH18" s="59" t="str">
        <f>IF(ISBLANK([1]fixtures!$L127),"",IF(AE18&gt;AG18,"W",IF(AE18=AG18,"D","L")))</f>
        <v>W</v>
      </c>
      <c r="AI18" s="59"/>
      <c r="AJ18" s="59"/>
      <c r="AK18" s="57">
        <v>25</v>
      </c>
      <c r="AL18" s="56" t="s">
        <v>39</v>
      </c>
      <c r="AM18" s="181" t="str">
        <f ca="1">IFERROR(INDIRECT("fixtures!" &amp; [1]Dashboard!J1 &amp;128) - [1]Dashboard!K1/24,"TBC")</f>
        <v>TBC</v>
      </c>
      <c r="AN18" s="56"/>
      <c r="AO18" s="56" t="s">
        <v>30</v>
      </c>
      <c r="AP18" s="56" t="s">
        <v>21</v>
      </c>
      <c r="AQ18" s="57">
        <f>IF(ISBLANK([1]fixtures!$K128),"",[1]fixtures!$K128)</f>
        <v>0</v>
      </c>
      <c r="AR18" s="56" t="str">
        <f>IF(ISBLANK([1]fixtures!$L128),"",":")</f>
        <v>:</v>
      </c>
      <c r="AS18" s="58">
        <f>IF(ISBLANK([1]fixtures!$L128),"",[1]fixtures!$L128)</f>
        <v>1</v>
      </c>
      <c r="AT18" s="56" t="str">
        <f>IF(ISBLANK([1]fixtures!$L128),"",IF(AQ18&gt;AS18,"W",IF(AQ18=AS18,"D","L")))</f>
        <v>L</v>
      </c>
      <c r="AU18" s="56"/>
      <c r="AV18" s="56"/>
      <c r="AW18" s="54">
        <v>25</v>
      </c>
      <c r="AX18" s="53" t="s">
        <v>39</v>
      </c>
      <c r="AY18" s="179" t="str">
        <f ca="1">IFERROR(INDIRECT("fixtures!" &amp; [1]Dashboard!J1 &amp;126) - [1]Dashboard!K1/24,"TBC")</f>
        <v>TBC</v>
      </c>
      <c r="AZ18" s="53"/>
      <c r="BA18" s="53" t="s">
        <v>33</v>
      </c>
      <c r="BB18" s="53" t="s">
        <v>16</v>
      </c>
      <c r="BC18" s="54">
        <f>IF(ISBLANK([1]fixtures!$L126),"",[1]fixtures!$L126)</f>
        <v>3</v>
      </c>
      <c r="BD18" s="53" t="str">
        <f>IF(ISBLANK([1]fixtures!$L126),"",":")</f>
        <v>:</v>
      </c>
      <c r="BE18" s="55">
        <f>IF(ISBLANK([1]fixtures!$K126),"",[1]fixtures!$K126)</f>
        <v>2</v>
      </c>
      <c r="BF18" s="53" t="str">
        <f>IF(ISBLANK([1]fixtures!$L126),"",IF(BC18&gt;BE18,"W",IF(BC18=BE18,"D","L")))</f>
        <v>W</v>
      </c>
      <c r="BG18" s="53"/>
      <c r="BH18" s="53"/>
      <c r="BI18" s="51">
        <v>25</v>
      </c>
      <c r="BJ18" s="50" t="s">
        <v>39</v>
      </c>
      <c r="BK18" s="177" t="str">
        <f ca="1">IFERROR(INDIRECT("fixtures!" &amp; [1]Dashboard!J1 &amp;123) - [1]Dashboard!K1/24,"TBC")</f>
        <v>TBC</v>
      </c>
      <c r="BL18" s="50"/>
      <c r="BM18" s="50" t="s">
        <v>26</v>
      </c>
      <c r="BN18" s="50" t="s">
        <v>21</v>
      </c>
      <c r="BO18" s="51">
        <f>IF(ISBLANK([1]fixtures!$K123),"",[1]fixtures!$K123)</f>
        <v>1</v>
      </c>
      <c r="BP18" s="50" t="str">
        <f>IF(ISBLANK([1]fixtures!$L123),"",":")</f>
        <v>:</v>
      </c>
      <c r="BQ18" s="52">
        <f>IF(ISBLANK([1]fixtures!$L123),"",[1]fixtures!$L123)</f>
        <v>2</v>
      </c>
      <c r="BR18" s="50" t="str">
        <f>IF(ISBLANK([1]fixtures!$L123),"",IF(BO18&gt;BQ18,"W",IF(BO18=BQ18,"D","L")))</f>
        <v>L</v>
      </c>
      <c r="BS18" s="50"/>
      <c r="BT18" s="50"/>
      <c r="BU18" s="48">
        <v>25</v>
      </c>
      <c r="BV18" s="47" t="s">
        <v>39</v>
      </c>
      <c r="BW18" s="175" t="str">
        <f ca="1">IFERROR(INDIRECT("fixtures!" &amp; [1]Dashboard!J1 &amp;125) - [1]Dashboard!K1/24,"TBC")</f>
        <v>TBC</v>
      </c>
      <c r="BX18" s="47"/>
      <c r="BY18" s="47" t="s">
        <v>35</v>
      </c>
      <c r="BZ18" s="47" t="s">
        <v>16</v>
      </c>
      <c r="CA18" s="48">
        <f>IF(ISBLANK([1]fixtures!$L125),"",[1]fixtures!$L125)</f>
        <v>1</v>
      </c>
      <c r="CB18" s="47" t="str">
        <f>IF(ISBLANK([1]fixtures!$L125),"",":")</f>
        <v>:</v>
      </c>
      <c r="CC18" s="49">
        <f>IF(ISBLANK([1]fixtures!$K125),"",[1]fixtures!$K125)</f>
        <v>4</v>
      </c>
      <c r="CD18" s="47" t="str">
        <f>IF(ISBLANK([1]fixtures!$L125),"",IF(CA18&gt;CC18,"W",IF(CA18=CC18,"D","L")))</f>
        <v>L</v>
      </c>
      <c r="CE18" s="47"/>
      <c r="CF18" s="47"/>
      <c r="CG18" s="45">
        <v>25</v>
      </c>
      <c r="CH18" s="44" t="s">
        <v>39</v>
      </c>
      <c r="CI18" s="173" t="str">
        <f ca="1">IFERROR(INDIRECT("fixtures!" &amp; [1]Dashboard!J1 &amp;124) - [1]Dashboard!K1/24,"TBC")</f>
        <v>TBC</v>
      </c>
      <c r="CJ18" s="44"/>
      <c r="CK18" s="44" t="s">
        <v>29</v>
      </c>
      <c r="CL18" s="44" t="s">
        <v>16</v>
      </c>
      <c r="CM18" s="45">
        <f>IF(ISBLANK([1]fixtures!$L124),"",[1]fixtures!$L124)</f>
        <v>1</v>
      </c>
      <c r="CN18" s="44" t="str">
        <f>IF(ISBLANK([1]fixtures!$L124),"",":")</f>
        <v>:</v>
      </c>
      <c r="CO18" s="46">
        <f>IF(ISBLANK([1]fixtures!$K124),"",[1]fixtures!$K124)</f>
        <v>2</v>
      </c>
      <c r="CP18" s="44" t="str">
        <f>IF(ISBLANK([1]fixtures!$L124),"",IF(CM18&gt;CO18,"W",IF(CM18=CO18,"D","L")))</f>
        <v>L</v>
      </c>
      <c r="CQ18" s="44"/>
      <c r="CR18" s="44"/>
      <c r="CS18" s="42">
        <v>26</v>
      </c>
      <c r="CT18" s="41" t="s">
        <v>18</v>
      </c>
      <c r="CU18" s="171" t="str">
        <f ca="1">IFERROR(INDIRECT("fixtures!" &amp; [1]Dashboard!J1 &amp;130) - [1]Dashboard!K1/24,"TBC")</f>
        <v>TBC</v>
      </c>
      <c r="CV18" s="41"/>
      <c r="CW18" s="41" t="s">
        <v>34</v>
      </c>
      <c r="CX18" s="41" t="s">
        <v>21</v>
      </c>
      <c r="CY18" s="42">
        <f>IF(ISBLANK([1]fixtures!$K130),"",[1]fixtures!$K130)</f>
        <v>0</v>
      </c>
      <c r="CZ18" s="41" t="str">
        <f>IF(ISBLANK([1]fixtures!$L130),"",":")</f>
        <v>:</v>
      </c>
      <c r="DA18" s="43">
        <f>IF(ISBLANK([1]fixtures!$L130),"",[1]fixtures!$L130)</f>
        <v>3</v>
      </c>
      <c r="DB18" s="41" t="str">
        <f>IF(ISBLANK([1]fixtures!$L130),"",IF(CY18&gt;DA18,"W",IF(CY18=DA18,"D","L")))</f>
        <v>L</v>
      </c>
      <c r="DC18" s="41"/>
      <c r="DD18" s="41"/>
      <c r="DE18" s="39">
        <v>27</v>
      </c>
      <c r="DF18" s="38" t="s">
        <v>42</v>
      </c>
      <c r="DG18" s="169" t="str">
        <f ca="1">IFERROR(INDIRECT("fixtures!" &amp; [1]Dashboard!J1 &amp;131) - [1]Dashboard!K1/24,"TBC")</f>
        <v>TBC</v>
      </c>
      <c r="DH18" s="38"/>
      <c r="DI18" s="38" t="s">
        <v>28</v>
      </c>
      <c r="DJ18" s="38" t="s">
        <v>21</v>
      </c>
      <c r="DK18" s="39">
        <f>IF(ISBLANK([1]fixtures!$K131),"",[1]fixtures!$K131)</f>
        <v>3</v>
      </c>
      <c r="DL18" s="38" t="str">
        <f>IF(ISBLANK([1]fixtures!$L131),"",":")</f>
        <v>:</v>
      </c>
      <c r="DM18" s="40">
        <f>IF(ISBLANK([1]fixtures!$L131),"",[1]fixtures!$L131)</f>
        <v>2</v>
      </c>
      <c r="DN18" s="38" t="str">
        <f>IF(ISBLANK([1]fixtures!$L131),"",IF(DK18&gt;DM18,"W",IF(DK18=DM18,"D","L")))</f>
        <v>W</v>
      </c>
      <c r="DO18" s="38"/>
      <c r="DP18" s="38"/>
      <c r="DQ18" s="36">
        <v>25</v>
      </c>
      <c r="DR18" s="35" t="s">
        <v>39</v>
      </c>
      <c r="DS18" s="167" t="str">
        <f ca="1">IFERROR(INDIRECT("fixtures!" &amp; [1]Dashboard!J1 &amp;122) - [1]Dashboard!K1/24,"TBC")</f>
        <v>TBC</v>
      </c>
      <c r="DT18" s="35"/>
      <c r="DU18" s="35" t="s">
        <v>19</v>
      </c>
      <c r="DV18" s="35" t="s">
        <v>16</v>
      </c>
      <c r="DW18" s="36">
        <f>IF(ISBLANK([1]fixtures!$L122),"",[1]fixtures!$L122)</f>
        <v>1</v>
      </c>
      <c r="DX18" s="35" t="str">
        <f>IF(ISBLANK([1]fixtures!$L122),"",":")</f>
        <v>:</v>
      </c>
      <c r="DY18" s="37">
        <f>IF(ISBLANK([1]fixtures!$K122),"",[1]fixtures!$K122)</f>
        <v>1</v>
      </c>
      <c r="DZ18" s="35" t="str">
        <f>IF(ISBLANK([1]fixtures!$L122),"",IF(DW18&gt;DY18,"W",IF(DW18=DY18,"D","L")))</f>
        <v>D</v>
      </c>
      <c r="EA18" s="35"/>
      <c r="EB18" s="35"/>
      <c r="EC18" s="33">
        <v>25</v>
      </c>
      <c r="ED18" s="32" t="s">
        <v>39</v>
      </c>
      <c r="EE18" s="190" t="str">
        <f ca="1">IFERROR(INDIRECT("fixtures!" &amp; [1]Dashboard!J1 &amp;124) - [1]Dashboard!K1/24,"TBC")</f>
        <v>TBC</v>
      </c>
      <c r="EF18" s="32"/>
      <c r="EG18" s="32" t="s">
        <v>37</v>
      </c>
      <c r="EH18" s="32" t="s">
        <v>21</v>
      </c>
      <c r="EI18" s="33">
        <f>IF(ISBLANK([1]fixtures!$K124),"",[1]fixtures!$K124)</f>
        <v>2</v>
      </c>
      <c r="EJ18" s="32" t="str">
        <f>IF(ISBLANK([1]fixtures!$L124),"",":")</f>
        <v>:</v>
      </c>
      <c r="EK18" s="34">
        <f>IF(ISBLANK([1]fixtures!$L124),"",[1]fixtures!$L124)</f>
        <v>1</v>
      </c>
      <c r="EL18" s="32" t="str">
        <f>IF(ISBLANK([1]fixtures!$L124),"",IF(EI18&gt;EK18,"W",IF(EI18=EK18,"D","L")))</f>
        <v>W</v>
      </c>
      <c r="EM18" s="32"/>
      <c r="EN18" s="32"/>
      <c r="EO18" s="30">
        <v>25</v>
      </c>
      <c r="EP18" s="29" t="s">
        <v>39</v>
      </c>
      <c r="EQ18" s="164" t="str">
        <f ca="1">IFERROR(INDIRECT("fixtures!" &amp; [1]Dashboard!J1 &amp;122) - [1]Dashboard!K1/24,"TBC")</f>
        <v>TBC</v>
      </c>
      <c r="ER18" s="29"/>
      <c r="ES18" s="29" t="s">
        <v>17</v>
      </c>
      <c r="ET18" s="29" t="s">
        <v>21</v>
      </c>
      <c r="EU18" s="30">
        <f>IF(ISBLANK([1]fixtures!$K122),"",[1]fixtures!$K122)</f>
        <v>1</v>
      </c>
      <c r="EV18" s="29" t="str">
        <f>IF(ISBLANK([1]fixtures!$L122),"",":")</f>
        <v>:</v>
      </c>
      <c r="EW18" s="31">
        <f>IF(ISBLANK([1]fixtures!$L122),"",[1]fixtures!$L122)</f>
        <v>1</v>
      </c>
      <c r="EX18" s="29" t="str">
        <f>IF(ISBLANK([1]fixtures!$L122),"",IF(EU18&gt;EW18,"W",IF(EU18=EW18,"D","L")))</f>
        <v>D</v>
      </c>
      <c r="EY18" s="29"/>
      <c r="EZ18" s="29"/>
      <c r="FA18" s="27">
        <v>26</v>
      </c>
      <c r="FB18" s="26" t="s">
        <v>18</v>
      </c>
      <c r="FC18" s="189" t="str">
        <f ca="1">IFERROR(INDIRECT("fixtures!" &amp; [1]Dashboard!J1 &amp;130) - [1]Dashboard!K1/24,"TBC")</f>
        <v>TBC</v>
      </c>
      <c r="FD18" s="26"/>
      <c r="FE18" s="26" t="s">
        <v>38</v>
      </c>
      <c r="FF18" s="26" t="s">
        <v>16</v>
      </c>
      <c r="FG18" s="27">
        <f>IF(ISBLANK([1]fixtures!$L130),"",[1]fixtures!$L130)</f>
        <v>3</v>
      </c>
      <c r="FH18" s="26" t="str">
        <f>IF(ISBLANK([1]fixtures!$L130),"",":")</f>
        <v>:</v>
      </c>
      <c r="FI18" s="28">
        <f>IF(ISBLANK([1]fixtures!$K130),"",[1]fixtures!$K130)</f>
        <v>0</v>
      </c>
      <c r="FJ18" s="26" t="str">
        <f>IF(ISBLANK([1]fixtures!$L130),"",IF(FG18&gt;FI18,"W",IF(FG18=FI18,"D","L")))</f>
        <v>W</v>
      </c>
      <c r="FK18" s="26"/>
      <c r="FL18" s="26"/>
      <c r="FM18" s="24">
        <v>25</v>
      </c>
      <c r="FN18" s="23" t="s">
        <v>39</v>
      </c>
      <c r="FO18" s="161" t="str">
        <f ca="1">IFERROR(INDIRECT("fixtures!" &amp; [1]Dashboard!J1 &amp;125) - [1]Dashboard!K1/24,"TBC")</f>
        <v>TBC</v>
      </c>
      <c r="FP18" s="23"/>
      <c r="FQ18" s="23" t="s">
        <v>36</v>
      </c>
      <c r="FR18" s="23" t="s">
        <v>21</v>
      </c>
      <c r="FS18" s="24">
        <f>IF(ISBLANK([1]fixtures!$K125),"",[1]fixtures!$K125)</f>
        <v>4</v>
      </c>
      <c r="FT18" s="23" t="str">
        <f>IF(ISBLANK([1]fixtures!$L125),"",":")</f>
        <v>:</v>
      </c>
      <c r="FU18" s="25">
        <f>IF(ISBLANK([1]fixtures!$L125),"",[1]fixtures!$L125)</f>
        <v>1</v>
      </c>
      <c r="FV18" s="23" t="str">
        <f>IF(ISBLANK([1]fixtures!$L125),"",IF(FS18&gt;FU18,"W",IF(FS18=FU18,"D","L")))</f>
        <v>W</v>
      </c>
      <c r="FW18" s="23"/>
      <c r="FX18" s="23"/>
      <c r="FY18" s="21">
        <v>25</v>
      </c>
      <c r="FZ18" s="20" t="s">
        <v>39</v>
      </c>
      <c r="GA18" s="159" t="str">
        <f ca="1">IFERROR(INDIRECT("fixtures!" &amp; [1]Dashboard!J1 &amp;126) - [1]Dashboard!K1/24,"TBC")</f>
        <v>TBC</v>
      </c>
      <c r="GB18" s="20"/>
      <c r="GC18" s="20" t="s">
        <v>25</v>
      </c>
      <c r="GD18" s="20" t="s">
        <v>21</v>
      </c>
      <c r="GE18" s="21">
        <f>IF(ISBLANK([1]fixtures!$K126),"",[1]fixtures!$K126)</f>
        <v>2</v>
      </c>
      <c r="GF18" s="20" t="str">
        <f>IF(ISBLANK([1]fixtures!$L126),"",":")</f>
        <v>:</v>
      </c>
      <c r="GG18" s="22">
        <f>IF(ISBLANK([1]fixtures!$L126),"",[1]fixtures!$L126)</f>
        <v>3</v>
      </c>
      <c r="GH18" s="20" t="str">
        <f>IF(ISBLANK([1]fixtures!$L126),"",IF(GE18&gt;GG18,"W",IF(GE18=GG18,"D","L")))</f>
        <v>L</v>
      </c>
      <c r="GI18" s="20"/>
      <c r="GJ18" s="20"/>
      <c r="GK18" s="18">
        <v>25</v>
      </c>
      <c r="GL18" s="17" t="s">
        <v>39</v>
      </c>
      <c r="GM18" s="157" t="str">
        <f ca="1">IFERROR(INDIRECT("fixtures!" &amp; [1]Dashboard!J1 &amp;127) - [1]Dashboard!K1/24,"TBC")</f>
        <v>TBC</v>
      </c>
      <c r="GN18" s="17"/>
      <c r="GO18" s="17" t="s">
        <v>32</v>
      </c>
      <c r="GP18" s="17" t="s">
        <v>21</v>
      </c>
      <c r="GQ18" s="18">
        <f>IF(ISBLANK([1]fixtures!$K127),"",[1]fixtures!$K127)</f>
        <v>1</v>
      </c>
      <c r="GR18" s="17" t="str">
        <f>IF(ISBLANK([1]fixtures!$L127),"",":")</f>
        <v>:</v>
      </c>
      <c r="GS18" s="19">
        <f>IF(ISBLANK([1]fixtures!$L127),"",[1]fixtures!$L127)</f>
        <v>3</v>
      </c>
      <c r="GT18" s="17" t="str">
        <f>IF(ISBLANK([1]fixtures!$L127),"",IF(GQ18&gt;GS18,"W",IF(GQ18=GS18,"D","L")))</f>
        <v>L</v>
      </c>
      <c r="GU18" s="17"/>
      <c r="GV18" s="17"/>
      <c r="GW18" s="15">
        <v>26</v>
      </c>
      <c r="GX18" s="14" t="s">
        <v>18</v>
      </c>
      <c r="GY18" s="155" t="str">
        <f ca="1">IFERROR(INDIRECT("fixtures!" &amp; [1]Dashboard!J1 &amp;129) - [1]Dashboard!K1/24,"TBC")</f>
        <v>TBC</v>
      </c>
      <c r="GZ18" s="14"/>
      <c r="HA18" s="14" t="s">
        <v>31</v>
      </c>
      <c r="HB18" s="14" t="s">
        <v>21</v>
      </c>
      <c r="HC18" s="15">
        <f>IF(ISBLANK([1]fixtures!$K129),"",[1]fixtures!$K129)</f>
        <v>1</v>
      </c>
      <c r="HD18" s="14" t="str">
        <f>IF(ISBLANK([1]fixtures!$L129),"",":")</f>
        <v>:</v>
      </c>
      <c r="HE18" s="16">
        <f>IF(ISBLANK([1]fixtures!$L129),"",[1]fixtures!$L129)</f>
        <v>2</v>
      </c>
      <c r="HF18" s="14" t="str">
        <f>IF(ISBLANK([1]fixtures!$L129),"",IF(HC18&gt;HE18,"W",IF(HC18=HE18,"D","L")))</f>
        <v>L</v>
      </c>
      <c r="HG18" s="14"/>
      <c r="HH18" s="14"/>
      <c r="HI18" s="12">
        <v>25</v>
      </c>
      <c r="HJ18" s="11" t="s">
        <v>39</v>
      </c>
      <c r="HK18" s="153" t="str">
        <f ca="1">IFERROR(INDIRECT("fixtures!" &amp; [1]Dashboard!J1 &amp;123) - [1]Dashboard!K1/24,"TBC")</f>
        <v>TBC</v>
      </c>
      <c r="HL18" s="11"/>
      <c r="HM18" s="11" t="s">
        <v>23</v>
      </c>
      <c r="HN18" s="11" t="s">
        <v>16</v>
      </c>
      <c r="HO18" s="12">
        <f>IF(ISBLANK([1]fixtures!$L123),"",[1]fixtures!$L123)</f>
        <v>2</v>
      </c>
      <c r="HP18" s="11" t="str">
        <f>IF(ISBLANK([1]fixtures!$L123),"",":")</f>
        <v>:</v>
      </c>
      <c r="HQ18" s="13">
        <f>IF(ISBLANK([1]fixtures!$K123),"",[1]fixtures!$K123)</f>
        <v>1</v>
      </c>
      <c r="HR18" s="11" t="str">
        <f>IF(ISBLANK([1]fixtures!$L123),"",IF(HO18&gt;HQ18,"W",IF(HO18=HQ18,"D","L")))</f>
        <v>W</v>
      </c>
      <c r="HS18" s="11"/>
      <c r="HT18" s="11"/>
      <c r="HU18" s="9">
        <v>27</v>
      </c>
      <c r="HV18" s="8" t="s">
        <v>42</v>
      </c>
      <c r="HW18" s="151" t="str">
        <f ca="1">IFERROR(INDIRECT("fixtures!" &amp; [1]Dashboard!J1 &amp;131) - [1]Dashboard!K1/24,"TBC")</f>
        <v>TBC</v>
      </c>
      <c r="HX18" s="8"/>
      <c r="HY18" s="8" t="s">
        <v>27</v>
      </c>
      <c r="HZ18" s="8" t="s">
        <v>16</v>
      </c>
      <c r="IA18" s="9">
        <f>IF(ISBLANK([1]fixtures!$L131),"",[1]fixtures!$L131)</f>
        <v>2</v>
      </c>
      <c r="IB18" s="8" t="str">
        <f>IF(ISBLANK([1]fixtures!$L131),"",":")</f>
        <v>:</v>
      </c>
      <c r="IC18" s="10">
        <f>IF(ISBLANK([1]fixtures!$K131),"",[1]fixtures!$K131)</f>
        <v>3</v>
      </c>
      <c r="ID18" s="8" t="str">
        <f>IF(ISBLANK([1]fixtures!$L131),"",IF(IA18&gt;IC18,"W",IF(IA18=IC18,"D","L")))</f>
        <v>L</v>
      </c>
      <c r="IE18" s="8"/>
      <c r="IF18" s="8"/>
    </row>
    <row r="19" spans="1:243" x14ac:dyDescent="0.25">
      <c r="A19" s="90" t="s">
        <v>50</v>
      </c>
      <c r="B19" s="66"/>
      <c r="C19" s="187"/>
      <c r="D19" s="66"/>
      <c r="E19" s="66"/>
      <c r="F19" s="66"/>
      <c r="G19" s="67"/>
      <c r="H19" s="66"/>
      <c r="I19" s="68"/>
      <c r="J19" s="66"/>
      <c r="K19" s="66"/>
      <c r="L19" s="66"/>
      <c r="M19" s="87" t="s">
        <v>50</v>
      </c>
      <c r="N19" s="62"/>
      <c r="O19" s="185"/>
      <c r="P19" s="62"/>
      <c r="Q19" s="62"/>
      <c r="R19" s="62"/>
      <c r="S19" s="63"/>
      <c r="T19" s="62"/>
      <c r="U19" s="64"/>
      <c r="V19" s="62"/>
      <c r="W19" s="62"/>
      <c r="X19" s="62"/>
      <c r="Y19" s="108" t="s">
        <v>50</v>
      </c>
      <c r="Z19" s="59"/>
      <c r="AA19" s="183"/>
      <c r="AB19" s="59"/>
      <c r="AC19" s="59"/>
      <c r="AD19" s="59"/>
      <c r="AE19" s="60"/>
      <c r="AF19" s="59"/>
      <c r="AG19" s="61"/>
      <c r="AH19" s="59"/>
      <c r="AI19" s="59"/>
      <c r="AJ19" s="59"/>
      <c r="AK19" s="85" t="s">
        <v>50</v>
      </c>
      <c r="AL19" s="56"/>
      <c r="AM19" s="181"/>
      <c r="AN19" s="56"/>
      <c r="AO19" s="56"/>
      <c r="AP19" s="56"/>
      <c r="AQ19" s="57"/>
      <c r="AR19" s="56"/>
      <c r="AS19" s="58"/>
      <c r="AT19" s="56"/>
      <c r="AU19" s="56"/>
      <c r="AV19" s="56"/>
      <c r="AW19" s="106" t="s">
        <v>50</v>
      </c>
      <c r="AX19" s="55"/>
      <c r="AY19" s="179"/>
      <c r="AZ19" s="53"/>
      <c r="BA19" s="53"/>
      <c r="BB19" s="53"/>
      <c r="BC19" s="54"/>
      <c r="BD19" s="53"/>
      <c r="BE19" s="55"/>
      <c r="BF19" s="53"/>
      <c r="BG19" s="53"/>
      <c r="BH19" s="53"/>
      <c r="BI19" s="83" t="s">
        <v>50</v>
      </c>
      <c r="BJ19" s="50"/>
      <c r="BK19" s="177"/>
      <c r="BL19" s="50"/>
      <c r="BM19" s="50"/>
      <c r="BN19" s="50"/>
      <c r="BO19" s="51"/>
      <c r="BP19" s="50"/>
      <c r="BQ19" s="52"/>
      <c r="BR19" s="50"/>
      <c r="BS19" s="50"/>
      <c r="BT19" s="50"/>
      <c r="BU19" s="82" t="s">
        <v>50</v>
      </c>
      <c r="BV19" s="47"/>
      <c r="BW19" s="175"/>
      <c r="BX19" s="47"/>
      <c r="BY19" s="47"/>
      <c r="BZ19" s="47"/>
      <c r="CA19" s="48"/>
      <c r="CB19" s="47"/>
      <c r="CC19" s="49"/>
      <c r="CD19" s="47"/>
      <c r="CE19" s="47"/>
      <c r="CF19" s="47"/>
      <c r="CG19" s="81" t="s">
        <v>50</v>
      </c>
      <c r="CH19" s="44"/>
      <c r="CI19" s="173"/>
      <c r="CJ19" s="44"/>
      <c r="CK19" s="44"/>
      <c r="CL19" s="44"/>
      <c r="CM19" s="45"/>
      <c r="CN19" s="44"/>
      <c r="CO19" s="46"/>
      <c r="CP19" s="44"/>
      <c r="CQ19" s="44"/>
      <c r="CR19" s="44"/>
      <c r="CS19" s="102" t="s">
        <v>50</v>
      </c>
      <c r="CT19" s="41"/>
      <c r="CU19" s="171"/>
      <c r="CV19" s="41"/>
      <c r="CW19" s="41"/>
      <c r="CX19" s="41"/>
      <c r="CY19" s="42"/>
      <c r="CZ19" s="41"/>
      <c r="DA19" s="43"/>
      <c r="DB19" s="41"/>
      <c r="DC19" s="41"/>
      <c r="DD19" s="41"/>
      <c r="DE19" s="79" t="s">
        <v>50</v>
      </c>
      <c r="DF19" s="38"/>
      <c r="DG19" s="169"/>
      <c r="DH19" s="38"/>
      <c r="DI19" s="38"/>
      <c r="DJ19" s="38"/>
      <c r="DK19" s="39"/>
      <c r="DL19" s="38"/>
      <c r="DM19" s="40"/>
      <c r="DN19" s="38"/>
      <c r="DO19" s="38"/>
      <c r="DP19" s="38"/>
      <c r="DQ19" s="78" t="s">
        <v>50</v>
      </c>
      <c r="DR19" s="35"/>
      <c r="DS19" s="167"/>
      <c r="DT19" s="35"/>
      <c r="DU19" s="35"/>
      <c r="DV19" s="35"/>
      <c r="DW19" s="36"/>
      <c r="DX19" s="35"/>
      <c r="DY19" s="37"/>
      <c r="DZ19" s="35"/>
      <c r="EA19" s="35"/>
      <c r="EB19" s="35"/>
      <c r="EC19" s="99" t="s">
        <v>50</v>
      </c>
      <c r="ED19" s="32"/>
      <c r="EE19" s="190"/>
      <c r="EF19" s="32"/>
      <c r="EG19" s="32"/>
      <c r="EH19" s="32"/>
      <c r="EI19" s="33"/>
      <c r="EJ19" s="32"/>
      <c r="EK19" s="34"/>
      <c r="EL19" s="32"/>
      <c r="EM19" s="32"/>
      <c r="EN19" s="32"/>
      <c r="EO19" s="98" t="s">
        <v>50</v>
      </c>
      <c r="EP19" s="29"/>
      <c r="EQ19" s="164"/>
      <c r="ER19" s="29"/>
      <c r="ES19" s="29"/>
      <c r="ET19" s="29"/>
      <c r="EU19" s="30"/>
      <c r="EV19" s="29"/>
      <c r="EW19" s="31"/>
      <c r="EX19" s="29"/>
      <c r="EY19" s="29"/>
      <c r="EZ19" s="29"/>
      <c r="FA19" s="75" t="s">
        <v>50</v>
      </c>
      <c r="FB19" s="26"/>
      <c r="FC19" s="189"/>
      <c r="FD19" s="26"/>
      <c r="FE19" s="26"/>
      <c r="FF19" s="26"/>
      <c r="FG19" s="27"/>
      <c r="FH19" s="26"/>
      <c r="FI19" s="28"/>
      <c r="FJ19" s="26"/>
      <c r="FK19" s="26"/>
      <c r="FL19" s="26"/>
      <c r="FM19" s="96" t="s">
        <v>50</v>
      </c>
      <c r="FN19" s="23"/>
      <c r="FO19" s="161"/>
      <c r="FP19" s="23"/>
      <c r="FQ19" s="23"/>
      <c r="FR19" s="23"/>
      <c r="FS19" s="24"/>
      <c r="FT19" s="23"/>
      <c r="FU19" s="25"/>
      <c r="FV19" s="23"/>
      <c r="FW19" s="23"/>
      <c r="FX19" s="23"/>
      <c r="FY19" s="95" t="s">
        <v>50</v>
      </c>
      <c r="FZ19" s="20"/>
      <c r="GA19" s="159"/>
      <c r="GB19" s="20"/>
      <c r="GC19" s="20"/>
      <c r="GD19" s="20"/>
      <c r="GE19" s="21"/>
      <c r="GF19" s="20"/>
      <c r="GG19" s="22"/>
      <c r="GH19" s="20"/>
      <c r="GI19" s="20"/>
      <c r="GJ19" s="20"/>
      <c r="GK19" s="72" t="s">
        <v>50</v>
      </c>
      <c r="GL19" s="19"/>
      <c r="GM19" s="157"/>
      <c r="GN19" s="17"/>
      <c r="GO19" s="17"/>
      <c r="GP19" s="17"/>
      <c r="GQ19" s="18"/>
      <c r="GR19" s="17"/>
      <c r="GS19" s="19"/>
      <c r="GT19" s="17"/>
      <c r="GU19" s="17"/>
      <c r="GV19" s="17"/>
      <c r="GW19" s="93" t="s">
        <v>50</v>
      </c>
      <c r="GX19" s="14"/>
      <c r="GY19" s="155"/>
      <c r="GZ19" s="14"/>
      <c r="HA19" s="14"/>
      <c r="HB19" s="14"/>
      <c r="HC19" s="15"/>
      <c r="HD19" s="14"/>
      <c r="HE19" s="16"/>
      <c r="HF19" s="14"/>
      <c r="HG19" s="14"/>
      <c r="HH19" s="14"/>
      <c r="HI19" s="92" t="s">
        <v>50</v>
      </c>
      <c r="HJ19" s="11"/>
      <c r="HK19" s="153"/>
      <c r="HL19" s="11"/>
      <c r="HM19" s="11"/>
      <c r="HN19" s="11"/>
      <c r="HO19" s="12"/>
      <c r="HP19" s="11"/>
      <c r="HQ19" s="13"/>
      <c r="HR19" s="11"/>
      <c r="HS19" s="11"/>
      <c r="HT19" s="11"/>
      <c r="HU19" s="91" t="s">
        <v>50</v>
      </c>
      <c r="HV19" s="8"/>
      <c r="HW19" s="151"/>
      <c r="HX19" s="8"/>
      <c r="HY19" s="8"/>
      <c r="HZ19" s="8"/>
      <c r="IA19" s="9"/>
      <c r="IB19" s="8"/>
      <c r="IC19" s="10"/>
      <c r="ID19" s="8"/>
      <c r="IE19" s="8"/>
      <c r="IF19" s="8"/>
    </row>
    <row r="20" spans="1:243" x14ac:dyDescent="0.25">
      <c r="A20" s="67">
        <v>2</v>
      </c>
      <c r="B20" s="66" t="s">
        <v>39</v>
      </c>
      <c r="C20" s="187" t="str">
        <f ca="1">IFERROR(INDIRECT("fixtures!" &amp; [1]Dashboard!J1 &amp;132) - [1]Dashboard!K1/24,"TBC")</f>
        <v>TBC</v>
      </c>
      <c r="D20" s="66"/>
      <c r="E20" s="66" t="s">
        <v>28</v>
      </c>
      <c r="F20" s="66" t="s">
        <v>21</v>
      </c>
      <c r="G20" s="67">
        <f>IF(ISBLANK([1]fixtures!$K132),"",[1]fixtures!$K132)</f>
        <v>2</v>
      </c>
      <c r="H20" s="66" t="str">
        <f>IF(ISBLANK([1]fixtures!$L132),"",":")</f>
        <v>:</v>
      </c>
      <c r="I20" s="68">
        <f>IF(ISBLANK([1]fixtures!$L132),"",[1]fixtures!$L132)</f>
        <v>1</v>
      </c>
      <c r="J20" s="66" t="str">
        <f>IF(ISBLANK([1]fixtures!$L132),"",IF(G20&gt;I20,"W",IF(G20=I20,"D","L")))</f>
        <v>W</v>
      </c>
      <c r="K20" s="66"/>
      <c r="L20" s="66"/>
      <c r="M20" s="63">
        <v>3</v>
      </c>
      <c r="N20" s="62" t="s">
        <v>18</v>
      </c>
      <c r="O20" s="185" t="str">
        <f ca="1">IFERROR(INDIRECT("fixtures!" &amp; [1]Dashboard!J1 &amp;137) - [1]Dashboard!K1/24,"TBC")</f>
        <v>TBC</v>
      </c>
      <c r="P20" s="62"/>
      <c r="Q20" s="62" t="s">
        <v>32</v>
      </c>
      <c r="R20" s="62" t="s">
        <v>16</v>
      </c>
      <c r="S20" s="63">
        <f>IF(ISBLANK([1]fixtures!$L137),"",[1]fixtures!$L137)</f>
        <v>2</v>
      </c>
      <c r="T20" s="62" t="str">
        <f>IF(ISBLANK([1]fixtures!$L137),"",":")</f>
        <v>:</v>
      </c>
      <c r="U20" s="64">
        <f>IF(ISBLANK([1]fixtures!$K137),"",[1]fixtures!$K137)</f>
        <v>2</v>
      </c>
      <c r="V20" s="62" t="str">
        <f>IF(ISBLANK([1]fixtures!$L137),"",IF(S20&gt;U20,"W",IF(S20=U20,"D","L")))</f>
        <v>D</v>
      </c>
      <c r="W20" s="62"/>
      <c r="X20" s="62"/>
      <c r="Y20" s="60">
        <v>3</v>
      </c>
      <c r="Z20" s="59" t="s">
        <v>18</v>
      </c>
      <c r="AA20" s="183" t="str">
        <f ca="1">IFERROR(INDIRECT("fixtures!" &amp; [1]Dashboard!J1 &amp;137) - [1]Dashboard!K1/24,"TBC")</f>
        <v>TBC</v>
      </c>
      <c r="AB20" s="59"/>
      <c r="AC20" s="59" t="s">
        <v>31</v>
      </c>
      <c r="AD20" s="59" t="s">
        <v>21</v>
      </c>
      <c r="AE20" s="60">
        <f>IF(ISBLANK([1]fixtures!$K137),"",[1]fixtures!$K137)</f>
        <v>2</v>
      </c>
      <c r="AF20" s="59" t="str">
        <f>IF(ISBLANK([1]fixtures!$L137),"",":")</f>
        <v>:</v>
      </c>
      <c r="AG20" s="61">
        <f>IF(ISBLANK([1]fixtures!$L137),"",[1]fixtures!$L137)</f>
        <v>2</v>
      </c>
      <c r="AH20" s="59" t="str">
        <f>IF(ISBLANK([1]fixtures!$L137),"",IF(AE20&gt;AG20,"W",IF(AE20=AG20,"D","L")))</f>
        <v>D</v>
      </c>
      <c r="AI20" s="59"/>
      <c r="AJ20" s="59"/>
      <c r="AK20" s="57">
        <v>2</v>
      </c>
      <c r="AL20" s="56" t="s">
        <v>39</v>
      </c>
      <c r="AM20" s="181" t="str">
        <f ca="1">IFERROR(INDIRECT("fixtures!" &amp; [1]Dashboard!J1 &amp;133) - [1]Dashboard!K1/24,"TBC")</f>
        <v>TBC</v>
      </c>
      <c r="AN20" s="56"/>
      <c r="AO20" s="56" t="s">
        <v>29</v>
      </c>
      <c r="AP20" s="56" t="s">
        <v>21</v>
      </c>
      <c r="AQ20" s="57">
        <f>IF(ISBLANK([1]fixtures!$K133),"",[1]fixtures!$K133)</f>
        <v>3</v>
      </c>
      <c r="AR20" s="56" t="str">
        <f>IF(ISBLANK([1]fixtures!$L133),"",":")</f>
        <v>:</v>
      </c>
      <c r="AS20" s="58">
        <f>IF(ISBLANK([1]fixtures!$L133),"",[1]fixtures!$L133)</f>
        <v>1</v>
      </c>
      <c r="AT20" s="56" t="str">
        <f>IF(ISBLANK([1]fixtures!$L133),"",IF(AQ20&gt;AS20,"W",IF(AQ20=AS20,"D","L")))</f>
        <v>W</v>
      </c>
      <c r="AU20" s="56"/>
      <c r="AV20" s="56"/>
      <c r="AW20" s="54">
        <v>3</v>
      </c>
      <c r="AX20" s="53" t="s">
        <v>18</v>
      </c>
      <c r="AY20" s="179" t="str">
        <f ca="1">IFERROR(INDIRECT("fixtures!" &amp; [1]Dashboard!J1 &amp;138) - [1]Dashboard!K1/24,"TBC")</f>
        <v>TBC</v>
      </c>
      <c r="AZ20" s="53"/>
      <c r="BA20" s="53" t="s">
        <v>36</v>
      </c>
      <c r="BB20" s="53" t="s">
        <v>16</v>
      </c>
      <c r="BC20" s="54">
        <f>IF(ISBLANK([1]fixtures!$L138),"",[1]fixtures!$L138)</f>
        <v>2</v>
      </c>
      <c r="BD20" s="53" t="str">
        <f>IF(ISBLANK([1]fixtures!$L138),"",":")</f>
        <v>:</v>
      </c>
      <c r="BE20" s="55">
        <f>IF(ISBLANK([1]fixtures!$K138),"",[1]fixtures!$K138)</f>
        <v>3</v>
      </c>
      <c r="BF20" s="53" t="str">
        <f>IF(ISBLANK([1]fixtures!$L138),"",IF(BC20&gt;BE20,"W",IF(BC20=BE20,"D","L")))</f>
        <v>L</v>
      </c>
      <c r="BG20" s="53"/>
      <c r="BH20" s="53"/>
      <c r="BI20" s="51">
        <v>2</v>
      </c>
      <c r="BJ20" s="50" t="s">
        <v>39</v>
      </c>
      <c r="BK20" s="177" t="str">
        <f ca="1">IFERROR(INDIRECT("fixtures!" &amp; [1]Dashboard!J1 &amp;134) - [1]Dashboard!K1/24,"TBC")</f>
        <v>TBC</v>
      </c>
      <c r="BL20" s="50"/>
      <c r="BM20" s="50" t="s">
        <v>20</v>
      </c>
      <c r="BN20" s="50" t="s">
        <v>21</v>
      </c>
      <c r="BO20" s="51">
        <f>IF(ISBLANK([1]fixtures!$K134),"",[1]fixtures!$K134)</f>
        <v>5</v>
      </c>
      <c r="BP20" s="50" t="str">
        <f>IF(ISBLANK([1]fixtures!$L134),"",":")</f>
        <v>:</v>
      </c>
      <c r="BQ20" s="52">
        <f>IF(ISBLANK([1]fixtures!$L134),"",[1]fixtures!$L134)</f>
        <v>0</v>
      </c>
      <c r="BR20" s="50" t="str">
        <f>IF(ISBLANK([1]fixtures!$L134),"",IF(BO20&gt;BQ20,"W",IF(BO20=BQ20,"D","L")))</f>
        <v>W</v>
      </c>
      <c r="BS20" s="50"/>
      <c r="BT20" s="50"/>
      <c r="BU20" s="48">
        <v>3</v>
      </c>
      <c r="BV20" s="47" t="s">
        <v>18</v>
      </c>
      <c r="BW20" s="175" t="str">
        <f ca="1">IFERROR(INDIRECT("fixtures!" &amp; [1]Dashboard!J1 &amp;138) - [1]Dashboard!K1/24,"TBC")</f>
        <v>TBC</v>
      </c>
      <c r="BX20" s="47"/>
      <c r="BY20" s="47" t="s">
        <v>25</v>
      </c>
      <c r="BZ20" s="47" t="s">
        <v>21</v>
      </c>
      <c r="CA20" s="48">
        <f>IF(ISBLANK([1]fixtures!$K138),"",[1]fixtures!$K138)</f>
        <v>3</v>
      </c>
      <c r="CB20" s="47" t="str">
        <f>IF(ISBLANK([1]fixtures!$L138),"",":")</f>
        <v>:</v>
      </c>
      <c r="CC20" s="49">
        <f>IF(ISBLANK([1]fixtures!$L138),"",[1]fixtures!$L138)</f>
        <v>2</v>
      </c>
      <c r="CD20" s="47" t="str">
        <f>IF(ISBLANK([1]fixtures!$L138),"",IF(CA20&gt;CC20,"W",IF(CA20=CC20,"D","L")))</f>
        <v>W</v>
      </c>
      <c r="CE20" s="47"/>
      <c r="CF20" s="47"/>
      <c r="CG20" s="45">
        <v>3</v>
      </c>
      <c r="CH20" s="44" t="s">
        <v>18</v>
      </c>
      <c r="CI20" s="173" t="str">
        <f ca="1">IFERROR(INDIRECT("fixtures!" &amp; [1]Dashboard!J1 &amp;140) - [1]Dashboard!K1/24,"TBC")</f>
        <v>TBC</v>
      </c>
      <c r="CJ20" s="44"/>
      <c r="CK20" s="44" t="s">
        <v>26</v>
      </c>
      <c r="CL20" s="44" t="s">
        <v>16</v>
      </c>
      <c r="CM20" s="45">
        <f>IF(ISBLANK([1]fixtures!$L140),"",[1]fixtures!$L140)</f>
        <v>1</v>
      </c>
      <c r="CN20" s="44" t="str">
        <f>IF(ISBLANK([1]fixtures!$L140),"",":")</f>
        <v>:</v>
      </c>
      <c r="CO20" s="46">
        <f>IF(ISBLANK([1]fixtures!$K140),"",[1]fixtures!$K140)</f>
        <v>1</v>
      </c>
      <c r="CP20" s="44" t="str">
        <f>IF(ISBLANK([1]fixtures!$L140),"",IF(CM20&gt;CO20,"W",IF(CM20=CO20,"D","L")))</f>
        <v>D</v>
      </c>
      <c r="CQ20" s="44"/>
      <c r="CR20" s="44"/>
      <c r="CS20" s="42">
        <v>2</v>
      </c>
      <c r="CT20" s="41" t="s">
        <v>39</v>
      </c>
      <c r="CU20" s="171" t="str">
        <f ca="1">IFERROR(INDIRECT("fixtures!" &amp; [1]Dashboard!J1 &amp;135) - [1]Dashboard!K1/24,"TBC")</f>
        <v>TBC</v>
      </c>
      <c r="CV20" s="41"/>
      <c r="CW20" s="41" t="s">
        <v>33</v>
      </c>
      <c r="CX20" s="41" t="s">
        <v>16</v>
      </c>
      <c r="CY20" s="42">
        <f>IF(ISBLANK([1]fixtures!$L135),"",[1]fixtures!$L135)</f>
        <v>1</v>
      </c>
      <c r="CZ20" s="41" t="str">
        <f>IF(ISBLANK([1]fixtures!$L135),"",":")</f>
        <v>:</v>
      </c>
      <c r="DA20" s="43">
        <f>IF(ISBLANK([1]fixtures!$K135),"",[1]fixtures!$K135)</f>
        <v>0</v>
      </c>
      <c r="DB20" s="41" t="str">
        <f>IF(ISBLANK([1]fixtures!$L135),"",IF(CY20&gt;DA20,"W",IF(CY20=DA20,"D","L")))</f>
        <v>W</v>
      </c>
      <c r="DC20" s="41"/>
      <c r="DD20" s="41"/>
      <c r="DE20" s="39">
        <v>3</v>
      </c>
      <c r="DF20" s="38" t="s">
        <v>18</v>
      </c>
      <c r="DG20" s="169" t="str">
        <f ca="1">IFERROR(INDIRECT("fixtures!" &amp; [1]Dashboard!J1 &amp;139) - [1]Dashboard!K1/24,"TBC")</f>
        <v>TBC</v>
      </c>
      <c r="DH20" s="38"/>
      <c r="DI20" s="38" t="s">
        <v>17</v>
      </c>
      <c r="DJ20" s="38" t="s">
        <v>16</v>
      </c>
      <c r="DK20" s="39">
        <f>IF(ISBLANK([1]fixtures!$L139),"",[1]fixtures!$L139)</f>
        <v>3</v>
      </c>
      <c r="DL20" s="38" t="str">
        <f>IF(ISBLANK([1]fixtures!$L139),"",":")</f>
        <v>:</v>
      </c>
      <c r="DM20" s="40">
        <f>IF(ISBLANK([1]fixtures!$K139),"",[1]fixtures!$K139)</f>
        <v>4</v>
      </c>
      <c r="DN20" s="38" t="str">
        <f>IF(ISBLANK([1]fixtures!$L139),"",IF(DK20&gt;DM20,"W",IF(DK20=DM20,"D","L")))</f>
        <v>L</v>
      </c>
      <c r="DO20" s="38"/>
      <c r="DP20" s="38"/>
      <c r="DQ20" s="36">
        <v>3</v>
      </c>
      <c r="DR20" s="35" t="s">
        <v>18</v>
      </c>
      <c r="DS20" s="167" t="str">
        <f ca="1">IFERROR(INDIRECT("fixtures!" &amp; [1]Dashboard!J1 &amp;139) - [1]Dashboard!K1/24,"TBC")</f>
        <v>TBC</v>
      </c>
      <c r="DT20" s="35"/>
      <c r="DU20" s="35" t="s">
        <v>27</v>
      </c>
      <c r="DV20" s="35" t="s">
        <v>21</v>
      </c>
      <c r="DW20" s="36">
        <f>IF(ISBLANK([1]fixtures!$K139),"",[1]fixtures!$K139)</f>
        <v>4</v>
      </c>
      <c r="DX20" s="35" t="str">
        <f>IF(ISBLANK([1]fixtures!$L139),"",":")</f>
        <v>:</v>
      </c>
      <c r="DY20" s="37">
        <f>IF(ISBLANK([1]fixtures!$L139),"",[1]fixtures!$L139)</f>
        <v>3</v>
      </c>
      <c r="DZ20" s="35" t="str">
        <f>IF(ISBLANK([1]fixtures!$L139),"",IF(DW20&gt;DY20,"W",IF(DW20=DY20,"D","L")))</f>
        <v>W</v>
      </c>
      <c r="EA20" s="35"/>
      <c r="EB20" s="35"/>
      <c r="EC20" s="33">
        <v>2</v>
      </c>
      <c r="ED20" s="32" t="s">
        <v>39</v>
      </c>
      <c r="EE20" s="190" t="str">
        <f ca="1">IFERROR(INDIRECT("fixtures!" &amp; [1]Dashboard!J1 &amp;133) - [1]Dashboard!K1/24,"TBC")</f>
        <v>TBC</v>
      </c>
      <c r="EF20" s="32"/>
      <c r="EG20" s="32" t="s">
        <v>24</v>
      </c>
      <c r="EH20" s="32" t="s">
        <v>16</v>
      </c>
      <c r="EI20" s="33">
        <f>IF(ISBLANK([1]fixtures!$L133),"",[1]fixtures!$L133)</f>
        <v>1</v>
      </c>
      <c r="EJ20" s="32" t="str">
        <f>IF(ISBLANK([1]fixtures!$L133),"",":")</f>
        <v>:</v>
      </c>
      <c r="EK20" s="34">
        <f>IF(ISBLANK([1]fixtures!$K133),"",[1]fixtures!$K133)</f>
        <v>3</v>
      </c>
      <c r="EL20" s="32" t="str">
        <f>IF(ISBLANK([1]fixtures!$L133),"",IF(EI20&gt;EK20,"W",IF(EI20=EK20,"D","L")))</f>
        <v>L</v>
      </c>
      <c r="EM20" s="32"/>
      <c r="EN20" s="32"/>
      <c r="EO20" s="30">
        <v>3</v>
      </c>
      <c r="EP20" s="29" t="s">
        <v>18</v>
      </c>
      <c r="EQ20" s="164" t="str">
        <f ca="1">IFERROR(INDIRECT("fixtures!" &amp; [1]Dashboard!J1 &amp;141) - [1]Dashboard!K1/24,"TBC")</f>
        <v>TBC</v>
      </c>
      <c r="ER20" s="29"/>
      <c r="ES20" s="29" t="s">
        <v>22</v>
      </c>
      <c r="ET20" s="29" t="s">
        <v>21</v>
      </c>
      <c r="EU20" s="30">
        <f>IF(ISBLANK([1]fixtures!$K141),"",[1]fixtures!$K141)</f>
        <v>3</v>
      </c>
      <c r="EV20" s="29" t="str">
        <f>IF(ISBLANK([1]fixtures!$L141),"",":")</f>
        <v>:</v>
      </c>
      <c r="EW20" s="31">
        <f>IF(ISBLANK([1]fixtures!$L141),"",[1]fixtures!$L141)</f>
        <v>3</v>
      </c>
      <c r="EX20" s="29" t="str">
        <f>IF(ISBLANK([1]fixtures!$L141),"",IF(EU20&gt;EW20,"W",IF(EU20=EW20,"D","L")))</f>
        <v>D</v>
      </c>
      <c r="EY20" s="29"/>
      <c r="EZ20" s="29"/>
      <c r="FA20" s="27">
        <v>2</v>
      </c>
      <c r="FB20" s="26" t="s">
        <v>39</v>
      </c>
      <c r="FC20" s="189" t="str">
        <f ca="1">IFERROR(INDIRECT("fixtures!" &amp; [1]Dashboard!J1 &amp;136) - [1]Dashboard!K1/24,"TBC")</f>
        <v>TBC</v>
      </c>
      <c r="FD20" s="26"/>
      <c r="FE20" s="26" t="s">
        <v>35</v>
      </c>
      <c r="FF20" s="26" t="s">
        <v>16</v>
      </c>
      <c r="FG20" s="27">
        <f>IF(ISBLANK([1]fixtures!$L136),"",[1]fixtures!$L136)</f>
        <v>0</v>
      </c>
      <c r="FH20" s="26" t="str">
        <f>IF(ISBLANK([1]fixtures!$L136),"",":")</f>
        <v>:</v>
      </c>
      <c r="FI20" s="28">
        <f>IF(ISBLANK([1]fixtures!$K136),"",[1]fixtures!$K136)</f>
        <v>1</v>
      </c>
      <c r="FJ20" s="26" t="str">
        <f>IF(ISBLANK([1]fixtures!$L136),"",IF(FG20&gt;FI20,"W",IF(FG20=FI20,"D","L")))</f>
        <v>L</v>
      </c>
      <c r="FK20" s="26"/>
      <c r="FL20" s="26"/>
      <c r="FM20" s="24">
        <v>2</v>
      </c>
      <c r="FN20" s="23" t="s">
        <v>39</v>
      </c>
      <c r="FO20" s="161" t="str">
        <f ca="1">IFERROR(INDIRECT("fixtures!" &amp; [1]Dashboard!J1 &amp;136) - [1]Dashboard!K1/24,"TBC")</f>
        <v>TBC</v>
      </c>
      <c r="FP20" s="23"/>
      <c r="FQ20" s="23" t="s">
        <v>34</v>
      </c>
      <c r="FR20" s="23" t="s">
        <v>21</v>
      </c>
      <c r="FS20" s="24">
        <f>IF(ISBLANK([1]fixtures!$K136),"",[1]fixtures!$K136)</f>
        <v>1</v>
      </c>
      <c r="FT20" s="23" t="str">
        <f>IF(ISBLANK([1]fixtures!$L136),"",":")</f>
        <v>:</v>
      </c>
      <c r="FU20" s="25">
        <f>IF(ISBLANK([1]fixtures!$L136),"",[1]fixtures!$L136)</f>
        <v>0</v>
      </c>
      <c r="FV20" s="23" t="str">
        <f>IF(ISBLANK([1]fixtures!$L136),"",IF(FS20&gt;FU20,"W",IF(FS20=FU20,"D","L")))</f>
        <v>W</v>
      </c>
      <c r="FW20" s="23"/>
      <c r="FX20" s="23"/>
      <c r="FY20" s="21">
        <v>2</v>
      </c>
      <c r="FZ20" s="20" t="s">
        <v>39</v>
      </c>
      <c r="GA20" s="159" t="str">
        <f ca="1">IFERROR(INDIRECT("fixtures!" &amp; [1]Dashboard!J1 &amp;135) - [1]Dashboard!K1/24,"TBC")</f>
        <v>TBC</v>
      </c>
      <c r="GB20" s="20"/>
      <c r="GC20" s="20" t="s">
        <v>38</v>
      </c>
      <c r="GD20" s="20" t="s">
        <v>21</v>
      </c>
      <c r="GE20" s="21">
        <f>IF(ISBLANK([1]fixtures!$K135),"",[1]fixtures!$K135)</f>
        <v>0</v>
      </c>
      <c r="GF20" s="20" t="str">
        <f>IF(ISBLANK([1]fixtures!$L135),"",":")</f>
        <v>:</v>
      </c>
      <c r="GG20" s="22">
        <f>IF(ISBLANK([1]fixtures!$L135),"",[1]fixtures!$L135)</f>
        <v>1</v>
      </c>
      <c r="GH20" s="20" t="str">
        <f>IF(ISBLANK([1]fixtures!$L135),"",IF(GE20&gt;GG20,"W",IF(GE20=GG20,"D","L")))</f>
        <v>L</v>
      </c>
      <c r="GI20" s="20"/>
      <c r="GJ20" s="20"/>
      <c r="GK20" s="18">
        <v>2</v>
      </c>
      <c r="GL20" s="17" t="s">
        <v>39</v>
      </c>
      <c r="GM20" s="157" t="str">
        <f ca="1">IFERROR(INDIRECT("fixtures!" &amp; [1]Dashboard!J1 &amp;134) - [1]Dashboard!K1/24,"TBC")</f>
        <v>TBC</v>
      </c>
      <c r="GN20" s="17"/>
      <c r="GO20" s="17" t="s">
        <v>23</v>
      </c>
      <c r="GP20" s="17" t="s">
        <v>16</v>
      </c>
      <c r="GQ20" s="18">
        <f>IF(ISBLANK([1]fixtures!$L134),"",[1]fixtures!$L134)</f>
        <v>0</v>
      </c>
      <c r="GR20" s="17" t="str">
        <f>IF(ISBLANK([1]fixtures!$L134),"",":")</f>
        <v>:</v>
      </c>
      <c r="GS20" s="19">
        <f>IF(ISBLANK([1]fixtures!$K134),"",[1]fixtures!$K134)</f>
        <v>5</v>
      </c>
      <c r="GT20" s="17" t="str">
        <f>IF(ISBLANK([1]fixtures!$L134),"",IF(GQ20&gt;GS20,"W",IF(GQ20=GS20,"D","L")))</f>
        <v>L</v>
      </c>
      <c r="GU20" s="17"/>
      <c r="GV20" s="17"/>
      <c r="GW20" s="15">
        <v>3</v>
      </c>
      <c r="GX20" s="14" t="s">
        <v>18</v>
      </c>
      <c r="GY20" s="155" t="str">
        <f ca="1">IFERROR(INDIRECT("fixtures!" &amp; [1]Dashboard!J1 &amp;141) - [1]Dashboard!K1/24,"TBC")</f>
        <v>TBC</v>
      </c>
      <c r="GZ20" s="14"/>
      <c r="HA20" s="14" t="s">
        <v>19</v>
      </c>
      <c r="HB20" s="14" t="s">
        <v>16</v>
      </c>
      <c r="HC20" s="15">
        <f>IF(ISBLANK([1]fixtures!$L141),"",[1]fixtures!$L141)</f>
        <v>3</v>
      </c>
      <c r="HD20" s="14" t="str">
        <f>IF(ISBLANK([1]fixtures!$L141),"",":")</f>
        <v>:</v>
      </c>
      <c r="HE20" s="16">
        <f>IF(ISBLANK([1]fixtures!$K141),"",[1]fixtures!$K141)</f>
        <v>3</v>
      </c>
      <c r="HF20" s="14" t="str">
        <f>IF(ISBLANK([1]fixtures!$L141),"",IF(HC20&gt;HE20,"W",IF(HC20=HE20,"D","L")))</f>
        <v>D</v>
      </c>
      <c r="HG20" s="14"/>
      <c r="HH20" s="14"/>
      <c r="HI20" s="12">
        <v>3</v>
      </c>
      <c r="HJ20" s="11" t="s">
        <v>18</v>
      </c>
      <c r="HK20" s="153" t="str">
        <f ca="1">IFERROR(INDIRECT("fixtures!" &amp; [1]Dashboard!J1 &amp;140) - [1]Dashboard!K1/24,"TBC")</f>
        <v>TBC</v>
      </c>
      <c r="HL20" s="11"/>
      <c r="HM20" s="11" t="s">
        <v>37</v>
      </c>
      <c r="HN20" s="11" t="s">
        <v>21</v>
      </c>
      <c r="HO20" s="12">
        <f>IF(ISBLANK([1]fixtures!$K140),"",[1]fixtures!$K140)</f>
        <v>1</v>
      </c>
      <c r="HP20" s="11" t="str">
        <f>IF(ISBLANK([1]fixtures!$L140),"",":")</f>
        <v>:</v>
      </c>
      <c r="HQ20" s="13">
        <f>IF(ISBLANK([1]fixtures!$L140),"",[1]fixtures!$L140)</f>
        <v>1</v>
      </c>
      <c r="HR20" s="11" t="str">
        <f>IF(ISBLANK([1]fixtures!$L140),"",IF(HO20&gt;HQ20,"W",IF(HO20=HQ20,"D","L")))</f>
        <v>D</v>
      </c>
      <c r="HS20" s="11"/>
      <c r="HT20" s="11"/>
      <c r="HU20" s="9">
        <v>2</v>
      </c>
      <c r="HV20" s="8" t="s">
        <v>39</v>
      </c>
      <c r="HW20" s="151" t="str">
        <f ca="1">IFERROR(INDIRECT("fixtures!" &amp; [1]Dashboard!J1 &amp;132) - [1]Dashboard!K1/24,"TBC")</f>
        <v>TBC</v>
      </c>
      <c r="HX20" s="8"/>
      <c r="HY20" s="8" t="s">
        <v>30</v>
      </c>
      <c r="HZ20" s="8" t="s">
        <v>16</v>
      </c>
      <c r="IA20" s="9">
        <f>IF(ISBLANK([1]fixtures!$L132),"",[1]fixtures!$L132)</f>
        <v>1</v>
      </c>
      <c r="IB20" s="8" t="str">
        <f>IF(ISBLANK([1]fixtures!$L132),"",":")</f>
        <v>:</v>
      </c>
      <c r="IC20" s="10">
        <f>IF(ISBLANK([1]fixtures!$K132),"",[1]fixtures!$K132)</f>
        <v>2</v>
      </c>
      <c r="ID20" s="8" t="str">
        <f>IF(ISBLANK([1]fixtures!$L132),"",IF(IA20&gt;IC20,"W",IF(IA20=IC20,"D","L")))</f>
        <v>L</v>
      </c>
      <c r="IE20" s="8"/>
      <c r="IF20" s="8"/>
    </row>
    <row r="21" spans="1:243" x14ac:dyDescent="0.25">
      <c r="A21" s="67">
        <v>5</v>
      </c>
      <c r="B21" s="66" t="s">
        <v>40</v>
      </c>
      <c r="C21" s="187" t="str">
        <f ca="1">IFERROR(INDIRECT("fixtures!" &amp; [1]Dashboard!J1 &amp;143) - [1]Dashboard!K1/24,"TBC")</f>
        <v>TBC</v>
      </c>
      <c r="D21" s="66"/>
      <c r="E21" s="66" t="s">
        <v>29</v>
      </c>
      <c r="F21" s="66" t="s">
        <v>16</v>
      </c>
      <c r="G21" s="67">
        <f>IF(ISBLANK([1]fixtures!$L143),"",[1]fixtures!$L143)</f>
        <v>4</v>
      </c>
      <c r="H21" s="66" t="str">
        <f>IF(ISBLANK([1]fixtures!$L143),"",":")</f>
        <v>:</v>
      </c>
      <c r="I21" s="68">
        <f>IF(ISBLANK([1]fixtures!$K143),"",[1]fixtures!$K143)</f>
        <v>3</v>
      </c>
      <c r="J21" s="66" t="str">
        <f>IF(ISBLANK([1]fixtures!$L143),"",IF(G21&gt;I21,"W",IF(G21=I21,"D","L")))</f>
        <v>W</v>
      </c>
      <c r="K21" s="66"/>
      <c r="L21" s="66"/>
      <c r="M21" s="63">
        <v>6</v>
      </c>
      <c r="N21" s="62" t="s">
        <v>41</v>
      </c>
      <c r="O21" s="185" t="str">
        <f ca="1">IFERROR(INDIRECT("fixtures!" &amp; [1]Dashboard!J1 &amp;148) - [1]Dashboard!K1/24,"TBC")</f>
        <v>TBC</v>
      </c>
      <c r="P21" s="62"/>
      <c r="Q21" s="62" t="s">
        <v>19</v>
      </c>
      <c r="R21" s="62" t="s">
        <v>21</v>
      </c>
      <c r="S21" s="63">
        <f>IF(ISBLANK([1]fixtures!$K148),"",[1]fixtures!$K148)</f>
        <v>1</v>
      </c>
      <c r="T21" s="62" t="str">
        <f>IF(ISBLANK([1]fixtures!$L148),"",":")</f>
        <v>:</v>
      </c>
      <c r="U21" s="64">
        <f>IF(ISBLANK([1]fixtures!$L148),"",[1]fixtures!$L148)</f>
        <v>0</v>
      </c>
      <c r="V21" s="62" t="str">
        <f>IF(ISBLANK([1]fixtures!$L148),"",IF(S21&gt;U21,"W",IF(S21=U21,"D","L")))</f>
        <v>W</v>
      </c>
      <c r="W21" s="62"/>
      <c r="X21" s="62"/>
      <c r="Y21" s="60">
        <v>6</v>
      </c>
      <c r="Z21" s="59" t="s">
        <v>41</v>
      </c>
      <c r="AA21" s="183" t="str">
        <f ca="1">IFERROR(INDIRECT("fixtures!" &amp; [1]Dashboard!J1 &amp;145) - [1]Dashboard!K1/24,"TBC")</f>
        <v>TBC</v>
      </c>
      <c r="AB21" s="59"/>
      <c r="AC21" s="59" t="s">
        <v>37</v>
      </c>
      <c r="AD21" s="59" t="s">
        <v>16</v>
      </c>
      <c r="AE21" s="60">
        <f>IF(ISBLANK([1]fixtures!$L145),"",[1]fixtures!$L145)</f>
        <v>2</v>
      </c>
      <c r="AF21" s="59" t="str">
        <f>IF(ISBLANK([1]fixtures!$L145),"",":")</f>
        <v>:</v>
      </c>
      <c r="AG21" s="61">
        <f>IF(ISBLANK([1]fixtures!$K145),"",[1]fixtures!$K145)</f>
        <v>0</v>
      </c>
      <c r="AH21" s="59" t="str">
        <f>IF(ISBLANK([1]fixtures!$L145),"",IF(AE21&gt;AG21,"W",IF(AE21=AG21,"D","L")))</f>
        <v>W</v>
      </c>
      <c r="AI21" s="59"/>
      <c r="AJ21" s="59"/>
      <c r="AK21" s="57">
        <v>6</v>
      </c>
      <c r="AL21" s="56" t="s">
        <v>41</v>
      </c>
      <c r="AM21" s="181" t="str">
        <f ca="1">IFERROR(INDIRECT("fixtures!" &amp; [1]Dashboard!J1 &amp;144) - [1]Dashboard!K1/24,"TBC")</f>
        <v>TBC</v>
      </c>
      <c r="AN21" s="56"/>
      <c r="AO21" s="56" t="s">
        <v>25</v>
      </c>
      <c r="AP21" s="56" t="s">
        <v>16</v>
      </c>
      <c r="AQ21" s="57">
        <f>IF(ISBLANK([1]fixtures!$L144),"",[1]fixtures!$L144)</f>
        <v>1</v>
      </c>
      <c r="AR21" s="56" t="str">
        <f>IF(ISBLANK([1]fixtures!$L144),"",":")</f>
        <v>:</v>
      </c>
      <c r="AS21" s="58">
        <f>IF(ISBLANK([1]fixtures!$K144),"",[1]fixtures!$K144)</f>
        <v>2</v>
      </c>
      <c r="AT21" s="56" t="str">
        <f>IF(ISBLANK([1]fixtures!$L144),"",IF(AQ21&gt;AS21,"W",IF(AQ21=AS21,"D","L")))</f>
        <v>L</v>
      </c>
      <c r="AU21" s="56"/>
      <c r="AV21" s="56"/>
      <c r="AW21" s="54">
        <v>6</v>
      </c>
      <c r="AX21" s="53" t="s">
        <v>41</v>
      </c>
      <c r="AY21" s="179" t="str">
        <f ca="1">IFERROR(INDIRECT("fixtures!" &amp; [1]Dashboard!J1 &amp;144) - [1]Dashboard!K1/24,"TBC")</f>
        <v>TBC</v>
      </c>
      <c r="AZ21" s="53"/>
      <c r="BA21" s="53" t="s">
        <v>24</v>
      </c>
      <c r="BB21" s="53" t="s">
        <v>21</v>
      </c>
      <c r="BC21" s="54">
        <f>IF(ISBLANK([1]fixtures!$K144),"",[1]fixtures!$K144)</f>
        <v>2</v>
      </c>
      <c r="BD21" s="53" t="str">
        <f>IF(ISBLANK([1]fixtures!$L144),"",":")</f>
        <v>:</v>
      </c>
      <c r="BE21" s="55">
        <f>IF(ISBLANK([1]fixtures!$L144),"",[1]fixtures!$L144)</f>
        <v>1</v>
      </c>
      <c r="BF21" s="53" t="str">
        <f>IF(ISBLANK([1]fixtures!$L144),"",IF(BC21&gt;BE21,"W",IF(BC21=BE21,"D","L")))</f>
        <v>W</v>
      </c>
      <c r="BG21" s="53"/>
      <c r="BH21" s="53"/>
      <c r="BI21" s="51">
        <v>5</v>
      </c>
      <c r="BJ21" s="50" t="s">
        <v>40</v>
      </c>
      <c r="BK21" s="177" t="str">
        <f ca="1">IFERROR(INDIRECT("fixtures!" &amp; [1]Dashboard!J1 &amp;142) - [1]Dashboard!K1/24,"TBC")</f>
        <v>TBC</v>
      </c>
      <c r="BL21" s="50"/>
      <c r="BM21" s="50" t="s">
        <v>28</v>
      </c>
      <c r="BN21" s="50" t="s">
        <v>16</v>
      </c>
      <c r="BO21" s="51">
        <f>IF(ISBLANK([1]fixtures!$L142),"",[1]fixtures!$L142)</f>
        <v>0</v>
      </c>
      <c r="BP21" s="50" t="str">
        <f>IF(ISBLANK([1]fixtures!$L142),"",":")</f>
        <v>:</v>
      </c>
      <c r="BQ21" s="52">
        <f>IF(ISBLANK([1]fixtures!$K142),"",[1]fixtures!$K142)</f>
        <v>1</v>
      </c>
      <c r="BR21" s="50" t="str">
        <f>IF(ISBLANK([1]fixtures!$L142),"",IF(BO21&gt;BQ21,"W",IF(BO21=BQ21,"D","L")))</f>
        <v>L</v>
      </c>
      <c r="BS21" s="50"/>
      <c r="BT21" s="50"/>
      <c r="BU21" s="48">
        <v>6</v>
      </c>
      <c r="BV21" s="47" t="s">
        <v>41</v>
      </c>
      <c r="BW21" s="175" t="str">
        <f ca="1">IFERROR(INDIRECT("fixtures!" &amp; [1]Dashboard!J1 &amp;149) - [1]Dashboard!K1/24,"TBC")</f>
        <v>TBC</v>
      </c>
      <c r="BX21" s="47"/>
      <c r="BY21" s="47" t="s">
        <v>34</v>
      </c>
      <c r="BZ21" s="47" t="s">
        <v>16</v>
      </c>
      <c r="CA21" s="48">
        <f>IF(ISBLANK([1]fixtures!$L149),"",[1]fixtures!$L149)</f>
        <v>1</v>
      </c>
      <c r="CB21" s="47" t="str">
        <f>IF(ISBLANK([1]fixtures!$L149),"",":")</f>
        <v>:</v>
      </c>
      <c r="CC21" s="49">
        <f>IF(ISBLANK([1]fixtures!$K149),"",[1]fixtures!$K149)</f>
        <v>2</v>
      </c>
      <c r="CD21" s="47" t="str">
        <f>IF(ISBLANK([1]fixtures!$L149),"",IF(CA21&gt;CC21,"W",IF(CA21=CC21,"D","L")))</f>
        <v>L</v>
      </c>
      <c r="CE21" s="47"/>
      <c r="CF21" s="47"/>
      <c r="CG21" s="45">
        <v>6</v>
      </c>
      <c r="CH21" s="44" t="s">
        <v>41</v>
      </c>
      <c r="CI21" s="173" t="str">
        <f ca="1">IFERROR(INDIRECT("fixtures!" &amp; [1]Dashboard!J1 &amp;145) - [1]Dashboard!K1/24,"TBC")</f>
        <v>TBC</v>
      </c>
      <c r="CJ21" s="44"/>
      <c r="CK21" s="44" t="s">
        <v>32</v>
      </c>
      <c r="CL21" s="44" t="s">
        <v>21</v>
      </c>
      <c r="CM21" s="45">
        <f>IF(ISBLANK([1]fixtures!$K145),"",[1]fixtures!$K145)</f>
        <v>0</v>
      </c>
      <c r="CN21" s="44" t="str">
        <f>IF(ISBLANK([1]fixtures!$L145),"",":")</f>
        <v>:</v>
      </c>
      <c r="CO21" s="46">
        <f>IF(ISBLANK([1]fixtures!$L145),"",[1]fixtures!$L145)</f>
        <v>2</v>
      </c>
      <c r="CP21" s="44" t="str">
        <f>IF(ISBLANK([1]fixtures!$L145),"",IF(CM21&gt;CO21,"W",IF(CM21=CO21,"D","L")))</f>
        <v>L</v>
      </c>
      <c r="CQ21" s="44"/>
      <c r="CR21" s="44"/>
      <c r="CS21" s="42">
        <v>7</v>
      </c>
      <c r="CT21" s="41" t="s">
        <v>45</v>
      </c>
      <c r="CU21" s="171" t="str">
        <f ca="1">IFERROR(INDIRECT("fixtures!" &amp; [1]Dashboard!J1 &amp;150) - [1]Dashboard!K1/24,"TBC")</f>
        <v>TBC</v>
      </c>
      <c r="CV21" s="41"/>
      <c r="CW21" s="41" t="s">
        <v>35</v>
      </c>
      <c r="CX21" s="41" t="s">
        <v>21</v>
      </c>
      <c r="CY21" s="42">
        <f>IF(ISBLANK([1]fixtures!$K150),"",[1]fixtures!$K150)</f>
        <v>3</v>
      </c>
      <c r="CZ21" s="41" t="str">
        <f>IF(ISBLANK([1]fixtures!$L150),"",":")</f>
        <v>:</v>
      </c>
      <c r="DA21" s="43">
        <f>IF(ISBLANK([1]fixtures!$L150),"",[1]fixtures!$L150)</f>
        <v>0</v>
      </c>
      <c r="DB21" s="41" t="str">
        <f>IF(ISBLANK([1]fixtures!$L150),"",IF(CY21&gt;DA21,"W",IF(CY21=DA21,"D","L")))</f>
        <v>W</v>
      </c>
      <c r="DC21" s="41"/>
      <c r="DD21" s="41"/>
      <c r="DE21" s="39">
        <v>6</v>
      </c>
      <c r="DF21" s="38" t="s">
        <v>41</v>
      </c>
      <c r="DG21" s="169" t="str">
        <f ca="1">IFERROR(INDIRECT("fixtures!" &amp; [1]Dashboard!J1 &amp;146) - [1]Dashboard!K1/24,"TBC")</f>
        <v>TBC</v>
      </c>
      <c r="DH21" s="38"/>
      <c r="DI21" s="38" t="s">
        <v>33</v>
      </c>
      <c r="DJ21" s="38" t="s">
        <v>21</v>
      </c>
      <c r="DK21" s="39">
        <f>IF(ISBLANK([1]fixtures!$K146),"",[1]fixtures!$K146)</f>
        <v>5</v>
      </c>
      <c r="DL21" s="38" t="str">
        <f>IF(ISBLANK([1]fixtures!$L146),"",":")</f>
        <v>:</v>
      </c>
      <c r="DM21" s="40">
        <f>IF(ISBLANK([1]fixtures!$L146),"",[1]fixtures!$L146)</f>
        <v>0</v>
      </c>
      <c r="DN21" s="38" t="str">
        <f>IF(ISBLANK([1]fixtures!$L146),"",IF(DK21&gt;DM21,"W",IF(DK21=DM21,"D","L")))</f>
        <v>W</v>
      </c>
      <c r="DO21" s="38"/>
      <c r="DP21" s="38"/>
      <c r="DQ21" s="36">
        <v>6</v>
      </c>
      <c r="DR21" s="35" t="s">
        <v>41</v>
      </c>
      <c r="DS21" s="167" t="str">
        <f ca="1">IFERROR(INDIRECT("fixtures!" &amp; [1]Dashboard!J1 &amp;147) - [1]Dashboard!K1/24,"TBC")</f>
        <v>TBC</v>
      </c>
      <c r="DT21" s="35"/>
      <c r="DU21" s="35" t="s">
        <v>20</v>
      </c>
      <c r="DV21" s="35" t="s">
        <v>16</v>
      </c>
      <c r="DW21" s="36">
        <f>IF(ISBLANK([1]fixtures!$L147),"",[1]fixtures!$L147)</f>
        <v>2</v>
      </c>
      <c r="DX21" s="35" t="str">
        <f>IF(ISBLANK([1]fixtures!$L147),"",":")</f>
        <v>:</v>
      </c>
      <c r="DY21" s="37">
        <f>IF(ISBLANK([1]fixtures!$K147),"",[1]fixtures!$K147)</f>
        <v>0</v>
      </c>
      <c r="DZ21" s="35" t="str">
        <f>IF(ISBLANK([1]fixtures!$L147),"",IF(DW21&gt;DY21,"W",IF(DW21=DY21,"D","L")))</f>
        <v>W</v>
      </c>
      <c r="EA21" s="35"/>
      <c r="EB21" s="35"/>
      <c r="EC21" s="33">
        <v>5</v>
      </c>
      <c r="ED21" s="32" t="s">
        <v>40</v>
      </c>
      <c r="EE21" s="190" t="str">
        <f ca="1">IFERROR(INDIRECT("fixtures!" &amp; [1]Dashboard!J1 &amp;143) - [1]Dashboard!K1/24,"TBC")</f>
        <v>TBC</v>
      </c>
      <c r="EF21" s="32"/>
      <c r="EG21" s="32" t="s">
        <v>30</v>
      </c>
      <c r="EH21" s="32" t="s">
        <v>21</v>
      </c>
      <c r="EI21" s="33">
        <f>IF(ISBLANK([1]fixtures!$K143),"",[1]fixtures!$K143)</f>
        <v>3</v>
      </c>
      <c r="EJ21" s="32" t="str">
        <f>IF(ISBLANK([1]fixtures!$L143),"",":")</f>
        <v>:</v>
      </c>
      <c r="EK21" s="34">
        <f>IF(ISBLANK([1]fixtures!$L143),"",[1]fixtures!$L143)</f>
        <v>4</v>
      </c>
      <c r="EL21" s="32" t="str">
        <f>IF(ISBLANK([1]fixtures!$L143),"",IF(EI21&gt;EK21,"W",IF(EI21=EK21,"D","L")))</f>
        <v>L</v>
      </c>
      <c r="EM21" s="32"/>
      <c r="EN21" s="32"/>
      <c r="EO21" s="30">
        <v>6</v>
      </c>
      <c r="EP21" s="29" t="s">
        <v>41</v>
      </c>
      <c r="EQ21" s="164" t="str">
        <f ca="1">IFERROR(INDIRECT("fixtures!" &amp; [1]Dashboard!J1 &amp;148) - [1]Dashboard!K1/24,"TBC")</f>
        <v>TBC</v>
      </c>
      <c r="ER21" s="29"/>
      <c r="ES21" s="29" t="s">
        <v>31</v>
      </c>
      <c r="ET21" s="29" t="s">
        <v>16</v>
      </c>
      <c r="EU21" s="30">
        <f>IF(ISBLANK([1]fixtures!$L148),"",[1]fixtures!$L148)</f>
        <v>0</v>
      </c>
      <c r="EV21" s="29" t="str">
        <f>IF(ISBLANK([1]fixtures!$L148),"",":")</f>
        <v>:</v>
      </c>
      <c r="EW21" s="31">
        <f>IF(ISBLANK([1]fixtures!$K148),"",[1]fixtures!$K148)</f>
        <v>1</v>
      </c>
      <c r="EX21" s="29" t="str">
        <f>IF(ISBLANK([1]fixtures!$L148),"",IF(EU21&gt;EW21,"W",IF(EU21=EW21,"D","L")))</f>
        <v>L</v>
      </c>
      <c r="EY21" s="29"/>
      <c r="EZ21" s="29"/>
      <c r="FA21" s="27">
        <v>6</v>
      </c>
      <c r="FB21" s="26" t="s">
        <v>41</v>
      </c>
      <c r="FC21" s="189" t="str">
        <f ca="1">IFERROR(INDIRECT("fixtures!" &amp; [1]Dashboard!J1 &amp;149) - [1]Dashboard!K1/24,"TBC")</f>
        <v>TBC</v>
      </c>
      <c r="FD21" s="26"/>
      <c r="FE21" s="26" t="s">
        <v>36</v>
      </c>
      <c r="FF21" s="26" t="s">
        <v>21</v>
      </c>
      <c r="FG21" s="27">
        <f>IF(ISBLANK([1]fixtures!$K149),"",[1]fixtures!$K149)</f>
        <v>2</v>
      </c>
      <c r="FH21" s="26" t="str">
        <f>IF(ISBLANK([1]fixtures!$L149),"",":")</f>
        <v>:</v>
      </c>
      <c r="FI21" s="28">
        <f>IF(ISBLANK([1]fixtures!$L149),"",[1]fixtures!$L149)</f>
        <v>1</v>
      </c>
      <c r="FJ21" s="26" t="str">
        <f>IF(ISBLANK([1]fixtures!$L149),"",IF(FG21&gt;FI21,"W",IF(FG21=FI21,"D","L")))</f>
        <v>W</v>
      </c>
      <c r="FK21" s="26"/>
      <c r="FL21" s="26"/>
      <c r="FM21" s="24">
        <v>7</v>
      </c>
      <c r="FN21" s="23" t="s">
        <v>45</v>
      </c>
      <c r="FO21" s="161" t="str">
        <f ca="1">IFERROR(INDIRECT("fixtures!" &amp; [1]Dashboard!J1 &amp;150) - [1]Dashboard!K1/24,"TBC")</f>
        <v>TBC</v>
      </c>
      <c r="FP21" s="23"/>
      <c r="FQ21" s="23" t="s">
        <v>38</v>
      </c>
      <c r="FR21" s="23" t="s">
        <v>16</v>
      </c>
      <c r="FS21" s="24">
        <f>IF(ISBLANK([1]fixtures!$L150),"",[1]fixtures!$L150)</f>
        <v>0</v>
      </c>
      <c r="FT21" s="23" t="str">
        <f>IF(ISBLANK([1]fixtures!$L150),"",":")</f>
        <v>:</v>
      </c>
      <c r="FU21" s="25">
        <f>IF(ISBLANK([1]fixtures!$K150),"",[1]fixtures!$K150)</f>
        <v>3</v>
      </c>
      <c r="FV21" s="23" t="str">
        <f>IF(ISBLANK([1]fixtures!$L150),"",IF(FS21&gt;FU21,"W",IF(FS21=FU21,"D","L")))</f>
        <v>L</v>
      </c>
      <c r="FW21" s="23"/>
      <c r="FX21" s="23"/>
      <c r="FY21" s="21">
        <v>6</v>
      </c>
      <c r="FZ21" s="20" t="s">
        <v>41</v>
      </c>
      <c r="GA21" s="159" t="str">
        <f ca="1">IFERROR(INDIRECT("fixtures!" &amp; [1]Dashboard!J1 &amp;146) - [1]Dashboard!K1/24,"TBC")</f>
        <v>TBC</v>
      </c>
      <c r="GB21" s="20"/>
      <c r="GC21" s="20" t="s">
        <v>27</v>
      </c>
      <c r="GD21" s="20" t="s">
        <v>16</v>
      </c>
      <c r="GE21" s="21">
        <f>IF(ISBLANK([1]fixtures!$L146),"",[1]fixtures!$L146)</f>
        <v>0</v>
      </c>
      <c r="GF21" s="20" t="str">
        <f>IF(ISBLANK([1]fixtures!$L146),"",":")</f>
        <v>:</v>
      </c>
      <c r="GG21" s="22">
        <f>IF(ISBLANK([1]fixtures!$K146),"",[1]fixtures!$K146)</f>
        <v>5</v>
      </c>
      <c r="GH21" s="20" t="str">
        <f>IF(ISBLANK([1]fixtures!$L146),"",IF(GE21&gt;GG21,"W",IF(GE21=GG21,"D","L")))</f>
        <v>L</v>
      </c>
      <c r="GI21" s="20"/>
      <c r="GJ21" s="20"/>
      <c r="GK21" s="18">
        <v>6</v>
      </c>
      <c r="GL21" s="17" t="s">
        <v>41</v>
      </c>
      <c r="GM21" s="157" t="str">
        <f ca="1">IFERROR(INDIRECT("fixtures!" &amp; [1]Dashboard!J1 &amp;147) - [1]Dashboard!K1/24,"TBC")</f>
        <v>TBC</v>
      </c>
      <c r="GN21" s="17"/>
      <c r="GO21" s="17" t="s">
        <v>17</v>
      </c>
      <c r="GP21" s="17" t="s">
        <v>21</v>
      </c>
      <c r="GQ21" s="18">
        <f>IF(ISBLANK([1]fixtures!$K147),"",[1]fixtures!$K147)</f>
        <v>0</v>
      </c>
      <c r="GR21" s="17" t="str">
        <f>IF(ISBLANK([1]fixtures!$L147),"",":")</f>
        <v>:</v>
      </c>
      <c r="GS21" s="19">
        <f>IF(ISBLANK([1]fixtures!$L147),"",[1]fixtures!$L147)</f>
        <v>2</v>
      </c>
      <c r="GT21" s="17" t="str">
        <f>IF(ISBLANK([1]fixtures!$L147),"",IF(GQ21&gt;GS21,"W",IF(GQ21=GS21,"D","L")))</f>
        <v>L</v>
      </c>
      <c r="GU21" s="17"/>
      <c r="GV21" s="17"/>
      <c r="GW21" s="15">
        <v>7</v>
      </c>
      <c r="GX21" s="14" t="s">
        <v>45</v>
      </c>
      <c r="GY21" s="155" t="str">
        <f ca="1">IFERROR(INDIRECT("fixtures!" &amp; [1]Dashboard!J1 &amp;151) - [1]Dashboard!K1/24,"TBC")</f>
        <v>TBC</v>
      </c>
      <c r="GZ21" s="14"/>
      <c r="HA21" s="14" t="s">
        <v>26</v>
      </c>
      <c r="HB21" s="14" t="s">
        <v>21</v>
      </c>
      <c r="HC21" s="15">
        <f>IF(ISBLANK([1]fixtures!$K151),"",[1]fixtures!$K151)</f>
        <v>1</v>
      </c>
      <c r="HD21" s="14" t="str">
        <f>IF(ISBLANK([1]fixtures!$L151),"",":")</f>
        <v>:</v>
      </c>
      <c r="HE21" s="16">
        <f>IF(ISBLANK([1]fixtures!$L151),"",[1]fixtures!$L151)</f>
        <v>2</v>
      </c>
      <c r="HF21" s="14" t="str">
        <f>IF(ISBLANK([1]fixtures!$L151),"",IF(HC21&gt;HE21,"W",IF(HC21=HE21,"D","L")))</f>
        <v>L</v>
      </c>
      <c r="HG21" s="14"/>
      <c r="HH21" s="14"/>
      <c r="HI21" s="12">
        <v>7</v>
      </c>
      <c r="HJ21" s="11" t="s">
        <v>45</v>
      </c>
      <c r="HK21" s="153" t="str">
        <f ca="1">IFERROR(INDIRECT("fixtures!" &amp; [1]Dashboard!J1 &amp;151) - [1]Dashboard!K1/24,"TBC")</f>
        <v>TBC</v>
      </c>
      <c r="HL21" s="11"/>
      <c r="HM21" s="11" t="s">
        <v>22</v>
      </c>
      <c r="HN21" s="11" t="s">
        <v>16</v>
      </c>
      <c r="HO21" s="12">
        <f>IF(ISBLANK([1]fixtures!$L151),"",[1]fixtures!$L151)</f>
        <v>2</v>
      </c>
      <c r="HP21" s="11" t="str">
        <f>IF(ISBLANK([1]fixtures!$L151),"",":")</f>
        <v>:</v>
      </c>
      <c r="HQ21" s="13">
        <f>IF(ISBLANK([1]fixtures!$K151),"",[1]fixtures!$K151)</f>
        <v>1</v>
      </c>
      <c r="HR21" s="11" t="str">
        <f>IF(ISBLANK([1]fixtures!$L151),"",IF(HO21&gt;HQ21,"W",IF(HO21=HQ21,"D","L")))</f>
        <v>W</v>
      </c>
      <c r="HS21" s="11"/>
      <c r="HT21" s="11"/>
      <c r="HU21" s="9">
        <v>5</v>
      </c>
      <c r="HV21" s="8" t="s">
        <v>40</v>
      </c>
      <c r="HW21" s="151" t="str">
        <f ca="1">IFERROR(INDIRECT("fixtures!" &amp; [1]Dashboard!J1 &amp;142) - [1]Dashboard!K1/24,"TBC")</f>
        <v>TBC</v>
      </c>
      <c r="HX21" s="8"/>
      <c r="HY21" s="8" t="s">
        <v>23</v>
      </c>
      <c r="HZ21" s="8" t="s">
        <v>21</v>
      </c>
      <c r="IA21" s="9">
        <f>IF(ISBLANK([1]fixtures!$K142),"",[1]fixtures!$K142)</f>
        <v>1</v>
      </c>
      <c r="IB21" s="8" t="str">
        <f>IF(ISBLANK([1]fixtures!$L142),"",":")</f>
        <v>:</v>
      </c>
      <c r="IC21" s="10">
        <f>IF(ISBLANK([1]fixtures!$L142),"",[1]fixtures!$L142)</f>
        <v>0</v>
      </c>
      <c r="ID21" s="8" t="str">
        <f>IF(ISBLANK([1]fixtures!$L142),"",IF(IA21&gt;IC21,"W",IF(IA21=IC21,"D","L")))</f>
        <v>W</v>
      </c>
      <c r="IE21" s="8"/>
      <c r="IF21" s="8"/>
    </row>
    <row r="22" spans="1:243" x14ac:dyDescent="0.25">
      <c r="A22" s="67">
        <v>9</v>
      </c>
      <c r="B22" s="66" t="s">
        <v>39</v>
      </c>
      <c r="C22" s="187" t="str">
        <f ca="1">IFERROR(INDIRECT("fixtures!" &amp; [1]Dashboard!J1 &amp;157) - [1]Dashboard!K1/24,"TBC")</f>
        <v>TBC</v>
      </c>
      <c r="D22" s="66"/>
      <c r="E22" s="66" t="s">
        <v>31</v>
      </c>
      <c r="F22" s="66" t="s">
        <v>16</v>
      </c>
      <c r="G22" s="67">
        <f>IF(ISBLANK([1]fixtures!$L157),"",[1]fixtures!$L157)</f>
        <v>0</v>
      </c>
      <c r="H22" s="66" t="str">
        <f>IF(ISBLANK([1]fixtures!$L157),"",":")</f>
        <v>:</v>
      </c>
      <c r="I22" s="68">
        <f>IF(ISBLANK([1]fixtures!$K157),"",[1]fixtures!$K157)</f>
        <v>1</v>
      </c>
      <c r="J22" s="66" t="str">
        <f>IF(ISBLANK([1]fixtures!$L157),"",IF(G22&gt;I22,"W",IF(G22=I22,"D","L")))</f>
        <v>L</v>
      </c>
      <c r="K22" s="66"/>
      <c r="L22" s="66"/>
      <c r="M22" s="63">
        <v>9</v>
      </c>
      <c r="N22" s="62" t="s">
        <v>39</v>
      </c>
      <c r="O22" s="185" t="str">
        <f ca="1">IFERROR(INDIRECT("fixtures!" &amp; [1]Dashboard!J1 &amp;157) - [1]Dashboard!K1/24,"TBC")</f>
        <v>TBC</v>
      </c>
      <c r="P22" s="62"/>
      <c r="Q22" s="62" t="s">
        <v>30</v>
      </c>
      <c r="R22" s="62" t="s">
        <v>21</v>
      </c>
      <c r="S22" s="63">
        <f>IF(ISBLANK([1]fixtures!$K157),"",[1]fixtures!$K157)</f>
        <v>1</v>
      </c>
      <c r="T22" s="62" t="str">
        <f>IF(ISBLANK([1]fixtures!$L157),"",":")</f>
        <v>:</v>
      </c>
      <c r="U22" s="64">
        <f>IF(ISBLANK([1]fixtures!$L157),"",[1]fixtures!$L157)</f>
        <v>0</v>
      </c>
      <c r="V22" s="62" t="str">
        <f>IF(ISBLANK([1]fixtures!$L157),"",IF(S22&gt;U22,"W",IF(S22=U22,"D","L")))</f>
        <v>W</v>
      </c>
      <c r="W22" s="62"/>
      <c r="X22" s="62"/>
      <c r="Y22" s="60">
        <v>9</v>
      </c>
      <c r="Z22" s="59" t="s">
        <v>39</v>
      </c>
      <c r="AA22" s="183" t="str">
        <f ca="1">IFERROR(INDIRECT("fixtures!" &amp; [1]Dashboard!J1 &amp;154) - [1]Dashboard!K1/24,"TBC")</f>
        <v>TBC</v>
      </c>
      <c r="AB22" s="59"/>
      <c r="AC22" s="59" t="s">
        <v>34</v>
      </c>
      <c r="AD22" s="59" t="s">
        <v>16</v>
      </c>
      <c r="AE22" s="60">
        <f>IF(ISBLANK([1]fixtures!$L154),"",[1]fixtures!$L154)</f>
        <v>3</v>
      </c>
      <c r="AF22" s="59" t="str">
        <f>IF(ISBLANK([1]fixtures!$L154),"",":")</f>
        <v>:</v>
      </c>
      <c r="AG22" s="61">
        <f>IF(ISBLANK([1]fixtures!$K154),"",[1]fixtures!$K154)</f>
        <v>0</v>
      </c>
      <c r="AH22" s="59" t="str">
        <f>IF(ISBLANK([1]fixtures!$L154),"",IF(AE22&gt;AG22,"W",IF(AE22=AG22,"D","L")))</f>
        <v>W</v>
      </c>
      <c r="AI22" s="59"/>
      <c r="AJ22" s="59"/>
      <c r="AK22" s="57">
        <v>9</v>
      </c>
      <c r="AL22" s="56" t="s">
        <v>39</v>
      </c>
      <c r="AM22" s="181" t="str">
        <f ca="1">IFERROR(INDIRECT("fixtures!" &amp; [1]Dashboard!J1 &amp;155) - [1]Dashboard!K1/24,"TBC")</f>
        <v>TBC</v>
      </c>
      <c r="AN22" s="56"/>
      <c r="AO22" s="56" t="s">
        <v>20</v>
      </c>
      <c r="AP22" s="56" t="s">
        <v>16</v>
      </c>
      <c r="AQ22" s="57">
        <f>IF(ISBLANK([1]fixtures!$L155),"",[1]fixtures!$L155)</f>
        <v>0</v>
      </c>
      <c r="AR22" s="56" t="str">
        <f>IF(ISBLANK([1]fixtures!$L155),"",":")</f>
        <v>:</v>
      </c>
      <c r="AS22" s="58">
        <f>IF(ISBLANK([1]fixtures!$K155),"",[1]fixtures!$K155)</f>
        <v>1</v>
      </c>
      <c r="AT22" s="56" t="str">
        <f>IF(ISBLANK([1]fixtures!$L155),"",IF(AQ22&gt;AS22,"W",IF(AQ22=AS22,"D","L")))</f>
        <v>L</v>
      </c>
      <c r="AU22" s="56"/>
      <c r="AV22" s="56"/>
      <c r="AW22" s="54">
        <v>9</v>
      </c>
      <c r="AX22" s="53" t="s">
        <v>39</v>
      </c>
      <c r="AY22" s="179" t="str">
        <f ca="1">IFERROR(INDIRECT("fixtures!" &amp; [1]Dashboard!J1 &amp;153) - [1]Dashboard!K1/24,"TBC")</f>
        <v>TBC</v>
      </c>
      <c r="AZ22" s="53"/>
      <c r="BA22" s="53" t="s">
        <v>23</v>
      </c>
      <c r="BB22" s="53" t="s">
        <v>21</v>
      </c>
      <c r="BC22" s="54">
        <f>IF(ISBLANK([1]fixtures!$K153),"",[1]fixtures!$K153)</f>
        <v>1</v>
      </c>
      <c r="BD22" s="53" t="str">
        <f>IF(ISBLANK([1]fixtures!$L153),"",":")</f>
        <v>:</v>
      </c>
      <c r="BE22" s="55">
        <f>IF(ISBLANK([1]fixtures!$L153),"",[1]fixtures!$L153)</f>
        <v>1</v>
      </c>
      <c r="BF22" s="53" t="str">
        <f>IF(ISBLANK([1]fixtures!$L153),"",IF(BC22&gt;BE22,"W",IF(BC22=BE22,"D","L")))</f>
        <v>D</v>
      </c>
      <c r="BG22" s="53"/>
      <c r="BH22" s="53"/>
      <c r="BI22" s="51">
        <v>9</v>
      </c>
      <c r="BJ22" s="50" t="s">
        <v>39</v>
      </c>
      <c r="BK22" s="177" t="str">
        <f ca="1">IFERROR(INDIRECT("fixtures!" &amp; [1]Dashboard!J1 &amp;153) - [1]Dashboard!K1/24,"TBC")</f>
        <v>TBC</v>
      </c>
      <c r="BL22" s="50"/>
      <c r="BM22" s="50" t="s">
        <v>25</v>
      </c>
      <c r="BN22" s="50" t="s">
        <v>16</v>
      </c>
      <c r="BO22" s="51">
        <f>IF(ISBLANK([1]fixtures!$L153),"",[1]fixtures!$L153)</f>
        <v>1</v>
      </c>
      <c r="BP22" s="50" t="str">
        <f>IF(ISBLANK([1]fixtures!$L153),"",":")</f>
        <v>:</v>
      </c>
      <c r="BQ22" s="52">
        <f>IF(ISBLANK([1]fixtures!$K153),"",[1]fixtures!$K153)</f>
        <v>1</v>
      </c>
      <c r="BR22" s="50" t="str">
        <f>IF(ISBLANK([1]fixtures!$L153),"",IF(BO22&gt;BQ22,"W",IF(BO22=BQ22,"D","L")))</f>
        <v>D</v>
      </c>
      <c r="BS22" s="50"/>
      <c r="BT22" s="50"/>
      <c r="BU22" s="48">
        <v>10</v>
      </c>
      <c r="BV22" s="47" t="s">
        <v>18</v>
      </c>
      <c r="BW22" s="175" t="str">
        <f ca="1">IFERROR(INDIRECT("fixtures!" &amp; [1]Dashboard!J1 &amp;158) - [1]Dashboard!K1/24,"TBC")</f>
        <v>TBC</v>
      </c>
      <c r="BX22" s="47"/>
      <c r="BY22" s="47" t="s">
        <v>38</v>
      </c>
      <c r="BZ22" s="47" t="s">
        <v>16</v>
      </c>
      <c r="CA22" s="48">
        <f>IF(ISBLANK([1]fixtures!$L158),"",[1]fixtures!$L158)</f>
        <v>0</v>
      </c>
      <c r="CB22" s="47" t="str">
        <f>IF(ISBLANK([1]fixtures!$L158),"",":")</f>
        <v>:</v>
      </c>
      <c r="CC22" s="49">
        <f>IF(ISBLANK([1]fixtures!$K158),"",[1]fixtures!$K158)</f>
        <v>2</v>
      </c>
      <c r="CD22" s="47" t="str">
        <f>IF(ISBLANK([1]fixtures!$L158),"",IF(CA22&gt;CC22,"W",IF(CA22=CC22,"D","L")))</f>
        <v>L</v>
      </c>
      <c r="CE22" s="47"/>
      <c r="CF22" s="47"/>
      <c r="CG22" s="45">
        <v>9</v>
      </c>
      <c r="CH22" s="44" t="s">
        <v>39</v>
      </c>
      <c r="CI22" s="173" t="str">
        <f ca="1">IFERROR(INDIRECT("fixtures!" &amp; [1]Dashboard!J1 &amp;152) - [1]Dashboard!K1/24,"TBC")</f>
        <v>TBC</v>
      </c>
      <c r="CJ22" s="44"/>
      <c r="CK22" s="44" t="s">
        <v>17</v>
      </c>
      <c r="CL22" s="44" t="s">
        <v>21</v>
      </c>
      <c r="CM22" s="45">
        <f>IF(ISBLANK([1]fixtures!$K152),"",[1]fixtures!$K152)</f>
        <v>1</v>
      </c>
      <c r="CN22" s="44" t="str">
        <f>IF(ISBLANK([1]fixtures!$L152),"",":")</f>
        <v>:</v>
      </c>
      <c r="CO22" s="46">
        <f>IF(ISBLANK([1]fixtures!$L152),"",[1]fixtures!$L152)</f>
        <v>2</v>
      </c>
      <c r="CP22" s="44" t="str">
        <f>IF(ISBLANK([1]fixtures!$L152),"",IF(CM22&gt;CO22,"W",IF(CM22=CO22,"D","L")))</f>
        <v>L</v>
      </c>
      <c r="CQ22" s="44"/>
      <c r="CR22" s="44"/>
      <c r="CS22" s="42">
        <v>10</v>
      </c>
      <c r="CT22" s="41" t="s">
        <v>18</v>
      </c>
      <c r="CU22" s="171" t="str">
        <f ca="1">IFERROR(INDIRECT("fixtures!" &amp; [1]Dashboard!J1 &amp;158) - [1]Dashboard!K1/24,"TBC")</f>
        <v>TBC</v>
      </c>
      <c r="CV22" s="41"/>
      <c r="CW22" s="41" t="s">
        <v>36</v>
      </c>
      <c r="CX22" s="41" t="s">
        <v>21</v>
      </c>
      <c r="CY22" s="42">
        <f>IF(ISBLANK([1]fixtures!$K158),"",[1]fixtures!$K158)</f>
        <v>2</v>
      </c>
      <c r="CZ22" s="41" t="str">
        <f>IF(ISBLANK([1]fixtures!$L158),"",":")</f>
        <v>:</v>
      </c>
      <c r="DA22" s="43">
        <f>IF(ISBLANK([1]fixtures!$L158),"",[1]fixtures!$L158)</f>
        <v>0</v>
      </c>
      <c r="DB22" s="41" t="str">
        <f>IF(ISBLANK([1]fixtures!$L158),"",IF(CY22&gt;DA22,"W",IF(CY22=DA22,"D","L")))</f>
        <v>W</v>
      </c>
      <c r="DC22" s="41"/>
      <c r="DD22" s="41"/>
      <c r="DE22" s="39">
        <v>10</v>
      </c>
      <c r="DF22" s="38" t="s">
        <v>18</v>
      </c>
      <c r="DG22" s="169" t="str">
        <f ca="1">IFERROR(INDIRECT("fixtures!" &amp; [1]Dashboard!J1 &amp;159) - [1]Dashboard!K1/24,"TBC")</f>
        <v>TBC</v>
      </c>
      <c r="DH22" s="38"/>
      <c r="DI22" s="38" t="s">
        <v>26</v>
      </c>
      <c r="DJ22" s="38" t="s">
        <v>21</v>
      </c>
      <c r="DK22" s="39">
        <f>IF(ISBLANK([1]fixtures!$K159),"",[1]fixtures!$K159)</f>
        <v>5</v>
      </c>
      <c r="DL22" s="38" t="str">
        <f>IF(ISBLANK([1]fixtures!$L159),"",":")</f>
        <v>:</v>
      </c>
      <c r="DM22" s="40">
        <f>IF(ISBLANK([1]fixtures!$L159),"",[1]fixtures!$L159)</f>
        <v>0</v>
      </c>
      <c r="DN22" s="38" t="str">
        <f>IF(ISBLANK([1]fixtures!$L159),"",IF(DK22&gt;DM22,"W",IF(DK22=DM22,"D","L")))</f>
        <v>W</v>
      </c>
      <c r="DO22" s="38"/>
      <c r="DP22" s="38"/>
      <c r="DQ22" s="36">
        <v>9</v>
      </c>
      <c r="DR22" s="35" t="s">
        <v>39</v>
      </c>
      <c r="DS22" s="167" t="str">
        <f ca="1">IFERROR(INDIRECT("fixtures!" &amp; [1]Dashboard!J1 &amp;152) - [1]Dashboard!K1/24,"TBC")</f>
        <v>TBC</v>
      </c>
      <c r="DT22" s="35"/>
      <c r="DU22" s="35" t="s">
        <v>37</v>
      </c>
      <c r="DV22" s="35" t="s">
        <v>16</v>
      </c>
      <c r="DW22" s="36">
        <f>IF(ISBLANK([1]fixtures!$L152),"",[1]fixtures!$L152)</f>
        <v>2</v>
      </c>
      <c r="DX22" s="35" t="str">
        <f>IF(ISBLANK([1]fixtures!$L152),"",":")</f>
        <v>:</v>
      </c>
      <c r="DY22" s="37">
        <f>IF(ISBLANK([1]fixtures!$K152),"",[1]fixtures!$K152)</f>
        <v>1</v>
      </c>
      <c r="DZ22" s="35" t="str">
        <f>IF(ISBLANK([1]fixtures!$L152),"",IF(DW22&gt;DY22,"W",IF(DW22=DY22,"D","L")))</f>
        <v>W</v>
      </c>
      <c r="EA22" s="35"/>
      <c r="EB22" s="35"/>
      <c r="EC22" s="33">
        <v>10</v>
      </c>
      <c r="ED22" s="32" t="s">
        <v>18</v>
      </c>
      <c r="EE22" s="190" t="str">
        <f ca="1">IFERROR(INDIRECT("fixtures!" &amp; [1]Dashboard!J1 &amp;160) - [1]Dashboard!K1/24,"TBC")</f>
        <v>TBC</v>
      </c>
      <c r="EF22" s="32"/>
      <c r="EG22" s="32" t="s">
        <v>19</v>
      </c>
      <c r="EH22" s="32" t="s">
        <v>21</v>
      </c>
      <c r="EI22" s="33">
        <f>IF(ISBLANK([1]fixtures!$K160),"",[1]fixtures!$K160)</f>
        <v>1</v>
      </c>
      <c r="EJ22" s="32" t="str">
        <f>IF(ISBLANK([1]fixtures!$L160),"",":")</f>
        <v>:</v>
      </c>
      <c r="EK22" s="34">
        <f>IF(ISBLANK([1]fixtures!$L160),"",[1]fixtures!$L160)</f>
        <v>2</v>
      </c>
      <c r="EL22" s="32" t="str">
        <f>IF(ISBLANK([1]fixtures!$L160),"",IF(EI22&gt;EK22,"W",IF(EI22=EK22,"D","L")))</f>
        <v>L</v>
      </c>
      <c r="EM22" s="32"/>
      <c r="EN22" s="32"/>
      <c r="EO22" s="30">
        <v>10</v>
      </c>
      <c r="EP22" s="29" t="s">
        <v>18</v>
      </c>
      <c r="EQ22" s="164" t="str">
        <f ca="1">IFERROR(INDIRECT("fixtures!" &amp; [1]Dashboard!J1 &amp;160) - [1]Dashboard!K1/24,"TBC")</f>
        <v>TBC</v>
      </c>
      <c r="ER22" s="29"/>
      <c r="ES22" s="29" t="s">
        <v>29</v>
      </c>
      <c r="ET22" s="29" t="s">
        <v>16</v>
      </c>
      <c r="EU22" s="30">
        <f>IF(ISBLANK([1]fixtures!$L160),"",[1]fixtures!$L160)</f>
        <v>2</v>
      </c>
      <c r="EV22" s="29" t="str">
        <f>IF(ISBLANK([1]fixtures!$L160),"",":")</f>
        <v>:</v>
      </c>
      <c r="EW22" s="31">
        <f>IF(ISBLANK([1]fixtures!$K160),"",[1]fixtures!$K160)</f>
        <v>1</v>
      </c>
      <c r="EX22" s="29" t="str">
        <f>IF(ISBLANK([1]fixtures!$L160),"",IF(EU22&gt;EW22,"W",IF(EU22=EW22,"D","L")))</f>
        <v>W</v>
      </c>
      <c r="EY22" s="29"/>
      <c r="EZ22" s="29"/>
      <c r="FA22" s="27">
        <v>9</v>
      </c>
      <c r="FB22" s="26" t="s">
        <v>39</v>
      </c>
      <c r="FC22" s="189" t="str">
        <f ca="1">IFERROR(INDIRECT("fixtures!" &amp; [1]Dashboard!J1 &amp;154) - [1]Dashboard!K1/24,"TBC")</f>
        <v>TBC</v>
      </c>
      <c r="FD22" s="26"/>
      <c r="FE22" s="26" t="s">
        <v>32</v>
      </c>
      <c r="FF22" s="26" t="s">
        <v>21</v>
      </c>
      <c r="FG22" s="27">
        <f>IF(ISBLANK([1]fixtures!$K154),"",[1]fixtures!$K154)</f>
        <v>0</v>
      </c>
      <c r="FH22" s="26" t="str">
        <f>IF(ISBLANK([1]fixtures!$L154),"",":")</f>
        <v>:</v>
      </c>
      <c r="FI22" s="28">
        <f>IF(ISBLANK([1]fixtures!$L154),"",[1]fixtures!$L154)</f>
        <v>3</v>
      </c>
      <c r="FJ22" s="26" t="str">
        <f>IF(ISBLANK([1]fixtures!$L154),"",IF(FG22&gt;FI22,"W",IF(FG22=FI22,"D","L")))</f>
        <v>L</v>
      </c>
      <c r="FK22" s="26"/>
      <c r="FL22" s="26"/>
      <c r="FM22" s="24">
        <v>10</v>
      </c>
      <c r="FN22" s="23" t="s">
        <v>18</v>
      </c>
      <c r="FO22" s="161" t="str">
        <f ca="1">IFERROR(INDIRECT("fixtures!" &amp; [1]Dashboard!J1 &amp;161) - [1]Dashboard!K1/24,"TBC")</f>
        <v>TBC</v>
      </c>
      <c r="FP22" s="23"/>
      <c r="FQ22" s="23" t="s">
        <v>22</v>
      </c>
      <c r="FR22" s="23" t="s">
        <v>16</v>
      </c>
      <c r="FS22" s="24">
        <f>IF(ISBLANK([1]fixtures!$L161),"",[1]fixtures!$L161)</f>
        <v>1</v>
      </c>
      <c r="FT22" s="23" t="str">
        <f>IF(ISBLANK([1]fixtures!$L161),"",":")</f>
        <v>:</v>
      </c>
      <c r="FU22" s="25">
        <f>IF(ISBLANK([1]fixtures!$K161),"",[1]fixtures!$K161)</f>
        <v>4</v>
      </c>
      <c r="FV22" s="23" t="str">
        <f>IF(ISBLANK([1]fixtures!$L161),"",IF(FS22&gt;FU22,"W",IF(FS22=FU22,"D","L")))</f>
        <v>L</v>
      </c>
      <c r="FW22" s="23"/>
      <c r="FX22" s="23"/>
      <c r="FY22" s="21">
        <v>9</v>
      </c>
      <c r="FZ22" s="20" t="s">
        <v>39</v>
      </c>
      <c r="GA22" s="159" t="str">
        <f ca="1">IFERROR(INDIRECT("fixtures!" &amp; [1]Dashboard!J1 &amp;156) - [1]Dashboard!K1/24,"TBC")</f>
        <v>TBC</v>
      </c>
      <c r="GB22" s="20"/>
      <c r="GC22" s="20" t="s">
        <v>28</v>
      </c>
      <c r="GD22" s="20" t="s">
        <v>16</v>
      </c>
      <c r="GE22" s="21">
        <f>IF(ISBLANK([1]fixtures!$L156),"",[1]fixtures!$L156)</f>
        <v>1</v>
      </c>
      <c r="GF22" s="20" t="str">
        <f>IF(ISBLANK([1]fixtures!$L156),"",":")</f>
        <v>:</v>
      </c>
      <c r="GG22" s="22">
        <f>IF(ISBLANK([1]fixtures!$K156),"",[1]fixtures!$K156)</f>
        <v>1</v>
      </c>
      <c r="GH22" s="20" t="str">
        <f>IF(ISBLANK([1]fixtures!$L156),"",IF(GE22&gt;GG22,"W",IF(GE22=GG22,"D","L")))</f>
        <v>D</v>
      </c>
      <c r="GI22" s="20"/>
      <c r="GJ22" s="20"/>
      <c r="GK22" s="18">
        <v>9</v>
      </c>
      <c r="GL22" s="17" t="s">
        <v>39</v>
      </c>
      <c r="GM22" s="157" t="str">
        <f ca="1">IFERROR(INDIRECT("fixtures!" &amp; [1]Dashboard!J1 &amp;155) - [1]Dashboard!K1/24,"TBC")</f>
        <v>TBC</v>
      </c>
      <c r="GN22" s="17"/>
      <c r="GO22" s="17" t="s">
        <v>24</v>
      </c>
      <c r="GP22" s="17" t="s">
        <v>21</v>
      </c>
      <c r="GQ22" s="18">
        <f>IF(ISBLANK([1]fixtures!$K155),"",[1]fixtures!$K155)</f>
        <v>1</v>
      </c>
      <c r="GR22" s="17" t="str">
        <f>IF(ISBLANK([1]fixtures!$L155),"",":")</f>
        <v>:</v>
      </c>
      <c r="GS22" s="19">
        <f>IF(ISBLANK([1]fixtures!$L155),"",[1]fixtures!$L155)</f>
        <v>0</v>
      </c>
      <c r="GT22" s="17" t="str">
        <f>IF(ISBLANK([1]fixtures!$L155),"",IF(GQ22&gt;GS22,"W",IF(GQ22=GS22,"D","L")))</f>
        <v>W</v>
      </c>
      <c r="GU22" s="17"/>
      <c r="GV22" s="17"/>
      <c r="GW22" s="15">
        <v>10</v>
      </c>
      <c r="GX22" s="14" t="s">
        <v>18</v>
      </c>
      <c r="GY22" s="155" t="str">
        <f ca="1">IFERROR(INDIRECT("fixtures!" &amp; [1]Dashboard!J1 &amp;161) - [1]Dashboard!K1/24,"TBC")</f>
        <v>TBC</v>
      </c>
      <c r="GZ22" s="14"/>
      <c r="HA22" s="14" t="s">
        <v>35</v>
      </c>
      <c r="HB22" s="14" t="s">
        <v>21</v>
      </c>
      <c r="HC22" s="15">
        <f>IF(ISBLANK([1]fixtures!$K161),"",[1]fixtures!$K161)</f>
        <v>4</v>
      </c>
      <c r="HD22" s="14" t="str">
        <f>IF(ISBLANK([1]fixtures!$L161),"",":")</f>
        <v>:</v>
      </c>
      <c r="HE22" s="16">
        <f>IF(ISBLANK([1]fixtures!$L161),"",[1]fixtures!$L161)</f>
        <v>1</v>
      </c>
      <c r="HF22" s="14" t="str">
        <f>IF(ISBLANK([1]fixtures!$L161),"",IF(HC22&gt;HE22,"W",IF(HC22=HE22,"D","L")))</f>
        <v>W</v>
      </c>
      <c r="HG22" s="14"/>
      <c r="HH22" s="14"/>
      <c r="HI22" s="12">
        <v>10</v>
      </c>
      <c r="HJ22" s="11" t="s">
        <v>18</v>
      </c>
      <c r="HK22" s="153" t="str">
        <f ca="1">IFERROR(INDIRECT("fixtures!" &amp; [1]Dashboard!J1 &amp;159) - [1]Dashboard!K1/24,"TBC")</f>
        <v>TBC</v>
      </c>
      <c r="HL22" s="11"/>
      <c r="HM22" s="11" t="s">
        <v>27</v>
      </c>
      <c r="HN22" s="11" t="s">
        <v>16</v>
      </c>
      <c r="HO22" s="12">
        <f>IF(ISBLANK([1]fixtures!$L159),"",[1]fixtures!$L159)</f>
        <v>0</v>
      </c>
      <c r="HP22" s="11" t="str">
        <f>IF(ISBLANK([1]fixtures!$L159),"",":")</f>
        <v>:</v>
      </c>
      <c r="HQ22" s="13">
        <f>IF(ISBLANK([1]fixtures!$K159),"",[1]fixtures!$K159)</f>
        <v>5</v>
      </c>
      <c r="HR22" s="11" t="str">
        <f>IF(ISBLANK([1]fixtures!$L159),"",IF(HO22&gt;HQ22,"W",IF(HO22=HQ22,"D","L")))</f>
        <v>L</v>
      </c>
      <c r="HS22" s="11"/>
      <c r="HT22" s="11"/>
      <c r="HU22" s="9">
        <v>9</v>
      </c>
      <c r="HV22" s="8" t="s">
        <v>39</v>
      </c>
      <c r="HW22" s="151" t="str">
        <f ca="1">IFERROR(INDIRECT("fixtures!" &amp; [1]Dashboard!J1 &amp;156) - [1]Dashboard!K1/24,"TBC")</f>
        <v>TBC</v>
      </c>
      <c r="HX22" s="8"/>
      <c r="HY22" s="8" t="s">
        <v>33</v>
      </c>
      <c r="HZ22" s="8" t="s">
        <v>21</v>
      </c>
      <c r="IA22" s="9">
        <f>IF(ISBLANK([1]fixtures!$K156),"",[1]fixtures!$K156)</f>
        <v>1</v>
      </c>
      <c r="IB22" s="8" t="str">
        <f>IF(ISBLANK([1]fixtures!$L156),"",":")</f>
        <v>:</v>
      </c>
      <c r="IC22" s="10">
        <f>IF(ISBLANK([1]fixtures!$L156),"",[1]fixtures!$L156)</f>
        <v>1</v>
      </c>
      <c r="ID22" s="8" t="str">
        <f>IF(ISBLANK([1]fixtures!$L156),"",IF(IA22&gt;IC22,"W",IF(IA22=IC22,"D","L")))</f>
        <v>D</v>
      </c>
      <c r="IE22" s="8"/>
      <c r="IF22" s="8"/>
    </row>
    <row r="23" spans="1:243" x14ac:dyDescent="0.25">
      <c r="A23" s="67">
        <v>17</v>
      </c>
      <c r="B23" s="66" t="s">
        <v>18</v>
      </c>
      <c r="C23" s="187" t="str">
        <f ca="1">IFERROR(INDIRECT("fixtures!" &amp; [1]Dashboard!J1 &amp;167) - [1]Dashboard!K1/24,"TBC")</f>
        <v>TBC</v>
      </c>
      <c r="D23" s="66"/>
      <c r="E23" s="66" t="s">
        <v>25</v>
      </c>
      <c r="F23" s="66" t="s">
        <v>21</v>
      </c>
      <c r="G23" s="67">
        <f>IF(ISBLANK([1]fixtures!$K167),"",[1]fixtures!$K167)</f>
        <v>2</v>
      </c>
      <c r="H23" s="66" t="str">
        <f>IF(ISBLANK([1]fixtures!$L167),"",":")</f>
        <v>:</v>
      </c>
      <c r="I23" s="68">
        <f>IF(ISBLANK([1]fixtures!$L167),"",[1]fixtures!$L167)</f>
        <v>0</v>
      </c>
      <c r="J23" s="66" t="str">
        <f>IF(ISBLANK([1]fixtures!$L167),"",IF(G23&gt;I23,"W",IF(G23=I23,"D","L")))</f>
        <v>W</v>
      </c>
      <c r="K23" s="66"/>
      <c r="L23" s="66"/>
      <c r="M23" s="63">
        <v>17</v>
      </c>
      <c r="N23" s="62" t="s">
        <v>18</v>
      </c>
      <c r="O23" s="185" t="str">
        <f ca="1">IFERROR(INDIRECT("fixtures!" &amp; [1]Dashboard!J1 &amp;168) - [1]Dashboard!K1/24,"TBC")</f>
        <v>TBC</v>
      </c>
      <c r="P23" s="62"/>
      <c r="Q23" s="62" t="s">
        <v>24</v>
      </c>
      <c r="R23" s="62" t="s">
        <v>16</v>
      </c>
      <c r="S23" s="63">
        <f>IF(ISBLANK([1]fixtures!$L168),"",[1]fixtures!$L168)</f>
        <v>2</v>
      </c>
      <c r="T23" s="62" t="str">
        <f>IF(ISBLANK([1]fixtures!$L168),"",":")</f>
        <v>:</v>
      </c>
      <c r="U23" s="64">
        <f>IF(ISBLANK([1]fixtures!$K168),"",[1]fixtures!$K168)</f>
        <v>1</v>
      </c>
      <c r="V23" s="62" t="str">
        <f>IF(ISBLANK([1]fixtures!$L168),"",IF(S23&gt;U23,"W",IF(S23=U23,"D","L")))</f>
        <v>W</v>
      </c>
      <c r="W23" s="62"/>
      <c r="X23" s="62"/>
      <c r="Y23" s="60">
        <v>23</v>
      </c>
      <c r="Z23" s="59" t="s">
        <v>39</v>
      </c>
      <c r="AA23" s="183" t="str">
        <f ca="1">IFERROR(INDIRECT("fixtures!" &amp; [1]Dashboard!J1 &amp;176) - [1]Dashboard!K1/24,"TBC")</f>
        <v>TBC</v>
      </c>
      <c r="AB23" s="59"/>
      <c r="AC23" s="59" t="s">
        <v>33</v>
      </c>
      <c r="AD23" s="59" t="s">
        <v>16</v>
      </c>
      <c r="AE23" s="60">
        <f>IF(ISBLANK([1]fixtures!$L176),"",[1]fixtures!$L176)</f>
        <v>3</v>
      </c>
      <c r="AF23" s="59" t="str">
        <f>IF(ISBLANK([1]fixtures!$L176),"",":")</f>
        <v>:</v>
      </c>
      <c r="AG23" s="61">
        <f>IF(ISBLANK([1]fixtures!$K176),"",[1]fixtures!$K176)</f>
        <v>2</v>
      </c>
      <c r="AH23" s="59" t="str">
        <f>IF(ISBLANK([1]fixtures!$L176),"",IF(AE23&gt;AG23,"W",IF(AE23=AG23,"D","L")))</f>
        <v>W</v>
      </c>
      <c r="AI23" s="59"/>
      <c r="AJ23" s="59"/>
      <c r="AK23" s="57">
        <v>17</v>
      </c>
      <c r="AL23" s="58" t="s">
        <v>18</v>
      </c>
      <c r="AM23" s="181" t="str">
        <f ca="1">IFERROR(INDIRECT("fixtures!" &amp; [1]Dashboard!J1 &amp;168) - [1]Dashboard!K1/24,"TBC")</f>
        <v>TBC</v>
      </c>
      <c r="AN23" s="56"/>
      <c r="AO23" s="56" t="s">
        <v>31</v>
      </c>
      <c r="AP23" s="56" t="s">
        <v>21</v>
      </c>
      <c r="AQ23" s="57">
        <f>IF(ISBLANK([1]fixtures!$K168),"",[1]fixtures!$K168)</f>
        <v>1</v>
      </c>
      <c r="AR23" s="56" t="str">
        <f>IF(ISBLANK([1]fixtures!$L168),"",":")</f>
        <v>:</v>
      </c>
      <c r="AS23" s="58">
        <f>IF(ISBLANK([1]fixtures!$L168),"",[1]fixtures!$L168)</f>
        <v>2</v>
      </c>
      <c r="AT23" s="56" t="str">
        <f>IF(ISBLANK([1]fixtures!$L168),"",IF(AQ23&gt;AS23,"W",IF(AQ23=AS23,"D","L")))</f>
        <v>L</v>
      </c>
      <c r="AU23" s="56"/>
      <c r="AV23" s="56"/>
      <c r="AW23" s="54">
        <v>17</v>
      </c>
      <c r="AX23" s="53" t="s">
        <v>18</v>
      </c>
      <c r="AY23" s="179" t="str">
        <f ca="1">IFERROR(INDIRECT("fixtures!" &amp; [1]Dashboard!J1 &amp;167) - [1]Dashboard!K1/24,"TBC")</f>
        <v>TBC</v>
      </c>
      <c r="AZ23" s="53"/>
      <c r="BA23" s="53" t="s">
        <v>30</v>
      </c>
      <c r="BB23" s="53" t="s">
        <v>16</v>
      </c>
      <c r="BC23" s="54">
        <f>IF(ISBLANK([1]fixtures!$L167),"",[1]fixtures!$L167)</f>
        <v>0</v>
      </c>
      <c r="BD23" s="53" t="str">
        <f>IF(ISBLANK([1]fixtures!$L167),"",":")</f>
        <v>:</v>
      </c>
      <c r="BE23" s="55">
        <f>IF(ISBLANK([1]fixtures!$K167),"",[1]fixtures!$K167)</f>
        <v>2</v>
      </c>
      <c r="BF23" s="53" t="str">
        <f>IF(ISBLANK([1]fixtures!$L167),"",IF(BC23&gt;BE23,"W",IF(BC23=BE23,"D","L")))</f>
        <v>L</v>
      </c>
      <c r="BG23" s="53"/>
      <c r="BH23" s="53"/>
      <c r="BI23" s="51">
        <v>16</v>
      </c>
      <c r="BJ23" s="50" t="s">
        <v>39</v>
      </c>
      <c r="BK23" s="177" t="str">
        <f ca="1">IFERROR(INDIRECT("fixtures!" &amp; [1]Dashboard!J1 &amp;166) - [1]Dashboard!K1/24,"TBC")</f>
        <v>TBC</v>
      </c>
      <c r="BL23" s="50"/>
      <c r="BM23" s="50" t="s">
        <v>38</v>
      </c>
      <c r="BN23" s="50" t="s">
        <v>21</v>
      </c>
      <c r="BO23" s="51">
        <f>IF(ISBLANK([1]fixtures!$K166),"",[1]fixtures!$K166)</f>
        <v>0</v>
      </c>
      <c r="BP23" s="50" t="str">
        <f>IF(ISBLANK([1]fixtures!$L166),"",":")</f>
        <v>:</v>
      </c>
      <c r="BQ23" s="52">
        <f>IF(ISBLANK([1]fixtures!$L166),"",[1]fixtures!$L166)</f>
        <v>2</v>
      </c>
      <c r="BR23" s="50" t="str">
        <f>IF(ISBLANK([1]fixtures!$L166),"",IF(BO23&gt;BQ23,"W",IF(BO23=BQ23,"D","L")))</f>
        <v>L</v>
      </c>
      <c r="BS23" s="50"/>
      <c r="BT23" s="50"/>
      <c r="BU23" s="48">
        <v>16</v>
      </c>
      <c r="BV23" s="47" t="s">
        <v>39</v>
      </c>
      <c r="BW23" s="175" t="str">
        <f ca="1">IFERROR(INDIRECT("fixtures!" &amp; [1]Dashboard!J1 &amp;163) - [1]Dashboard!K1/24,"TBC")</f>
        <v>TBC</v>
      </c>
      <c r="BX23" s="47"/>
      <c r="BY23" s="47" t="s">
        <v>20</v>
      </c>
      <c r="BZ23" s="47" t="s">
        <v>21</v>
      </c>
      <c r="CA23" s="48">
        <f>IF(ISBLANK([1]fixtures!$K163),"",[1]fixtures!$K163)</f>
        <v>2</v>
      </c>
      <c r="CB23" s="47" t="str">
        <f>IF(ISBLANK([1]fixtures!$L163),"",":")</f>
        <v>:</v>
      </c>
      <c r="CC23" s="49">
        <f>IF(ISBLANK([1]fixtures!$L163),"",[1]fixtures!$L163)</f>
        <v>0</v>
      </c>
      <c r="CD23" s="47" t="str">
        <f>IF(ISBLANK([1]fixtures!$L163),"",IF(CA23&gt;CC23,"W",IF(CA23=CC23,"D","L")))</f>
        <v>W</v>
      </c>
      <c r="CE23" s="47"/>
      <c r="CF23" s="47"/>
      <c r="CG23" s="45">
        <v>16</v>
      </c>
      <c r="CH23" s="44" t="s">
        <v>39</v>
      </c>
      <c r="CI23" s="173" t="str">
        <f ca="1">IFERROR(INDIRECT("fixtures!" &amp; [1]Dashboard!J1 &amp;164) - [1]Dashboard!K1/24,"TBC")</f>
        <v>TBC</v>
      </c>
      <c r="CJ23" s="44"/>
      <c r="CK23" s="44" t="s">
        <v>19</v>
      </c>
      <c r="CL23" s="44" t="s">
        <v>16</v>
      </c>
      <c r="CM23" s="45">
        <f>IF(ISBLANK([1]fixtures!$L164),"",[1]fixtures!$L164)</f>
        <v>2</v>
      </c>
      <c r="CN23" s="44" t="str">
        <f>IF(ISBLANK([1]fixtures!$L164),"",":")</f>
        <v>:</v>
      </c>
      <c r="CO23" s="46">
        <f>IF(ISBLANK([1]fixtures!$K164),"",[1]fixtures!$K164)</f>
        <v>2</v>
      </c>
      <c r="CP23" s="44" t="str">
        <f>IF(ISBLANK([1]fixtures!$L164),"",IF(CM23&gt;CO23,"W",IF(CM23=CO23,"D","L")))</f>
        <v>D</v>
      </c>
      <c r="CQ23" s="44"/>
      <c r="CR23" s="44"/>
      <c r="CS23" s="42">
        <v>16</v>
      </c>
      <c r="CT23" s="41" t="s">
        <v>39</v>
      </c>
      <c r="CU23" s="171" t="str">
        <f ca="1">IFERROR(INDIRECT("fixtures!" &amp; [1]Dashboard!J1 &amp;166) - [1]Dashboard!K1/24,"TBC")</f>
        <v>TBC</v>
      </c>
      <c r="CV23" s="41"/>
      <c r="CW23" s="41" t="s">
        <v>23</v>
      </c>
      <c r="CX23" s="41" t="s">
        <v>16</v>
      </c>
      <c r="CY23" s="42">
        <f>IF(ISBLANK([1]fixtures!$L166),"",[1]fixtures!$L166)</f>
        <v>2</v>
      </c>
      <c r="CZ23" s="41" t="str">
        <f>IF(ISBLANK([1]fixtures!$L166),"",":")</f>
        <v>:</v>
      </c>
      <c r="DA23" s="43">
        <f>IF(ISBLANK([1]fixtures!$K166),"",[1]fixtures!$K166)</f>
        <v>0</v>
      </c>
      <c r="DB23" s="41" t="str">
        <f>IF(ISBLANK([1]fixtures!$L166),"",IF(CY23&gt;DA23,"W",IF(CY23=DA23,"D","L")))</f>
        <v>W</v>
      </c>
      <c r="DC23" s="41"/>
      <c r="DD23" s="41"/>
      <c r="DE23" s="39">
        <v>16</v>
      </c>
      <c r="DF23" s="38" t="s">
        <v>39</v>
      </c>
      <c r="DG23" s="169" t="str">
        <f ca="1">IFERROR(INDIRECT("fixtures!" &amp; [1]Dashboard!J1 &amp;165) - [1]Dashboard!K1/24,"TBC")</f>
        <v>TBC</v>
      </c>
      <c r="DH23" s="38"/>
      <c r="DI23" s="38" t="s">
        <v>35</v>
      </c>
      <c r="DJ23" s="38" t="s">
        <v>16</v>
      </c>
      <c r="DK23" s="39">
        <f>IF(ISBLANK([1]fixtures!$L165),"",[1]fixtures!$L165)</f>
        <v>0</v>
      </c>
      <c r="DL23" s="38" t="str">
        <f>IF(ISBLANK([1]fixtures!$L165),"",":")</f>
        <v>:</v>
      </c>
      <c r="DM23" s="40">
        <f>IF(ISBLANK([1]fixtures!$K165),"",[1]fixtures!$K165)</f>
        <v>3</v>
      </c>
      <c r="DN23" s="38" t="str">
        <f>IF(ISBLANK([1]fixtures!$L165),"",IF(DK23&gt;DM23,"W",IF(DK23=DM23,"D","L")))</f>
        <v>L</v>
      </c>
      <c r="DO23" s="38"/>
      <c r="DP23" s="38"/>
      <c r="DQ23" s="36">
        <v>17</v>
      </c>
      <c r="DR23" s="35" t="s">
        <v>18</v>
      </c>
      <c r="DS23" s="167" t="str">
        <f ca="1">IFERROR(INDIRECT("fixtures!" &amp; [1]Dashboard!J1 &amp;170) - [1]Dashboard!K1/24,"TBC")</f>
        <v>TBC</v>
      </c>
      <c r="DT23" s="35"/>
      <c r="DU23" s="35" t="s">
        <v>34</v>
      </c>
      <c r="DV23" s="35" t="s">
        <v>21</v>
      </c>
      <c r="DW23" s="36">
        <f>IF(ISBLANK([1]fixtures!$K170),"",[1]fixtures!$K170)</f>
        <v>0</v>
      </c>
      <c r="DX23" s="35" t="str">
        <f>IF(ISBLANK([1]fixtures!$L170),"",":")</f>
        <v>:</v>
      </c>
      <c r="DY23" s="37">
        <f>IF(ISBLANK([1]fixtures!$L170),"",[1]fixtures!$L170)</f>
        <v>0</v>
      </c>
      <c r="DZ23" s="35" t="str">
        <f>IF(ISBLANK([1]fixtures!$L170),"",IF(DW23&gt;DY23,"W",IF(DW23=DY23,"D","L")))</f>
        <v>D</v>
      </c>
      <c r="EA23" s="35"/>
      <c r="EB23" s="35"/>
      <c r="EC23" s="33">
        <v>23</v>
      </c>
      <c r="ED23" s="32" t="s">
        <v>39</v>
      </c>
      <c r="EE23" s="190" t="str">
        <f ca="1">IFERROR(INDIRECT("fixtures!" &amp; [1]Dashboard!J1 &amp;175) - [1]Dashboard!K1/24,"TBC")</f>
        <v>TBC</v>
      </c>
      <c r="EF23" s="32"/>
      <c r="EG23" s="32" t="s">
        <v>35</v>
      </c>
      <c r="EH23" s="32" t="s">
        <v>21</v>
      </c>
      <c r="EI23" s="33">
        <f>IF(ISBLANK([1]fixtures!$K175),"",[1]fixtures!$K175)</f>
        <v>1</v>
      </c>
      <c r="EJ23" s="32" t="str">
        <f>IF(ISBLANK([1]fixtures!$L175),"",":")</f>
        <v>:</v>
      </c>
      <c r="EK23" s="34">
        <f>IF(ISBLANK([1]fixtures!$L175),"",[1]fixtures!$L175)</f>
        <v>0</v>
      </c>
      <c r="EL23" s="32" t="str">
        <f>IF(ISBLANK([1]fixtures!$L175),"",IF(EI23&gt;EK23,"W",IF(EI23=EK23,"D","L")))</f>
        <v>W</v>
      </c>
      <c r="EM23" s="32"/>
      <c r="EN23" s="32"/>
      <c r="EO23" s="30">
        <v>16</v>
      </c>
      <c r="EP23" s="29" t="s">
        <v>39</v>
      </c>
      <c r="EQ23" s="164" t="str">
        <f ca="1">IFERROR(INDIRECT("fixtures!" &amp; [1]Dashboard!J1 &amp;164) - [1]Dashboard!K1/24,"TBC")</f>
        <v>TBC</v>
      </c>
      <c r="ER23" s="29"/>
      <c r="ES23" s="29" t="s">
        <v>37</v>
      </c>
      <c r="ET23" s="29" t="s">
        <v>21</v>
      </c>
      <c r="EU23" s="30">
        <f>IF(ISBLANK([1]fixtures!$K164),"",[1]fixtures!$K164)</f>
        <v>2</v>
      </c>
      <c r="EV23" s="29" t="str">
        <f>IF(ISBLANK([1]fixtures!$L164),"",":")</f>
        <v>:</v>
      </c>
      <c r="EW23" s="31">
        <f>IF(ISBLANK([1]fixtures!$L164),"",[1]fixtures!$L164)</f>
        <v>2</v>
      </c>
      <c r="EX23" s="29" t="str">
        <f>IF(ISBLANK([1]fixtures!$L164),"",IF(EU23&gt;EW23,"W",IF(EU23=EW23,"D","L")))</f>
        <v>D</v>
      </c>
      <c r="EY23" s="29"/>
      <c r="EZ23" s="29"/>
      <c r="FA23" s="27">
        <v>17</v>
      </c>
      <c r="FB23" s="26" t="s">
        <v>18</v>
      </c>
      <c r="FC23" s="189" t="str">
        <f ca="1">IFERROR(INDIRECT("fixtures!" &amp; [1]Dashboard!J1 &amp;170) - [1]Dashboard!K1/24,"TBC")</f>
        <v>TBC</v>
      </c>
      <c r="FD23" s="26"/>
      <c r="FE23" s="26" t="s">
        <v>17</v>
      </c>
      <c r="FF23" s="26" t="s">
        <v>16</v>
      </c>
      <c r="FG23" s="27">
        <f>IF(ISBLANK([1]fixtures!$L170),"",[1]fixtures!$L170)</f>
        <v>0</v>
      </c>
      <c r="FH23" s="26" t="str">
        <f>IF(ISBLANK([1]fixtures!$L170),"",":")</f>
        <v>:</v>
      </c>
      <c r="FI23" s="28">
        <f>IF(ISBLANK([1]fixtures!$K170),"",[1]fixtures!$K170)</f>
        <v>0</v>
      </c>
      <c r="FJ23" s="26" t="str">
        <f>IF(ISBLANK([1]fixtures!$L170),"",IF(FG23&gt;FI23,"W",IF(FG23=FI23,"D","L")))</f>
        <v>D</v>
      </c>
      <c r="FK23" s="26"/>
      <c r="FL23" s="26"/>
      <c r="FM23" s="24">
        <v>16</v>
      </c>
      <c r="FN23" s="23" t="s">
        <v>39</v>
      </c>
      <c r="FO23" s="161" t="str">
        <f ca="1">IFERROR(INDIRECT("fixtures!" &amp; [1]Dashboard!J1 &amp;165) - [1]Dashboard!K1/24,"TBC")</f>
        <v>TBC</v>
      </c>
      <c r="FP23" s="23"/>
      <c r="FQ23" s="23" t="s">
        <v>27</v>
      </c>
      <c r="FR23" s="23" t="s">
        <v>21</v>
      </c>
      <c r="FS23" s="24">
        <f>IF(ISBLANK([1]fixtures!$K165),"",[1]fixtures!$K165)</f>
        <v>3</v>
      </c>
      <c r="FT23" s="23" t="str">
        <f>IF(ISBLANK([1]fixtures!$L165),"",":")</f>
        <v>:</v>
      </c>
      <c r="FU23" s="25">
        <f>IF(ISBLANK([1]fixtures!$L165),"",[1]fixtures!$L165)</f>
        <v>0</v>
      </c>
      <c r="FV23" s="23" t="str">
        <f>IF(ISBLANK([1]fixtures!$L165),"",IF(FS23&gt;FU23,"W",IF(FS23=FU23,"D","L")))</f>
        <v>W</v>
      </c>
      <c r="FW23" s="23"/>
      <c r="FX23" s="23"/>
      <c r="FY23" s="21">
        <v>15</v>
      </c>
      <c r="FZ23" s="20" t="s">
        <v>43</v>
      </c>
      <c r="GA23" s="159" t="str">
        <f ca="1">IFERROR(INDIRECT("fixtures!" &amp; [1]Dashboard!J1 &amp;162) - [1]Dashboard!K1/24,"TBC")</f>
        <v>TBC</v>
      </c>
      <c r="GB23" s="20"/>
      <c r="GC23" s="20" t="s">
        <v>22</v>
      </c>
      <c r="GD23" s="20" t="s">
        <v>21</v>
      </c>
      <c r="GE23" s="21">
        <f>IF(ISBLANK([1]fixtures!$K162),"",[1]fixtures!$K162)</f>
        <v>0</v>
      </c>
      <c r="GF23" s="20" t="str">
        <f>IF(ISBLANK([1]fixtures!$L162),"",":")</f>
        <v>:</v>
      </c>
      <c r="GG23" s="22">
        <f>IF(ISBLANK([1]fixtures!$L162),"",[1]fixtures!$L162)</f>
        <v>2</v>
      </c>
      <c r="GH23" s="20" t="str">
        <f>IF(ISBLANK([1]fixtures!$L162),"",IF(GE23&gt;GG23,"W",IF(GE23=GG23,"D","L")))</f>
        <v>L</v>
      </c>
      <c r="GI23" s="20"/>
      <c r="GJ23" s="20"/>
      <c r="GK23" s="18">
        <v>16</v>
      </c>
      <c r="GL23" s="17" t="s">
        <v>39</v>
      </c>
      <c r="GM23" s="157" t="str">
        <f ca="1">IFERROR(INDIRECT("fixtures!" &amp; [1]Dashboard!J1 &amp;163) - [1]Dashboard!K1/24,"TBC")</f>
        <v>TBC</v>
      </c>
      <c r="GN23" s="17"/>
      <c r="GO23" s="17" t="s">
        <v>36</v>
      </c>
      <c r="GP23" s="17" t="s">
        <v>16</v>
      </c>
      <c r="GQ23" s="18">
        <f>IF(ISBLANK([1]fixtures!$L163),"",[1]fixtures!$L163)</f>
        <v>0</v>
      </c>
      <c r="GR23" s="17" t="str">
        <f>IF(ISBLANK([1]fixtures!$L163),"",":")</f>
        <v>:</v>
      </c>
      <c r="GS23" s="19">
        <f>IF(ISBLANK([1]fixtures!$K163),"",[1]fixtures!$K163)</f>
        <v>2</v>
      </c>
      <c r="GT23" s="17" t="str">
        <f>IF(ISBLANK([1]fixtures!$L163),"",IF(GQ23&gt;GS23,"W",IF(GQ23=GS23,"D","L")))</f>
        <v>L</v>
      </c>
      <c r="GU23" s="17"/>
      <c r="GV23" s="17"/>
      <c r="GW23" s="15">
        <v>15</v>
      </c>
      <c r="GX23" s="14" t="s">
        <v>43</v>
      </c>
      <c r="GY23" s="155" t="str">
        <f ca="1">IFERROR(INDIRECT("fixtures!" &amp; [1]Dashboard!J1 &amp;162) - [1]Dashboard!K1/24,"TBC")</f>
        <v>TBC</v>
      </c>
      <c r="GZ23" s="14"/>
      <c r="HA23" s="14" t="s">
        <v>33</v>
      </c>
      <c r="HB23" s="14" t="s">
        <v>16</v>
      </c>
      <c r="HC23" s="15">
        <f>IF(ISBLANK([1]fixtures!$L162),"",[1]fixtures!$L162)</f>
        <v>2</v>
      </c>
      <c r="HD23" s="14" t="str">
        <f>IF(ISBLANK([1]fixtures!$L162),"",":")</f>
        <v>:</v>
      </c>
      <c r="HE23" s="16">
        <f>IF(ISBLANK([1]fixtures!$K162),"",[1]fixtures!$K162)</f>
        <v>0</v>
      </c>
      <c r="HF23" s="14" t="str">
        <f>IF(ISBLANK([1]fixtures!$L162),"",IF(HC23&gt;HE23,"W",IF(HC23=HE23,"D","L")))</f>
        <v>W</v>
      </c>
      <c r="HG23" s="14"/>
      <c r="HH23" s="14"/>
      <c r="HI23" s="12">
        <v>17</v>
      </c>
      <c r="HJ23" s="11" t="s">
        <v>18</v>
      </c>
      <c r="HK23" s="153" t="str">
        <f ca="1">IFERROR(INDIRECT("fixtures!" &amp; [1]Dashboard!J1 &amp;169) - [1]Dashboard!K1/24,"TBC")</f>
        <v>TBC</v>
      </c>
      <c r="HL23" s="11"/>
      <c r="HM23" s="11" t="s">
        <v>28</v>
      </c>
      <c r="HN23" s="11" t="s">
        <v>21</v>
      </c>
      <c r="HO23" s="12">
        <f>IF(ISBLANK([1]fixtures!$K169),"",[1]fixtures!$K169)</f>
        <v>3</v>
      </c>
      <c r="HP23" s="11" t="str">
        <f>IF(ISBLANK([1]fixtures!$L169),"",":")</f>
        <v>:</v>
      </c>
      <c r="HQ23" s="13">
        <f>IF(ISBLANK([1]fixtures!$L169),"",[1]fixtures!$L169)</f>
        <v>0</v>
      </c>
      <c r="HR23" s="11" t="str">
        <f>IF(ISBLANK([1]fixtures!$L169),"",IF(HO23&gt;HQ23,"W",IF(HO23=HQ23,"D","L")))</f>
        <v>W</v>
      </c>
      <c r="HS23" s="11"/>
      <c r="HT23" s="11"/>
      <c r="HU23" s="9">
        <v>17</v>
      </c>
      <c r="HV23" s="8" t="s">
        <v>18</v>
      </c>
      <c r="HW23" s="151" t="str">
        <f ca="1">IFERROR(INDIRECT("fixtures!" &amp; [1]Dashboard!J1 &amp;169) - [1]Dashboard!K1/24,"TBC")</f>
        <v>TBC</v>
      </c>
      <c r="HX23" s="8"/>
      <c r="HY23" s="8" t="s">
        <v>26</v>
      </c>
      <c r="HZ23" s="8" t="s">
        <v>16</v>
      </c>
      <c r="IA23" s="9">
        <f>IF(ISBLANK([1]fixtures!$L169),"",[1]fixtures!$L169)</f>
        <v>0</v>
      </c>
      <c r="IB23" s="8" t="str">
        <f>IF(ISBLANK([1]fixtures!$L169),"",":")</f>
        <v>:</v>
      </c>
      <c r="IC23" s="10">
        <f>IF(ISBLANK([1]fixtures!$K169),"",[1]fixtures!$K169)</f>
        <v>3</v>
      </c>
      <c r="ID23" s="8" t="str">
        <f>IF(ISBLANK([1]fixtures!$L169),"",IF(IA23&gt;IC23,"W",IF(IA23=IC23,"D","L")))</f>
        <v>L</v>
      </c>
      <c r="IE23" s="8"/>
      <c r="IF23" s="8"/>
    </row>
    <row r="24" spans="1:243" x14ac:dyDescent="0.25">
      <c r="A24" s="67">
        <v>23</v>
      </c>
      <c r="B24" s="66" t="s">
        <v>39</v>
      </c>
      <c r="C24" s="187" t="str">
        <f ca="1">IFERROR(INDIRECT("fixtures!" &amp; [1]Dashboard!J1 &amp;178) - [1]Dashboard!K1/24,"TBC")</f>
        <v>TBC</v>
      </c>
      <c r="D24" s="66"/>
      <c r="E24" s="66" t="s">
        <v>17</v>
      </c>
      <c r="F24" s="66" t="s">
        <v>16</v>
      </c>
      <c r="G24" s="67">
        <f>IF(ISBLANK([1]fixtures!$L178),"",[1]fixtures!$L178)</f>
        <v>1</v>
      </c>
      <c r="H24" s="66" t="str">
        <f>IF(ISBLANK([1]fixtures!$L178),"",":")</f>
        <v>:</v>
      </c>
      <c r="I24" s="68">
        <f>IF(ISBLANK([1]fixtures!$K178),"",[1]fixtures!$K178)</f>
        <v>1</v>
      </c>
      <c r="J24" s="66" t="str">
        <f>IF(ISBLANK([1]fixtures!$L178),"",IF(G24&gt;I24,"W",IF(G24=I24,"D","L")))</f>
        <v>D</v>
      </c>
      <c r="K24" s="66"/>
      <c r="L24" s="66"/>
      <c r="M24" s="63">
        <v>22</v>
      </c>
      <c r="N24" s="62" t="s">
        <v>43</v>
      </c>
      <c r="O24" s="185" t="str">
        <f ca="1">IFERROR(INDIRECT("fixtures!" &amp; [1]Dashboard!J1 &amp;172) - [1]Dashboard!K1/24,"TBC")</f>
        <v>TBC</v>
      </c>
      <c r="P24" s="62"/>
      <c r="Q24" s="62" t="s">
        <v>20</v>
      </c>
      <c r="R24" s="62" t="s">
        <v>21</v>
      </c>
      <c r="S24" s="63">
        <f>IF(ISBLANK([1]fixtures!$K172),"",[1]fixtures!$K172)</f>
        <v>1</v>
      </c>
      <c r="T24" s="62" t="str">
        <f>IF(ISBLANK([1]fixtures!$L172),"",":")</f>
        <v>:</v>
      </c>
      <c r="U24" s="64">
        <f>IF(ISBLANK([1]fixtures!$L172),"",[1]fixtures!$L172)</f>
        <v>1</v>
      </c>
      <c r="V24" s="62" t="str">
        <f>IF(ISBLANK([1]fixtures!$L172),"",IF(S24&gt;U24,"W",IF(S24=U24,"D","L")))</f>
        <v>D</v>
      </c>
      <c r="W24" s="62"/>
      <c r="X24" s="62"/>
      <c r="Y24" s="60">
        <v>26</v>
      </c>
      <c r="Z24" s="61" t="s">
        <v>40</v>
      </c>
      <c r="AA24" s="183" t="str">
        <f ca="1">IFERROR(INDIRECT("fixtures!" &amp; [1]Dashboard!J1 &amp;181) - [1]Dashboard!K1/24,"TBC")</f>
        <v>TBC</v>
      </c>
      <c r="AB24" s="59"/>
      <c r="AC24" s="59" t="s">
        <v>27</v>
      </c>
      <c r="AD24" s="59" t="s">
        <v>21</v>
      </c>
      <c r="AE24" s="60">
        <f>IF(ISBLANK([1]fixtures!$K181),"",[1]fixtures!$K181)</f>
        <v>3</v>
      </c>
      <c r="AF24" s="59" t="str">
        <f>IF(ISBLANK([1]fixtures!$L181),"",":")</f>
        <v>:</v>
      </c>
      <c r="AG24" s="61">
        <f>IF(ISBLANK([1]fixtures!$L181),"",[1]fixtures!$L181)</f>
        <v>0</v>
      </c>
      <c r="AH24" s="59" t="str">
        <f>IF(ISBLANK([1]fixtures!$L181),"",IF(AE24&gt;AG24,"W",IF(AE24=AG24,"D","L")))</f>
        <v>W</v>
      </c>
      <c r="AI24" s="59"/>
      <c r="AJ24" s="59"/>
      <c r="AK24" s="57">
        <v>27</v>
      </c>
      <c r="AL24" s="56" t="s">
        <v>41</v>
      </c>
      <c r="AM24" s="181" t="str">
        <f ca="1">IFERROR(INDIRECT("fixtures!" &amp; [1]Dashboard!J1 &amp;185) - [1]Dashboard!K1/24,"TBC")</f>
        <v>TBC</v>
      </c>
      <c r="AN24" s="56"/>
      <c r="AO24" s="56" t="s">
        <v>28</v>
      </c>
      <c r="AP24" s="56" t="s">
        <v>21</v>
      </c>
      <c r="AQ24" s="57">
        <f>IF(ISBLANK([1]fixtures!$K185),"",[1]fixtures!$K185)</f>
        <v>1</v>
      </c>
      <c r="AR24" s="56" t="str">
        <f>IF(ISBLANK([1]fixtures!$L185),"",":")</f>
        <v>:</v>
      </c>
      <c r="AS24" s="58">
        <f>IF(ISBLANK([1]fixtures!$L185),"",[1]fixtures!$L185)</f>
        <v>4</v>
      </c>
      <c r="AT24" s="56" t="str">
        <f>IF(ISBLANK([1]fixtures!$L185),"",IF(AQ24&gt;AS24,"W",IF(AQ24=AS24,"D","L")))</f>
        <v>L</v>
      </c>
      <c r="AU24" s="56"/>
      <c r="AV24" s="56"/>
      <c r="AW24" s="54">
        <v>21</v>
      </c>
      <c r="AX24" s="53" t="s">
        <v>45</v>
      </c>
      <c r="AY24" s="179" t="str">
        <f ca="1">IFERROR(INDIRECT("fixtures!" &amp; [1]Dashboard!J1 &amp;171) - [1]Dashboard!K1/24,"TBC")</f>
        <v>TBC</v>
      </c>
      <c r="AZ24" s="53"/>
      <c r="BA24" s="53" t="s">
        <v>37</v>
      </c>
      <c r="BB24" s="53" t="s">
        <v>16</v>
      </c>
      <c r="BC24" s="54">
        <f>IF(ISBLANK([1]fixtures!$L171),"",[1]fixtures!$L171)</f>
        <v>1</v>
      </c>
      <c r="BD24" s="53" t="str">
        <f>IF(ISBLANK([1]fixtures!$L171),"",":")</f>
        <v>:</v>
      </c>
      <c r="BE24" s="55">
        <f>IF(ISBLANK([1]fixtures!$K171),"",[1]fixtures!$K171)</f>
        <v>1</v>
      </c>
      <c r="BF24" s="53" t="str">
        <f>IF(ISBLANK([1]fixtures!$L171),"",IF(BC24&gt;BE24,"W",IF(BC24=BE24,"D","L")))</f>
        <v>D</v>
      </c>
      <c r="BG24" s="53"/>
      <c r="BH24" s="53"/>
      <c r="BI24" s="51">
        <v>23</v>
      </c>
      <c r="BJ24" s="50" t="s">
        <v>39</v>
      </c>
      <c r="BK24" s="177" t="str">
        <f ca="1">IFERROR(INDIRECT("fixtures!" &amp; [1]Dashboard!J1 &amp;174) - [1]Dashboard!K1/24,"TBC")</f>
        <v>TBC</v>
      </c>
      <c r="BL24" s="50"/>
      <c r="BM24" s="50" t="s">
        <v>27</v>
      </c>
      <c r="BN24" s="50" t="s">
        <v>16</v>
      </c>
      <c r="BO24" s="51">
        <f>IF(ISBLANK([1]fixtures!$L174),"",[1]fixtures!$L174)</f>
        <v>2</v>
      </c>
      <c r="BP24" s="50" t="str">
        <f>IF(ISBLANK([1]fixtures!$L174),"",":")</f>
        <v>:</v>
      </c>
      <c r="BQ24" s="52">
        <f>IF(ISBLANK([1]fixtures!$K174),"",[1]fixtures!$K174)</f>
        <v>0</v>
      </c>
      <c r="BR24" s="50" t="str">
        <f>IF(ISBLANK([1]fixtures!$L174),"",IF(BO24&gt;BQ24,"W",IF(BO24=BQ24,"D","L")))</f>
        <v>W</v>
      </c>
      <c r="BS24" s="50"/>
      <c r="BT24" s="50"/>
      <c r="BU24" s="48">
        <v>24</v>
      </c>
      <c r="BV24" s="47" t="s">
        <v>18</v>
      </c>
      <c r="BW24" s="175" t="str">
        <f ca="1">IFERROR(INDIRECT("fixtures!" &amp; [1]Dashboard!J1 &amp;179) - [1]Dashboard!K1/24,"TBC")</f>
        <v>TBC</v>
      </c>
      <c r="BX24" s="47"/>
      <c r="BY24" s="47" t="s">
        <v>28</v>
      </c>
      <c r="BZ24" s="47" t="s">
        <v>16</v>
      </c>
      <c r="CA24" s="48">
        <f>IF(ISBLANK([1]fixtures!$L179),"",[1]fixtures!$L179)</f>
        <v>1</v>
      </c>
      <c r="CB24" s="47" t="str">
        <f>IF(ISBLANK([1]fixtures!$L179),"",":")</f>
        <v>:</v>
      </c>
      <c r="CC24" s="49">
        <f>IF(ISBLANK([1]fixtures!$K179),"",[1]fixtures!$K179)</f>
        <v>2</v>
      </c>
      <c r="CD24" s="47" t="str">
        <f>IF(ISBLANK([1]fixtures!$L179),"",IF(CA24&gt;CC24,"W",IF(CA24=CC24,"D","L")))</f>
        <v>L</v>
      </c>
      <c r="CE24" s="47"/>
      <c r="CF24" s="47"/>
      <c r="CG24" s="45">
        <v>21</v>
      </c>
      <c r="CH24" s="44" t="s">
        <v>45</v>
      </c>
      <c r="CI24" s="173" t="str">
        <f ca="1">IFERROR(INDIRECT("fixtures!" &amp; [1]Dashboard!J1 &amp;171) - [1]Dashboard!K1/24,"TBC")</f>
        <v>TBC</v>
      </c>
      <c r="CJ24" s="44"/>
      <c r="CK24" s="44" t="s">
        <v>25</v>
      </c>
      <c r="CL24" s="44" t="s">
        <v>21</v>
      </c>
      <c r="CM24" s="45">
        <f>IF(ISBLANK([1]fixtures!$K171),"",[1]fixtures!$K171)</f>
        <v>1</v>
      </c>
      <c r="CN24" s="44" t="str">
        <f>IF(ISBLANK([1]fixtures!$L171),"",":")</f>
        <v>:</v>
      </c>
      <c r="CO24" s="46">
        <f>IF(ISBLANK([1]fixtures!$L171),"",[1]fixtures!$L171)</f>
        <v>1</v>
      </c>
      <c r="CP24" s="44" t="str">
        <f>IF(ISBLANK([1]fixtures!$L171),"",IF(CM24&gt;CO24,"W",IF(CM24=CO24,"D","L")))</f>
        <v>D</v>
      </c>
      <c r="CQ24" s="44"/>
      <c r="CR24" s="44"/>
      <c r="CS24" s="42">
        <v>23</v>
      </c>
      <c r="CT24" s="41" t="s">
        <v>39</v>
      </c>
      <c r="CU24" s="171" t="str">
        <f ca="1">IFERROR(INDIRECT("fixtures!" &amp; [1]Dashboard!J1 &amp;177) - [1]Dashboard!K1/24,"TBC")</f>
        <v>TBC</v>
      </c>
      <c r="CV24" s="41"/>
      <c r="CW24" s="41" t="s">
        <v>22</v>
      </c>
      <c r="CX24" s="41" t="s">
        <v>16</v>
      </c>
      <c r="CY24" s="42">
        <f>IF(ISBLANK([1]fixtures!$L177),"",[1]fixtures!$L177)</f>
        <v>1</v>
      </c>
      <c r="CZ24" s="41" t="str">
        <f>IF(ISBLANK([1]fixtures!$L177),"",":")</f>
        <v>:</v>
      </c>
      <c r="DA24" s="43">
        <f>IF(ISBLANK([1]fixtures!$K177),"",[1]fixtures!$K177)</f>
        <v>2</v>
      </c>
      <c r="DB24" s="41" t="str">
        <f>IF(ISBLANK([1]fixtures!$L177),"",IF(CY24&gt;DA24,"W",IF(CY24=DA24,"D","L")))</f>
        <v>L</v>
      </c>
      <c r="DC24" s="41"/>
      <c r="DD24" s="41"/>
      <c r="DE24" s="39">
        <v>23</v>
      </c>
      <c r="DF24" s="40" t="s">
        <v>39</v>
      </c>
      <c r="DG24" s="169" t="str">
        <f ca="1">IFERROR(INDIRECT("fixtures!" &amp; [1]Dashboard!J1 &amp;174) - [1]Dashboard!K1/24,"TBC")</f>
        <v>TBC</v>
      </c>
      <c r="DH24" s="38"/>
      <c r="DI24" s="38" t="s">
        <v>23</v>
      </c>
      <c r="DJ24" s="38" t="s">
        <v>21</v>
      </c>
      <c r="DK24" s="39">
        <f>IF(ISBLANK([1]fixtures!$K174),"",[1]fixtures!$K174)</f>
        <v>0</v>
      </c>
      <c r="DL24" s="38" t="str">
        <f>IF(ISBLANK([1]fixtures!$L174),"",":")</f>
        <v>:</v>
      </c>
      <c r="DM24" s="40">
        <f>IF(ISBLANK([1]fixtures!$L174),"",[1]fixtures!$L174)</f>
        <v>2</v>
      </c>
      <c r="DN24" s="38" t="str">
        <f>IF(ISBLANK([1]fixtures!$L174),"",IF(DK24&gt;DM24,"W",IF(DK24=DM24,"D","L")))</f>
        <v>L</v>
      </c>
      <c r="DO24" s="38"/>
      <c r="DP24" s="38"/>
      <c r="DQ24" s="36">
        <v>23</v>
      </c>
      <c r="DR24" s="35" t="s">
        <v>39</v>
      </c>
      <c r="DS24" s="167" t="str">
        <f ca="1">IFERROR(INDIRECT("fixtures!" &amp; [1]Dashboard!J1 &amp;178) - [1]Dashboard!K1/24,"TBC")</f>
        <v>TBC</v>
      </c>
      <c r="DT24" s="35"/>
      <c r="DU24" s="35" t="s">
        <v>30</v>
      </c>
      <c r="DV24" s="35" t="s">
        <v>21</v>
      </c>
      <c r="DW24" s="36">
        <f>IF(ISBLANK([1]fixtures!$K178),"",[1]fixtures!$K178)</f>
        <v>1</v>
      </c>
      <c r="DX24" s="35" t="str">
        <f>IF(ISBLANK([1]fixtures!$L178),"",":")</f>
        <v>:</v>
      </c>
      <c r="DY24" s="37">
        <f>IF(ISBLANK([1]fixtures!$L178),"",[1]fixtures!$L178)</f>
        <v>1</v>
      </c>
      <c r="DZ24" s="35" t="str">
        <f>IF(ISBLANK([1]fixtures!$L178),"",IF(DW24&gt;DY24,"W",IF(DW24=DY24,"D","L")))</f>
        <v>D</v>
      </c>
      <c r="EA24" s="35"/>
      <c r="EB24" s="35"/>
      <c r="EC24" s="33">
        <v>26</v>
      </c>
      <c r="ED24" s="32" t="s">
        <v>40</v>
      </c>
      <c r="EE24" s="190" t="str">
        <f ca="1">IFERROR(INDIRECT("fixtures!" &amp; [1]Dashboard!J1 &amp;182) - [1]Dashboard!K1/24,"TBC")</f>
        <v>TBC</v>
      </c>
      <c r="EF24" s="32"/>
      <c r="EG24" s="32" t="s">
        <v>20</v>
      </c>
      <c r="EH24" s="32" t="s">
        <v>16</v>
      </c>
      <c r="EI24" s="33">
        <f>IF(ISBLANK([1]fixtures!$L182),"",[1]fixtures!$L182)</f>
        <v>3</v>
      </c>
      <c r="EJ24" s="32" t="str">
        <f>IF(ISBLANK([1]fixtures!$L182),"",":")</f>
        <v>:</v>
      </c>
      <c r="EK24" s="34">
        <f>IF(ISBLANK([1]fixtures!$K182),"",[1]fixtures!$K182)</f>
        <v>2</v>
      </c>
      <c r="EL24" s="32" t="str">
        <f>IF(ISBLANK([1]fixtures!$L182),"",IF(EI24&gt;EK24,"W",IF(EI24=EK24,"D","L")))</f>
        <v>W</v>
      </c>
      <c r="EM24" s="32"/>
      <c r="EN24" s="32"/>
      <c r="EO24" s="30">
        <v>27</v>
      </c>
      <c r="EP24" s="31" t="s">
        <v>41</v>
      </c>
      <c r="EQ24" s="164" t="str">
        <f ca="1">IFERROR(INDIRECT("fixtures!" &amp; [1]Dashboard!J1 &amp;187) - [1]Dashboard!K1/24,"TBC")</f>
        <v>TBC</v>
      </c>
      <c r="ER24" s="29"/>
      <c r="ES24" s="29" t="s">
        <v>38</v>
      </c>
      <c r="ET24" s="29" t="s">
        <v>16</v>
      </c>
      <c r="EU24" s="30">
        <f>IF(ISBLANK([1]fixtures!$L187),"",[1]fixtures!$L187)</f>
        <v>3</v>
      </c>
      <c r="EV24" s="29" t="str">
        <f>IF(ISBLANK([1]fixtures!$L187),"",":")</f>
        <v>:</v>
      </c>
      <c r="EW24" s="31">
        <f>IF(ISBLANK([1]fixtures!$K187),"",[1]fixtures!$K187)</f>
        <v>1</v>
      </c>
      <c r="EX24" s="29" t="str">
        <f>IF(ISBLANK([1]fixtures!$L187),"",IF(EU24&gt;EW24,"W",IF(EU24=EW24,"D","L")))</f>
        <v>W</v>
      </c>
      <c r="EY24" s="29"/>
      <c r="EZ24" s="29"/>
      <c r="FA24" s="27">
        <v>23</v>
      </c>
      <c r="FB24" s="26" t="s">
        <v>39</v>
      </c>
      <c r="FC24" s="189" t="str">
        <f ca="1">IFERROR(INDIRECT("fixtures!" &amp; [1]Dashboard!J1 &amp;173) - [1]Dashboard!K1/24,"TBC")</f>
        <v>TBC</v>
      </c>
      <c r="FD24" s="26"/>
      <c r="FE24" s="26" t="s">
        <v>26</v>
      </c>
      <c r="FF24" s="26" t="s">
        <v>16</v>
      </c>
      <c r="FG24" s="27">
        <f>IF(ISBLANK([1]fixtures!$L173),"",[1]fixtures!$L173)</f>
        <v>0</v>
      </c>
      <c r="FH24" s="26" t="str">
        <f>IF(ISBLANK([1]fixtures!$L173),"",":")</f>
        <v>:</v>
      </c>
      <c r="FI24" s="28">
        <f>IF(ISBLANK([1]fixtures!$K173),"",[1]fixtures!$K173)</f>
        <v>2</v>
      </c>
      <c r="FJ24" s="26" t="str">
        <f>IF(ISBLANK([1]fixtures!$L173),"",IF(FG24&gt;FI24,"W",IF(FG24=FI24,"D","L")))</f>
        <v>L</v>
      </c>
      <c r="FK24" s="26"/>
      <c r="FL24" s="26"/>
      <c r="FM24" s="24">
        <v>23</v>
      </c>
      <c r="FN24" s="23" t="s">
        <v>39</v>
      </c>
      <c r="FO24" s="161" t="str">
        <f ca="1">IFERROR(INDIRECT("fixtures!" &amp; [1]Dashboard!J1 &amp;175) - [1]Dashboard!K1/24,"TBC")</f>
        <v>TBC</v>
      </c>
      <c r="FP24" s="23"/>
      <c r="FQ24" s="23" t="s">
        <v>29</v>
      </c>
      <c r="FR24" s="23" t="s">
        <v>16</v>
      </c>
      <c r="FS24" s="24">
        <f>IF(ISBLANK([1]fixtures!$L175),"",[1]fixtures!$L175)</f>
        <v>0</v>
      </c>
      <c r="FT24" s="23" t="str">
        <f>IF(ISBLANK([1]fixtures!$L175),"",":")</f>
        <v>:</v>
      </c>
      <c r="FU24" s="25">
        <f>IF(ISBLANK([1]fixtures!$K175),"",[1]fixtures!$K175)</f>
        <v>1</v>
      </c>
      <c r="FV24" s="23" t="str">
        <f>IF(ISBLANK([1]fixtures!$L175),"",IF(FS24&gt;FU24,"W",IF(FS24=FU24,"D","L")))</f>
        <v>L</v>
      </c>
      <c r="FW24" s="23"/>
      <c r="FX24" s="23"/>
      <c r="FY24" s="21">
        <v>23</v>
      </c>
      <c r="FZ24" s="20" t="s">
        <v>39</v>
      </c>
      <c r="GA24" s="159" t="str">
        <f ca="1">IFERROR(INDIRECT("fixtures!" &amp; [1]Dashboard!J1 &amp;176) - [1]Dashboard!K1/24,"TBC")</f>
        <v>TBC</v>
      </c>
      <c r="GB24" s="20"/>
      <c r="GC24" s="20" t="s">
        <v>32</v>
      </c>
      <c r="GD24" s="20" t="s">
        <v>21</v>
      </c>
      <c r="GE24" s="21">
        <f>IF(ISBLANK([1]fixtures!$K176),"",[1]fixtures!$K176)</f>
        <v>2</v>
      </c>
      <c r="GF24" s="20" t="str">
        <f>IF(ISBLANK([1]fixtures!$L176),"",":")</f>
        <v>:</v>
      </c>
      <c r="GG24" s="22">
        <f>IF(ISBLANK([1]fixtures!$L176),"",[1]fixtures!$L176)</f>
        <v>3</v>
      </c>
      <c r="GH24" s="20" t="str">
        <f>IF(ISBLANK([1]fixtures!$L176),"",IF(GE24&gt;GG24,"W",IF(GE24=GG24,"D","L")))</f>
        <v>L</v>
      </c>
      <c r="GI24" s="20"/>
      <c r="GJ24" s="20"/>
      <c r="GK24" s="18">
        <v>22</v>
      </c>
      <c r="GL24" s="19" t="s">
        <v>43</v>
      </c>
      <c r="GM24" s="157" t="str">
        <f ca="1">IFERROR(INDIRECT("fixtures!" &amp; [1]Dashboard!J1 &amp;172) - [1]Dashboard!K1/24,"TBC")</f>
        <v>TBC</v>
      </c>
      <c r="GN24" s="17"/>
      <c r="GO24" s="17" t="s">
        <v>31</v>
      </c>
      <c r="GP24" s="17" t="s">
        <v>16</v>
      </c>
      <c r="GQ24" s="18">
        <f>IF(ISBLANK([1]fixtures!$L172),"",[1]fixtures!$L172)</f>
        <v>1</v>
      </c>
      <c r="GR24" s="17" t="str">
        <f>IF(ISBLANK([1]fixtures!$L172),"",":")</f>
        <v>:</v>
      </c>
      <c r="GS24" s="19">
        <f>IF(ISBLANK([1]fixtures!$K172),"",[1]fixtures!$K172)</f>
        <v>1</v>
      </c>
      <c r="GT24" s="17" t="str">
        <f>IF(ISBLANK([1]fixtures!$L172),"",IF(GQ24&gt;GS24,"W",IF(GQ24=GS24,"D","L")))</f>
        <v>D</v>
      </c>
      <c r="GU24" s="17"/>
      <c r="GV24" s="17"/>
      <c r="GW24" s="15">
        <v>23</v>
      </c>
      <c r="GX24" s="16" t="s">
        <v>39</v>
      </c>
      <c r="GY24" s="155" t="str">
        <f ca="1">IFERROR(INDIRECT("fixtures!" &amp; [1]Dashboard!J1 &amp;177) - [1]Dashboard!K1/24,"TBC")</f>
        <v>TBC</v>
      </c>
      <c r="GZ24" s="14"/>
      <c r="HA24" s="14" t="s">
        <v>38</v>
      </c>
      <c r="HB24" s="14" t="s">
        <v>21</v>
      </c>
      <c r="HC24" s="15">
        <f>IF(ISBLANK([1]fixtures!$K177),"",[1]fixtures!$K177)</f>
        <v>2</v>
      </c>
      <c r="HD24" s="14" t="str">
        <f>IF(ISBLANK([1]fixtures!$L177),"",":")</f>
        <v>:</v>
      </c>
      <c r="HE24" s="16">
        <f>IF(ISBLANK([1]fixtures!$L177),"",[1]fixtures!$L177)</f>
        <v>1</v>
      </c>
      <c r="HF24" s="14" t="str">
        <f>IF(ISBLANK([1]fixtures!$L177),"",IF(HC24&gt;HE24,"W",IF(HC24=HE24,"D","L")))</f>
        <v>W</v>
      </c>
      <c r="HG24" s="14"/>
      <c r="HH24" s="14"/>
      <c r="HI24" s="12">
        <v>23</v>
      </c>
      <c r="HJ24" s="11" t="s">
        <v>39</v>
      </c>
      <c r="HK24" s="153" t="str">
        <f ca="1">IFERROR(INDIRECT("fixtures!" &amp; [1]Dashboard!J1 &amp;173) - [1]Dashboard!K1/24,"TBC")</f>
        <v>TBC</v>
      </c>
      <c r="HL24" s="11"/>
      <c r="HM24" s="11" t="s">
        <v>34</v>
      </c>
      <c r="HN24" s="11" t="s">
        <v>21</v>
      </c>
      <c r="HO24" s="12">
        <f>IF(ISBLANK([1]fixtures!$K173),"",[1]fixtures!$K173)</f>
        <v>2</v>
      </c>
      <c r="HP24" s="11" t="str">
        <f>IF(ISBLANK([1]fixtures!$L173),"",":")</f>
        <v>:</v>
      </c>
      <c r="HQ24" s="13">
        <f>IF(ISBLANK([1]fixtures!$L173),"",[1]fixtures!$L173)</f>
        <v>0</v>
      </c>
      <c r="HR24" s="11" t="str">
        <f>IF(ISBLANK([1]fixtures!$L173),"",IF(HO24&gt;HQ24,"W",IF(HO24=HQ24,"D","L")))</f>
        <v>W</v>
      </c>
      <c r="HS24" s="11"/>
      <c r="HT24" s="11"/>
      <c r="HU24" s="9">
        <v>24</v>
      </c>
      <c r="HV24" s="8" t="s">
        <v>18</v>
      </c>
      <c r="HW24" s="151" t="str">
        <f ca="1">IFERROR(INDIRECT("fixtures!" &amp; [1]Dashboard!J1 &amp;179) - [1]Dashboard!K1/24,"TBC")</f>
        <v>TBC</v>
      </c>
      <c r="HX24" s="8"/>
      <c r="HY24" s="8" t="s">
        <v>36</v>
      </c>
      <c r="HZ24" s="8" t="s">
        <v>21</v>
      </c>
      <c r="IA24" s="9">
        <f>IF(ISBLANK([1]fixtures!$K179),"",[1]fixtures!$K179)</f>
        <v>2</v>
      </c>
      <c r="IB24" s="8" t="str">
        <f>IF(ISBLANK([1]fixtures!$L179),"",":")</f>
        <v>:</v>
      </c>
      <c r="IC24" s="10">
        <f>IF(ISBLANK([1]fixtures!$L179),"",[1]fixtures!$L179)</f>
        <v>1</v>
      </c>
      <c r="ID24" s="8" t="str">
        <f>IF(ISBLANK([1]fixtures!$L179),"",IF(IA24&gt;IC24,"W",IF(IA24=IC24,"D","L")))</f>
        <v>W</v>
      </c>
      <c r="IE24" s="8"/>
      <c r="IF24" s="8"/>
    </row>
    <row r="25" spans="1:243" x14ac:dyDescent="0.25">
      <c r="A25" s="67">
        <v>28</v>
      </c>
      <c r="B25" s="66" t="s">
        <v>45</v>
      </c>
      <c r="C25" s="187" t="str">
        <f ca="1">IFERROR(INDIRECT("fixtures!" &amp; [1]Dashboard!J1 &amp;189) - [1]Dashboard!K1/24,"TBC")</f>
        <v>TBC</v>
      </c>
      <c r="D25" s="66"/>
      <c r="E25" s="66" t="s">
        <v>26</v>
      </c>
      <c r="F25" s="66" t="s">
        <v>21</v>
      </c>
      <c r="G25" s="67">
        <f>IF(ISBLANK([1]fixtures!$K189),"",[1]fixtures!$K189)</f>
        <v>0</v>
      </c>
      <c r="H25" s="66" t="str">
        <f>IF(ISBLANK([1]fixtures!$L189),"",":")</f>
        <v>:</v>
      </c>
      <c r="I25" s="68">
        <f>IF(ISBLANK([1]fixtures!$L189),"",[1]fixtures!$L189)</f>
        <v>2</v>
      </c>
      <c r="J25" s="66" t="str">
        <f>IF(ISBLANK([1]fixtures!$L189),"",IF(G25&gt;I25,"W",IF(G25=I25,"D","L")))</f>
        <v>L</v>
      </c>
      <c r="K25" s="66"/>
      <c r="L25" s="66"/>
      <c r="M25" s="63">
        <v>26</v>
      </c>
      <c r="N25" s="64" t="s">
        <v>40</v>
      </c>
      <c r="O25" s="185" t="str">
        <f ca="1">IFERROR(INDIRECT("fixtures!" &amp; [1]Dashboard!J1 &amp;184) - [1]Dashboard!K1/24,"TBC")</f>
        <v>TBC</v>
      </c>
      <c r="P25" s="62"/>
      <c r="Q25" s="62" t="s">
        <v>34</v>
      </c>
      <c r="R25" s="62" t="s">
        <v>16</v>
      </c>
      <c r="S25" s="63">
        <f>IF(ISBLANK([1]fixtures!$L184),"",[1]fixtures!$L184)</f>
        <v>2</v>
      </c>
      <c r="T25" s="62" t="str">
        <f>IF(ISBLANK([1]fixtures!$L184),"",":")</f>
        <v>:</v>
      </c>
      <c r="U25" s="64">
        <f>IF(ISBLANK([1]fixtures!$K184),"",[1]fixtures!$K184)</f>
        <v>3</v>
      </c>
      <c r="V25" s="62" t="str">
        <f>IF(ISBLANK([1]fixtures!$L184),"",IF(S25&gt;U25,"W",IF(S25=U25,"D","L")))</f>
        <v>L</v>
      </c>
      <c r="W25" s="62"/>
      <c r="X25" s="62"/>
      <c r="Y25" s="60">
        <v>31</v>
      </c>
      <c r="Z25" s="61" t="s">
        <v>18</v>
      </c>
      <c r="AA25" s="183" t="str">
        <f ca="1">IFERROR(INDIRECT("fixtures!" &amp; [1]Dashboard!J1 &amp;197) - [1]Dashboard!K1/24,"TBC")</f>
        <v>TBC</v>
      </c>
      <c r="AB25" s="59"/>
      <c r="AC25" s="59" t="s">
        <v>22</v>
      </c>
      <c r="AD25" s="59" t="s">
        <v>16</v>
      </c>
      <c r="AE25" s="60">
        <f>IF(ISBLANK([1]fixtures!$L197),"",[1]fixtures!$L197)</f>
        <v>1</v>
      </c>
      <c r="AF25" s="59" t="str">
        <f>IF(ISBLANK([1]fixtures!$L197),"",":")</f>
        <v>:</v>
      </c>
      <c r="AG25" s="61">
        <f>IF(ISBLANK([1]fixtures!$K197),"",[1]fixtures!$K197)</f>
        <v>3</v>
      </c>
      <c r="AH25" s="59" t="str">
        <f>IF(ISBLANK([1]fixtures!$L197),"",IF(AE25&gt;AG25,"W",IF(AE25=AG25,"D","L")))</f>
        <v>L</v>
      </c>
      <c r="AI25" s="59"/>
      <c r="AJ25" s="59"/>
      <c r="AK25" s="57">
        <v>30</v>
      </c>
      <c r="AL25" s="56" t="s">
        <v>39</v>
      </c>
      <c r="AM25" s="181" t="str">
        <f ca="1">IFERROR(INDIRECT("fixtures!" &amp; [1]Dashboard!J1 &amp;192) - [1]Dashboard!K1/24,"TBC")</f>
        <v>TBC</v>
      </c>
      <c r="AN25" s="56"/>
      <c r="AO25" s="56" t="s">
        <v>37</v>
      </c>
      <c r="AP25" s="56" t="s">
        <v>16</v>
      </c>
      <c r="AQ25" s="57">
        <f>IF(ISBLANK([1]fixtures!$L192),"",[1]fixtures!$L192)</f>
        <v>1</v>
      </c>
      <c r="AR25" s="56" t="str">
        <f>IF(ISBLANK([1]fixtures!$L192),"",":")</f>
        <v>:</v>
      </c>
      <c r="AS25" s="58">
        <f>IF(ISBLANK([1]fixtures!$K192),"",[1]fixtures!$K192)</f>
        <v>3</v>
      </c>
      <c r="AT25" s="56" t="str">
        <f>IF(ISBLANK([1]fixtures!$L192),"",IF(AQ25&gt;AS25,"W",IF(AQ25=AS25,"D","L")))</f>
        <v>L</v>
      </c>
      <c r="AU25" s="56"/>
      <c r="AV25" s="56"/>
      <c r="AW25" s="54">
        <v>28</v>
      </c>
      <c r="AX25" s="55" t="s">
        <v>45</v>
      </c>
      <c r="AY25" s="179" t="str">
        <f ca="1">IFERROR(INDIRECT("fixtures!" &amp; [1]Dashboard!J1 &amp;188) - [1]Dashboard!K1/24,"TBC")</f>
        <v>TBC</v>
      </c>
      <c r="AZ25" s="53"/>
      <c r="BA25" s="53" t="s">
        <v>22</v>
      </c>
      <c r="BB25" s="53" t="s">
        <v>21</v>
      </c>
      <c r="BC25" s="54">
        <f>IF(ISBLANK([1]fixtures!$K188),"",[1]fixtures!$K188)</f>
        <v>4</v>
      </c>
      <c r="BD25" s="53" t="str">
        <f>IF(ISBLANK([1]fixtures!$L188),"",":")</f>
        <v>:</v>
      </c>
      <c r="BE25" s="55">
        <f>IF(ISBLANK([1]fixtures!$L188),"",[1]fixtures!$L188)</f>
        <v>2</v>
      </c>
      <c r="BF25" s="53" t="str">
        <f>IF(ISBLANK([1]fixtures!$L188),"",IF(BC25&gt;BE25,"W",IF(BC25=BE25,"D","L")))</f>
        <v>W</v>
      </c>
      <c r="BG25" s="53"/>
      <c r="BH25" s="53"/>
      <c r="BI25" s="51">
        <v>26</v>
      </c>
      <c r="BJ25" s="50" t="s">
        <v>40</v>
      </c>
      <c r="BK25" s="177" t="str">
        <f ca="1">IFERROR(INDIRECT("fixtures!" &amp; [1]Dashboard!J1 &amp;183) - [1]Dashboard!K1/24,"TBC")</f>
        <v>TBC</v>
      </c>
      <c r="BL25" s="50"/>
      <c r="BM25" s="50" t="s">
        <v>17</v>
      </c>
      <c r="BN25" s="50" t="s">
        <v>21</v>
      </c>
      <c r="BO25" s="51">
        <f>IF(ISBLANK([1]fixtures!$K183),"",[1]fixtures!$K183)</f>
        <v>0</v>
      </c>
      <c r="BP25" s="50" t="str">
        <f>IF(ISBLANK([1]fixtures!$L183),"",":")</f>
        <v>:</v>
      </c>
      <c r="BQ25" s="52">
        <f>IF(ISBLANK([1]fixtures!$L183),"",[1]fixtures!$L183)</f>
        <v>2</v>
      </c>
      <c r="BR25" s="50" t="str">
        <f>IF(ISBLANK([1]fixtures!$L183),"",IF(BO25&gt;BQ25,"W",IF(BO25=BQ25,"D","L")))</f>
        <v>L</v>
      </c>
      <c r="BS25" s="50"/>
      <c r="BT25" s="50"/>
      <c r="BU25" s="48">
        <v>27</v>
      </c>
      <c r="BV25" s="49" t="s">
        <v>41</v>
      </c>
      <c r="BW25" s="175" t="str">
        <f ca="1">IFERROR(INDIRECT("fixtures!" &amp; [1]Dashboard!J1 &amp;186) - [1]Dashboard!K1/24,"TBC")</f>
        <v>TBC</v>
      </c>
      <c r="BX25" s="47"/>
      <c r="BY25" s="47" t="s">
        <v>37</v>
      </c>
      <c r="BZ25" s="47" t="s">
        <v>21</v>
      </c>
      <c r="CA25" s="48">
        <f>IF(ISBLANK([1]fixtures!$K186),"",[1]fixtures!$K186)</f>
        <v>2</v>
      </c>
      <c r="CB25" s="47" t="str">
        <f>IF(ISBLANK([1]fixtures!$L186),"",":")</f>
        <v>:</v>
      </c>
      <c r="CC25" s="49">
        <f>IF(ISBLANK([1]fixtures!$L186),"",[1]fixtures!$L186)</f>
        <v>1</v>
      </c>
      <c r="CD25" s="47" t="str">
        <f>IF(ISBLANK([1]fixtures!$L186),"",IF(CA25&gt;CC25,"W",IF(CA25=CC25,"D","L")))</f>
        <v>W</v>
      </c>
      <c r="CE25" s="47"/>
      <c r="CF25" s="47"/>
      <c r="CG25" s="45">
        <v>27</v>
      </c>
      <c r="CH25" s="46" t="s">
        <v>41</v>
      </c>
      <c r="CI25" s="173" t="str">
        <f ca="1">IFERROR(INDIRECT("fixtures!" &amp; [1]Dashboard!J1 &amp;186) - [1]Dashboard!K1/24,"TBC")</f>
        <v>TBC</v>
      </c>
      <c r="CJ25" s="44"/>
      <c r="CK25" s="44" t="s">
        <v>36</v>
      </c>
      <c r="CL25" s="44" t="s">
        <v>16</v>
      </c>
      <c r="CM25" s="45">
        <f>IF(ISBLANK([1]fixtures!$L186),"",[1]fixtures!$L186)</f>
        <v>1</v>
      </c>
      <c r="CN25" s="44" t="str">
        <f>IF(ISBLANK([1]fixtures!$L186),"",":")</f>
        <v>:</v>
      </c>
      <c r="CO25" s="46">
        <f>IF(ISBLANK([1]fixtures!$K186),"",[1]fixtures!$K186)</f>
        <v>2</v>
      </c>
      <c r="CP25" s="44" t="str">
        <f>IF(ISBLANK([1]fixtures!$L186),"",IF(CM25&gt;CO25,"W",IF(CM25=CO25,"D","L")))</f>
        <v>L</v>
      </c>
      <c r="CQ25" s="44"/>
      <c r="CR25" s="44"/>
      <c r="CS25" s="42">
        <v>27</v>
      </c>
      <c r="CT25" s="41" t="s">
        <v>41</v>
      </c>
      <c r="CU25" s="171" t="str">
        <f ca="1">IFERROR(INDIRECT("fixtures!" &amp; [1]Dashboard!J1 &amp;187) - [1]Dashboard!K1/24,"TBC")</f>
        <v>TBC</v>
      </c>
      <c r="CV25" s="41"/>
      <c r="CW25" s="41" t="s">
        <v>19</v>
      </c>
      <c r="CX25" s="41" t="s">
        <v>21</v>
      </c>
      <c r="CY25" s="42">
        <f>IF(ISBLANK([1]fixtures!$K187),"",[1]fixtures!$K187)</f>
        <v>1</v>
      </c>
      <c r="CZ25" s="41" t="str">
        <f>IF(ISBLANK([1]fixtures!$L187),"",":")</f>
        <v>:</v>
      </c>
      <c r="DA25" s="43">
        <f>IF(ISBLANK([1]fixtures!$L187),"",[1]fixtures!$L187)</f>
        <v>3</v>
      </c>
      <c r="DB25" s="41" t="str">
        <f>IF(ISBLANK([1]fixtures!$L187),"",IF(CY25&gt;DA25,"W",IF(CY25=DA25,"D","L")))</f>
        <v>L</v>
      </c>
      <c r="DC25" s="41"/>
      <c r="DD25" s="41"/>
      <c r="DE25" s="39">
        <v>26</v>
      </c>
      <c r="DF25" s="40" t="s">
        <v>40</v>
      </c>
      <c r="DG25" s="169" t="str">
        <f ca="1">IFERROR(INDIRECT("fixtures!" &amp; [1]Dashboard!J1 &amp;181) - [1]Dashboard!K1/24,"TBC")</f>
        <v>TBC</v>
      </c>
      <c r="DH25" s="38"/>
      <c r="DI25" s="38" t="s">
        <v>32</v>
      </c>
      <c r="DJ25" s="38" t="s">
        <v>16</v>
      </c>
      <c r="DK25" s="39">
        <f>IF(ISBLANK([1]fixtures!$L181),"",[1]fixtures!$L181)</f>
        <v>0</v>
      </c>
      <c r="DL25" s="38" t="str">
        <f>IF(ISBLANK([1]fixtures!$L181),"",":")</f>
        <v>:</v>
      </c>
      <c r="DM25" s="40">
        <f>IF(ISBLANK([1]fixtures!$K181),"",[1]fixtures!$K181)</f>
        <v>3</v>
      </c>
      <c r="DN25" s="38" t="str">
        <f>IF(ISBLANK([1]fixtures!$L181),"",IF(DK25&gt;DM25,"W",IF(DK25=DM25,"D","L")))</f>
        <v>L</v>
      </c>
      <c r="DO25" s="38"/>
      <c r="DP25" s="38"/>
      <c r="DQ25" s="36">
        <v>26</v>
      </c>
      <c r="DR25" s="35" t="s">
        <v>40</v>
      </c>
      <c r="DS25" s="167" t="str">
        <f ca="1">IFERROR(INDIRECT("fixtures!" &amp; [1]Dashboard!J1 &amp;183) - [1]Dashboard!K1/24,"TBC")</f>
        <v>TBC</v>
      </c>
      <c r="DT25" s="35"/>
      <c r="DU25" s="35" t="s">
        <v>23</v>
      </c>
      <c r="DV25" s="35" t="s">
        <v>16</v>
      </c>
      <c r="DW25" s="36">
        <f>IF(ISBLANK([1]fixtures!$L183),"",[1]fixtures!$L183)</f>
        <v>2</v>
      </c>
      <c r="DX25" s="35" t="str">
        <f>IF(ISBLANK([1]fixtures!$L183),"",":")</f>
        <v>:</v>
      </c>
      <c r="DY25" s="37">
        <f>IF(ISBLANK([1]fixtures!$K183),"",[1]fixtures!$K183)</f>
        <v>0</v>
      </c>
      <c r="DZ25" s="35" t="str">
        <f>IF(ISBLANK([1]fixtures!$L183),"",IF(DW25&gt;DY25,"W",IF(DW25=DY25,"D","L")))</f>
        <v>W</v>
      </c>
      <c r="EA25" s="35"/>
      <c r="EB25" s="35"/>
      <c r="EC25" s="33">
        <v>30</v>
      </c>
      <c r="ED25" s="32" t="s">
        <v>39</v>
      </c>
      <c r="EE25" s="190" t="str">
        <f ca="1">IFERROR(INDIRECT("fixtures!" &amp; [1]Dashboard!J1 &amp;190) - [1]Dashboard!K1/24,"TBC")</f>
        <v>TBC</v>
      </c>
      <c r="EF25" s="32"/>
      <c r="EG25" s="32" t="s">
        <v>36</v>
      </c>
      <c r="EH25" s="32" t="s">
        <v>21</v>
      </c>
      <c r="EI25" s="33">
        <f>IF(ISBLANK([1]fixtures!$K190),"",[1]fixtures!$K190)</f>
        <v>2</v>
      </c>
      <c r="EJ25" s="32" t="str">
        <f>IF(ISBLANK([1]fixtures!$L190),"",":")</f>
        <v>:</v>
      </c>
      <c r="EK25" s="34">
        <f>IF(ISBLANK([1]fixtures!$L190),"",[1]fixtures!$L190)</f>
        <v>3</v>
      </c>
      <c r="EL25" s="32" t="str">
        <f>IF(ISBLANK([1]fixtures!$L190),"",IF(EI25&gt;EK25,"W",IF(EI25=EK25,"D","L")))</f>
        <v>L</v>
      </c>
      <c r="EM25" s="32"/>
      <c r="EN25" s="32"/>
      <c r="EO25" s="30">
        <v>30</v>
      </c>
      <c r="EP25" s="31" t="s">
        <v>39</v>
      </c>
      <c r="EQ25" s="164" t="str">
        <f ca="1">IFERROR(INDIRECT("fixtures!" &amp; [1]Dashboard!J1 &amp;193) - [1]Dashboard!K1/24,"TBC")</f>
        <v>TBC</v>
      </c>
      <c r="ER25" s="29"/>
      <c r="ES25" s="29" t="s">
        <v>20</v>
      </c>
      <c r="ET25" s="29" t="s">
        <v>21</v>
      </c>
      <c r="EU25" s="30">
        <f>IF(ISBLANK([1]fixtures!$K193),"",[1]fixtures!$K193)</f>
        <v>2</v>
      </c>
      <c r="EV25" s="29" t="str">
        <f>IF(ISBLANK([1]fixtures!$L193),"",":")</f>
        <v>:</v>
      </c>
      <c r="EW25" s="31">
        <f>IF(ISBLANK([1]fixtures!$L193),"",[1]fixtures!$L193)</f>
        <v>0</v>
      </c>
      <c r="EX25" s="29" t="str">
        <f>IF(ISBLANK([1]fixtures!$L193),"",IF(EU25&gt;EW25,"W",IF(EU25=EW25,"D","L")))</f>
        <v>W</v>
      </c>
      <c r="EY25" s="29"/>
      <c r="EZ25" s="29"/>
      <c r="FA25" s="27">
        <v>26</v>
      </c>
      <c r="FB25" s="26" t="s">
        <v>40</v>
      </c>
      <c r="FC25" s="189" t="str">
        <f ca="1">IFERROR(INDIRECT("fixtures!" &amp; [1]Dashboard!J1 &amp;184) - [1]Dashboard!K1/24,"TBC")</f>
        <v>TBC</v>
      </c>
      <c r="FD25" s="26"/>
      <c r="FE25" s="26" t="s">
        <v>31</v>
      </c>
      <c r="FF25" s="26" t="s">
        <v>21</v>
      </c>
      <c r="FG25" s="27">
        <f>IF(ISBLANK([1]fixtures!$K184),"",[1]fixtures!$K184)</f>
        <v>3</v>
      </c>
      <c r="FH25" s="26" t="str">
        <f>IF(ISBLANK([1]fixtures!$L184),"",":")</f>
        <v>:</v>
      </c>
      <c r="FI25" s="28">
        <f>IF(ISBLANK([1]fixtures!$L184),"",[1]fixtures!$L184)</f>
        <v>2</v>
      </c>
      <c r="FJ25" s="26" t="str">
        <f>IF(ISBLANK([1]fixtures!$L184),"",IF(FG25&gt;FI25,"W",IF(FG25=FI25,"D","L")))</f>
        <v>W</v>
      </c>
      <c r="FK25" s="26"/>
      <c r="FL25" s="26"/>
      <c r="FM25" s="24">
        <v>26</v>
      </c>
      <c r="FN25" s="25" t="s">
        <v>40</v>
      </c>
      <c r="FO25" s="161" t="str">
        <f ca="1">IFERROR(INDIRECT("fixtures!" &amp; [1]Dashboard!J1 &amp;180) - [1]Dashboard!K1/24,"TBC")</f>
        <v>TBC</v>
      </c>
      <c r="FP25" s="23"/>
      <c r="FQ25" s="23" t="s">
        <v>33</v>
      </c>
      <c r="FR25" s="23" t="s">
        <v>21</v>
      </c>
      <c r="FS25" s="24">
        <f>IF(ISBLANK([1]fixtures!$K180),"",[1]fixtures!$K180)</f>
        <v>1</v>
      </c>
      <c r="FT25" s="23" t="str">
        <f>IF(ISBLANK([1]fixtures!$L180),"",":")</f>
        <v>:</v>
      </c>
      <c r="FU25" s="25">
        <f>IF(ISBLANK([1]fixtures!$L180),"",[1]fixtures!$L180)</f>
        <v>3</v>
      </c>
      <c r="FV25" s="23" t="str">
        <f>IF(ISBLANK([1]fixtures!$L180),"",IF(FS25&gt;FU25,"W",IF(FS25=FU25,"D","L")))</f>
        <v>L</v>
      </c>
      <c r="FW25" s="23"/>
      <c r="FX25" s="23"/>
      <c r="FY25" s="21">
        <v>26</v>
      </c>
      <c r="FZ25" s="22" t="s">
        <v>40</v>
      </c>
      <c r="GA25" s="159" t="str">
        <f ca="1">IFERROR(INDIRECT("fixtures!" &amp; [1]Dashboard!J1 &amp;180) - [1]Dashboard!K1/24,"TBC")</f>
        <v>TBC</v>
      </c>
      <c r="GB25" s="20"/>
      <c r="GC25" s="20" t="s">
        <v>35</v>
      </c>
      <c r="GD25" s="20" t="s">
        <v>16</v>
      </c>
      <c r="GE25" s="21">
        <f>IF(ISBLANK([1]fixtures!$L180),"",[1]fixtures!$L180)</f>
        <v>3</v>
      </c>
      <c r="GF25" s="20" t="str">
        <f>IF(ISBLANK([1]fixtures!$L180),"",":")</f>
        <v>:</v>
      </c>
      <c r="GG25" s="22">
        <f>IF(ISBLANK([1]fixtures!$K180),"",[1]fixtures!$K180)</f>
        <v>1</v>
      </c>
      <c r="GH25" s="20" t="str">
        <f>IF(ISBLANK([1]fixtures!$L180),"",IF(GE25&gt;GG25,"W",IF(GE25=GG25,"D","L")))</f>
        <v>W</v>
      </c>
      <c r="GI25" s="20"/>
      <c r="GJ25" s="20"/>
      <c r="GK25" s="18">
        <v>26</v>
      </c>
      <c r="GL25" s="19" t="s">
        <v>40</v>
      </c>
      <c r="GM25" s="157" t="str">
        <f ca="1">IFERROR(INDIRECT("fixtures!" &amp; [1]Dashboard!J1 &amp;182) - [1]Dashboard!K1/24,"TBC")</f>
        <v>TBC</v>
      </c>
      <c r="GN25" s="17"/>
      <c r="GO25" s="17" t="s">
        <v>29</v>
      </c>
      <c r="GP25" s="17" t="s">
        <v>21</v>
      </c>
      <c r="GQ25" s="18">
        <f>IF(ISBLANK([1]fixtures!$K182),"",[1]fixtures!$K182)</f>
        <v>2</v>
      </c>
      <c r="GR25" s="17" t="str">
        <f>IF(ISBLANK([1]fixtures!$L182),"",":")</f>
        <v>:</v>
      </c>
      <c r="GS25" s="19">
        <f>IF(ISBLANK([1]fixtures!$L182),"",[1]fixtures!$L182)</f>
        <v>3</v>
      </c>
      <c r="GT25" s="17" t="str">
        <f>IF(ISBLANK([1]fixtures!$L182),"",IF(GQ25&gt;GS25,"W",IF(GQ25=GS25,"D","L")))</f>
        <v>L</v>
      </c>
      <c r="GU25" s="17"/>
      <c r="GV25" s="17"/>
      <c r="GW25" s="15">
        <v>28</v>
      </c>
      <c r="GX25" s="16" t="s">
        <v>45</v>
      </c>
      <c r="GY25" s="155" t="str">
        <f ca="1">IFERROR(INDIRECT("fixtures!" &amp; [1]Dashboard!J1 &amp;188) - [1]Dashboard!K1/24,"TBC")</f>
        <v>TBC</v>
      </c>
      <c r="GZ25" s="14"/>
      <c r="HA25" s="14" t="s">
        <v>25</v>
      </c>
      <c r="HB25" s="14" t="s">
        <v>16</v>
      </c>
      <c r="HC25" s="15">
        <f>IF(ISBLANK([1]fixtures!$L188),"",[1]fixtures!$L188)</f>
        <v>2</v>
      </c>
      <c r="HD25" s="14" t="str">
        <f>IF(ISBLANK([1]fixtures!$L188),"",":")</f>
        <v>:</v>
      </c>
      <c r="HE25" s="16">
        <f>IF(ISBLANK([1]fixtures!$K188),"",[1]fixtures!$K188)</f>
        <v>4</v>
      </c>
      <c r="HF25" s="14" t="str">
        <f>IF(ISBLANK([1]fixtures!$L188),"",IF(HC25&gt;HE25,"W",IF(HC25=HE25,"D","L")))</f>
        <v>L</v>
      </c>
      <c r="HG25" s="14"/>
      <c r="HH25" s="14"/>
      <c r="HI25" s="12">
        <v>28</v>
      </c>
      <c r="HJ25" s="13" t="s">
        <v>45</v>
      </c>
      <c r="HK25" s="153" t="str">
        <f ca="1">IFERROR(INDIRECT("fixtures!" &amp; [1]Dashboard!J1 &amp;189) - [1]Dashboard!K1/24,"TBC")</f>
        <v>TBC</v>
      </c>
      <c r="HL25" s="11"/>
      <c r="HM25" s="11" t="s">
        <v>30</v>
      </c>
      <c r="HN25" s="11" t="s">
        <v>16</v>
      </c>
      <c r="HO25" s="12">
        <f>IF(ISBLANK([1]fixtures!$L189),"",[1]fixtures!$L189)</f>
        <v>2</v>
      </c>
      <c r="HP25" s="11" t="str">
        <f>IF(ISBLANK([1]fixtures!$L189),"",":")</f>
        <v>:</v>
      </c>
      <c r="HQ25" s="13">
        <f>IF(ISBLANK([1]fixtures!$K189),"",[1]fixtures!$K189)</f>
        <v>0</v>
      </c>
      <c r="HR25" s="11" t="str">
        <f>IF(ISBLANK([1]fixtures!$L189),"",IF(HO25&gt;HQ25,"W",IF(HO25=HQ25,"D","L")))</f>
        <v>W</v>
      </c>
      <c r="HS25" s="11"/>
      <c r="HT25" s="11"/>
      <c r="HU25" s="9">
        <v>27</v>
      </c>
      <c r="HV25" s="8" t="s">
        <v>41</v>
      </c>
      <c r="HW25" s="151" t="str">
        <f ca="1">IFERROR(INDIRECT("fixtures!" &amp; [1]Dashboard!J1 &amp;185) - [1]Dashboard!K1/24,"TBC")</f>
        <v>TBC</v>
      </c>
      <c r="HX25" s="8"/>
      <c r="HY25" s="8" t="s">
        <v>24</v>
      </c>
      <c r="HZ25" s="8" t="s">
        <v>16</v>
      </c>
      <c r="IA25" s="9">
        <f>IF(ISBLANK([1]fixtures!$L185),"",[1]fixtures!$L185)</f>
        <v>4</v>
      </c>
      <c r="IB25" s="8" t="str">
        <f>IF(ISBLANK([1]fixtures!$L185),"",":")</f>
        <v>:</v>
      </c>
      <c r="IC25" s="10">
        <f>IF(ISBLANK([1]fixtures!$K185),"",[1]fixtures!$K185)</f>
        <v>1</v>
      </c>
      <c r="ID25" s="8" t="str">
        <f>IF(ISBLANK([1]fixtures!$L185),"",IF(IA25&gt;IC25,"W",IF(IA25=IC25,"D","L")))</f>
        <v>W</v>
      </c>
      <c r="IE25" s="8"/>
      <c r="IF25" s="8"/>
    </row>
    <row r="26" spans="1:243" x14ac:dyDescent="0.25">
      <c r="A26" s="67">
        <v>31</v>
      </c>
      <c r="B26" s="66" t="s">
        <v>18</v>
      </c>
      <c r="C26" s="187" t="str">
        <f ca="1">IFERROR(INDIRECT("fixtures!" &amp; [1]Dashboard!J1 &amp;196) - [1]Dashboard!K1/24,"TBC")</f>
        <v>TBC</v>
      </c>
      <c r="D26" s="66"/>
      <c r="E26" s="66" t="s">
        <v>27</v>
      </c>
      <c r="F26" s="66" t="s">
        <v>16</v>
      </c>
      <c r="G26" s="67">
        <f>IF(ISBLANK([1]fixtures!$L196),"",[1]fixtures!$L196)</f>
        <v>1</v>
      </c>
      <c r="H26" s="66" t="str">
        <f>IF(ISBLANK([1]fixtures!$L196),"",":")</f>
        <v>:</v>
      </c>
      <c r="I26" s="68">
        <f>IF(ISBLANK([1]fixtures!$K196),"",[1]fixtures!$K196)</f>
        <v>2</v>
      </c>
      <c r="J26" s="66" t="str">
        <f>IF(ISBLANK([1]fixtures!$L196),"",IF(G26&gt;I26,"W",IF(G26=I26,"D","L")))</f>
        <v>L</v>
      </c>
      <c r="K26" s="66"/>
      <c r="L26" s="66"/>
      <c r="M26" s="63">
        <v>30</v>
      </c>
      <c r="N26" s="62" t="s">
        <v>39</v>
      </c>
      <c r="O26" s="185" t="str">
        <f ca="1">IFERROR(INDIRECT("fixtures!" &amp; [1]Dashboard!J1 &amp;191) - [1]Dashboard!K1/24,"TBC")</f>
        <v>TBC</v>
      </c>
      <c r="P26" s="62"/>
      <c r="Q26" s="62" t="s">
        <v>23</v>
      </c>
      <c r="R26" s="62" t="s">
        <v>21</v>
      </c>
      <c r="S26" s="63">
        <f>IF(ISBLANK([1]fixtures!$K191),"",[1]fixtures!$K191)</f>
        <v>3</v>
      </c>
      <c r="T26" s="62" t="str">
        <f>IF(ISBLANK([1]fixtures!$L191),"",":")</f>
        <v>:</v>
      </c>
      <c r="U26" s="64">
        <f>IF(ISBLANK([1]fixtures!$L191),"",[1]fixtures!$L191)</f>
        <v>2</v>
      </c>
      <c r="V26" s="62" t="str">
        <f>IF(ISBLANK([1]fixtures!$L191),"",IF(S26&gt;U26,"W",IF(S26=U26,"D","L")))</f>
        <v>W</v>
      </c>
      <c r="W26" s="62"/>
      <c r="X26" s="62"/>
      <c r="Y26" s="108" t="s">
        <v>49</v>
      </c>
      <c r="Z26" s="59"/>
      <c r="AA26" s="183"/>
      <c r="AB26" s="59"/>
      <c r="AC26" s="59"/>
      <c r="AD26" s="59"/>
      <c r="AE26" s="60"/>
      <c r="AF26" s="59"/>
      <c r="AG26" s="61"/>
      <c r="AH26" s="59"/>
      <c r="AI26" s="59"/>
      <c r="AJ26" s="59"/>
      <c r="AK26" s="85" t="s">
        <v>49</v>
      </c>
      <c r="AL26" s="56"/>
      <c r="AM26" s="181"/>
      <c r="AN26" s="56"/>
      <c r="AO26" s="56"/>
      <c r="AP26" s="56"/>
      <c r="AQ26" s="57"/>
      <c r="AR26" s="56"/>
      <c r="AS26" s="58"/>
      <c r="AT26" s="56"/>
      <c r="AU26" s="56"/>
      <c r="AV26" s="56"/>
      <c r="AW26" s="106" t="s">
        <v>49</v>
      </c>
      <c r="AX26" s="55"/>
      <c r="AY26" s="179"/>
      <c r="AZ26" s="53"/>
      <c r="BA26" s="53"/>
      <c r="BB26" s="53"/>
      <c r="BC26" s="54"/>
      <c r="BD26" s="53"/>
      <c r="BE26" s="55"/>
      <c r="BF26" s="53"/>
      <c r="BG26" s="53"/>
      <c r="BH26" s="53"/>
      <c r="BI26" s="51">
        <v>30</v>
      </c>
      <c r="BJ26" s="50" t="s">
        <v>39</v>
      </c>
      <c r="BK26" s="177" t="str">
        <f ca="1">IFERROR(INDIRECT("fixtures!" &amp; [1]Dashboard!J1 &amp;191) - [1]Dashboard!K1/24,"TBC")</f>
        <v>TBC</v>
      </c>
      <c r="BL26" s="50"/>
      <c r="BM26" s="50" t="s">
        <v>31</v>
      </c>
      <c r="BN26" s="50" t="s">
        <v>16</v>
      </c>
      <c r="BO26" s="51">
        <f>IF(ISBLANK([1]fixtures!$L191),"",[1]fixtures!$L191)</f>
        <v>2</v>
      </c>
      <c r="BP26" s="50" t="str">
        <f>IF(ISBLANK([1]fixtures!$L191),"",":")</f>
        <v>:</v>
      </c>
      <c r="BQ26" s="52">
        <f>IF(ISBLANK([1]fixtures!$K191),"",[1]fixtures!$K191)</f>
        <v>3</v>
      </c>
      <c r="BR26" s="50" t="str">
        <f>IF(ISBLANK([1]fixtures!$L191),"",IF(BO26&gt;BQ26,"W",IF(BO26=BQ26,"D","L")))</f>
        <v>L</v>
      </c>
      <c r="BS26" s="50"/>
      <c r="BT26" s="50"/>
      <c r="BU26" s="48">
        <v>30</v>
      </c>
      <c r="BV26" s="47" t="s">
        <v>39</v>
      </c>
      <c r="BW26" s="175" t="str">
        <f ca="1">IFERROR(INDIRECT("fixtures!" &amp; [1]Dashboard!J1 &amp;190) - [1]Dashboard!K1/24,"TBC")</f>
        <v>TBC</v>
      </c>
      <c r="BX26" s="47"/>
      <c r="BY26" s="47" t="s">
        <v>29</v>
      </c>
      <c r="BZ26" s="47" t="s">
        <v>16</v>
      </c>
      <c r="CA26" s="48">
        <f>IF(ISBLANK([1]fixtures!$L190),"",[1]fixtures!$L190)</f>
        <v>3</v>
      </c>
      <c r="CB26" s="47" t="str">
        <f>IF(ISBLANK([1]fixtures!$L190),"",":")</f>
        <v>:</v>
      </c>
      <c r="CC26" s="49">
        <f>IF(ISBLANK([1]fixtures!$K190),"",[1]fixtures!$K190)</f>
        <v>2</v>
      </c>
      <c r="CD26" s="47" t="str">
        <f>IF(ISBLANK([1]fixtures!$L190),"",IF(CA26&gt;CC26,"W",IF(CA26=CC26,"D","L")))</f>
        <v>W</v>
      </c>
      <c r="CE26" s="47"/>
      <c r="CF26" s="47"/>
      <c r="CG26" s="45">
        <v>30</v>
      </c>
      <c r="CH26" s="46" t="s">
        <v>39</v>
      </c>
      <c r="CI26" s="173" t="str">
        <f ca="1">IFERROR(INDIRECT("fixtures!" &amp; [1]Dashboard!J1 &amp;192) - [1]Dashboard!K1/24,"TBC")</f>
        <v>TBC</v>
      </c>
      <c r="CJ26" s="44"/>
      <c r="CK26" s="44" t="s">
        <v>24</v>
      </c>
      <c r="CL26" s="44" t="s">
        <v>21</v>
      </c>
      <c r="CM26" s="45">
        <f>IF(ISBLANK([1]fixtures!$K192),"",[1]fixtures!$K192)</f>
        <v>3</v>
      </c>
      <c r="CN26" s="44" t="str">
        <f>IF(ISBLANK([1]fixtures!$L192),"",":")</f>
        <v>:</v>
      </c>
      <c r="CO26" s="46">
        <f>IF(ISBLANK([1]fixtures!$L192),"",[1]fixtures!$L192)</f>
        <v>1</v>
      </c>
      <c r="CP26" s="44" t="str">
        <f>IF(ISBLANK([1]fixtures!$L192),"",IF(CM26&gt;CO26,"W",IF(CM26=CO26,"D","L")))</f>
        <v>W</v>
      </c>
      <c r="CQ26" s="44"/>
      <c r="CR26" s="44"/>
      <c r="CS26" s="42">
        <v>30</v>
      </c>
      <c r="CT26" s="43" t="s">
        <v>39</v>
      </c>
      <c r="CU26" s="171" t="str">
        <f ca="1">IFERROR(INDIRECT("fixtures!" &amp; [1]Dashboard!J1 &amp;194) - [1]Dashboard!K1/24,"TBC")</f>
        <v>TBC</v>
      </c>
      <c r="CV26" s="41"/>
      <c r="CW26" s="41" t="s">
        <v>28</v>
      </c>
      <c r="CX26" s="41" t="s">
        <v>16</v>
      </c>
      <c r="CY26" s="42">
        <f>IF(ISBLANK([1]fixtures!$L194),"",[1]fixtures!$L194)</f>
        <v>0</v>
      </c>
      <c r="CZ26" s="41" t="str">
        <f>IF(ISBLANK([1]fixtures!$L194),"",":")</f>
        <v>:</v>
      </c>
      <c r="DA26" s="43">
        <f>IF(ISBLANK([1]fixtures!$K194),"",[1]fixtures!$K194)</f>
        <v>3</v>
      </c>
      <c r="DB26" s="41" t="str">
        <f>IF(ISBLANK([1]fixtures!$L194),"",IF(CY26&gt;DA26,"W",IF(CY26=DA26,"D","L")))</f>
        <v>L</v>
      </c>
      <c r="DC26" s="41"/>
      <c r="DD26" s="41"/>
      <c r="DE26" s="39">
        <v>31</v>
      </c>
      <c r="DF26" s="40" t="s">
        <v>18</v>
      </c>
      <c r="DG26" s="169" t="str">
        <f ca="1">IFERROR(INDIRECT("fixtures!" &amp; [1]Dashboard!J1 &amp;196) - [1]Dashboard!K1/24,"TBC")</f>
        <v>TBC</v>
      </c>
      <c r="DH26" s="38"/>
      <c r="DI26" s="38" t="s">
        <v>30</v>
      </c>
      <c r="DJ26" s="38" t="s">
        <v>21</v>
      </c>
      <c r="DK26" s="39">
        <f>IF(ISBLANK([1]fixtures!$K196),"",[1]fixtures!$K196)</f>
        <v>2</v>
      </c>
      <c r="DL26" s="38" t="str">
        <f>IF(ISBLANK([1]fixtures!$L196),"",":")</f>
        <v>:</v>
      </c>
      <c r="DM26" s="40">
        <f>IF(ISBLANK([1]fixtures!$L196),"",[1]fixtures!$L196)</f>
        <v>1</v>
      </c>
      <c r="DN26" s="38" t="str">
        <f>IF(ISBLANK([1]fixtures!$L196),"",IF(DK26&gt;DM26,"W",IF(DK26=DM26,"D","L")))</f>
        <v>W</v>
      </c>
      <c r="DO26" s="38"/>
      <c r="DP26" s="38"/>
      <c r="DQ26" s="78" t="s">
        <v>49</v>
      </c>
      <c r="DR26" s="37"/>
      <c r="DS26" s="167"/>
      <c r="DT26" s="35"/>
      <c r="DU26" s="35"/>
      <c r="DV26" s="35"/>
      <c r="DW26" s="36"/>
      <c r="DX26" s="35"/>
      <c r="DY26" s="37"/>
      <c r="DZ26" s="35"/>
      <c r="EA26" s="35"/>
      <c r="EB26" s="35"/>
      <c r="EC26" s="99" t="s">
        <v>49</v>
      </c>
      <c r="ED26" s="32"/>
      <c r="EE26" s="190"/>
      <c r="EF26" s="32"/>
      <c r="EG26" s="32"/>
      <c r="EH26" s="32"/>
      <c r="EI26" s="33"/>
      <c r="EJ26" s="32"/>
      <c r="EK26" s="34"/>
      <c r="EL26" s="32"/>
      <c r="EM26" s="32"/>
      <c r="EN26" s="32"/>
      <c r="EO26" s="98" t="s">
        <v>49</v>
      </c>
      <c r="EP26" s="31"/>
      <c r="EQ26" s="164"/>
      <c r="ER26" s="29"/>
      <c r="ES26" s="29"/>
      <c r="ET26" s="29"/>
      <c r="EU26" s="30"/>
      <c r="EV26" s="29"/>
      <c r="EW26" s="31"/>
      <c r="EX26" s="29"/>
      <c r="EY26" s="29"/>
      <c r="EZ26" s="29"/>
      <c r="FA26" s="27">
        <v>30</v>
      </c>
      <c r="FB26" s="26" t="s">
        <v>39</v>
      </c>
      <c r="FC26" s="189" t="str">
        <f ca="1">IFERROR(INDIRECT("fixtures!" &amp; [1]Dashboard!J1 &amp;195) - [1]Dashboard!K1/24,"TBC")</f>
        <v>TBC</v>
      </c>
      <c r="FD26" s="26"/>
      <c r="FE26" s="26" t="s">
        <v>33</v>
      </c>
      <c r="FF26" s="26" t="s">
        <v>16</v>
      </c>
      <c r="FG26" s="27">
        <f>IF(ISBLANK([1]fixtures!$L195),"",[1]fixtures!$L195)</f>
        <v>1</v>
      </c>
      <c r="FH26" s="26" t="str">
        <f>IF(ISBLANK([1]fixtures!$L195),"",":")</f>
        <v>:</v>
      </c>
      <c r="FI26" s="28">
        <f>IF(ISBLANK([1]fixtures!$K195),"",[1]fixtures!$K195)</f>
        <v>2</v>
      </c>
      <c r="FJ26" s="26" t="str">
        <f>IF(ISBLANK([1]fixtures!$L195),"",IF(FG26&gt;FI26,"W",IF(FG26=FI26,"D","L")))</f>
        <v>L</v>
      </c>
      <c r="FK26" s="26"/>
      <c r="FL26" s="26"/>
      <c r="FM26" s="96" t="s">
        <v>49</v>
      </c>
      <c r="FN26" s="23"/>
      <c r="FO26" s="161"/>
      <c r="FP26" s="23"/>
      <c r="FQ26" s="23"/>
      <c r="FR26" s="23"/>
      <c r="FS26" s="24"/>
      <c r="FT26" s="23"/>
      <c r="FU26" s="25"/>
      <c r="FV26" s="23"/>
      <c r="FW26" s="23"/>
      <c r="FX26" s="23"/>
      <c r="FY26" s="21">
        <v>30</v>
      </c>
      <c r="FZ26" s="20" t="s">
        <v>39</v>
      </c>
      <c r="GA26" s="159" t="str">
        <f ca="1">IFERROR(INDIRECT("fixtures!" &amp; [1]Dashboard!J1 &amp;195) - [1]Dashboard!K1/24,"TBC")</f>
        <v>TBC</v>
      </c>
      <c r="GB26" s="20"/>
      <c r="GC26" s="20" t="s">
        <v>34</v>
      </c>
      <c r="GD26" s="20" t="s">
        <v>21</v>
      </c>
      <c r="GE26" s="21">
        <f>IF(ISBLANK([1]fixtures!$K195),"",[1]fixtures!$K195)</f>
        <v>2</v>
      </c>
      <c r="GF26" s="20" t="str">
        <f>IF(ISBLANK([1]fixtures!$L195),"",":")</f>
        <v>:</v>
      </c>
      <c r="GG26" s="22">
        <f>IF(ISBLANK([1]fixtures!$L195),"",[1]fixtures!$L195)</f>
        <v>1</v>
      </c>
      <c r="GH26" s="20" t="str">
        <f>IF(ISBLANK([1]fixtures!$L195),"",IF(GE26&gt;GG26,"W",IF(GE26=GG26,"D","L")))</f>
        <v>W</v>
      </c>
      <c r="GI26" s="20"/>
      <c r="GJ26" s="20"/>
      <c r="GK26" s="18">
        <v>30</v>
      </c>
      <c r="GL26" s="17" t="s">
        <v>39</v>
      </c>
      <c r="GM26" s="157" t="str">
        <f ca="1">IFERROR(INDIRECT("fixtures!" &amp; [1]Dashboard!J1 &amp;193) - [1]Dashboard!K1/24,"TBC")</f>
        <v>TBC</v>
      </c>
      <c r="GN26" s="17"/>
      <c r="GO26" s="17" t="s">
        <v>19</v>
      </c>
      <c r="GP26" s="17" t="s">
        <v>16</v>
      </c>
      <c r="GQ26" s="18">
        <f>IF(ISBLANK([1]fixtures!$L193),"",[1]fixtures!$L193)</f>
        <v>0</v>
      </c>
      <c r="GR26" s="17" t="str">
        <f>IF(ISBLANK([1]fixtures!$L193),"",":")</f>
        <v>:</v>
      </c>
      <c r="GS26" s="19">
        <f>IF(ISBLANK([1]fixtures!$K193),"",[1]fixtures!$K193)</f>
        <v>2</v>
      </c>
      <c r="GT26" s="17" t="str">
        <f>IF(ISBLANK([1]fixtures!$L193),"",IF(GQ26&gt;GS26,"W",IF(GQ26=GS26,"D","L")))</f>
        <v>L</v>
      </c>
      <c r="GU26" s="17"/>
      <c r="GV26" s="17"/>
      <c r="GW26" s="15">
        <v>31</v>
      </c>
      <c r="GX26" s="16" t="s">
        <v>18</v>
      </c>
      <c r="GY26" s="155" t="str">
        <f ca="1">IFERROR(INDIRECT("fixtures!" &amp; [1]Dashboard!J1 &amp;197) - [1]Dashboard!K1/24,"TBC")</f>
        <v>TBC</v>
      </c>
      <c r="GZ26" s="14"/>
      <c r="HA26" s="14" t="s">
        <v>32</v>
      </c>
      <c r="HB26" s="14" t="s">
        <v>21</v>
      </c>
      <c r="HC26" s="15">
        <f>IF(ISBLANK([1]fixtures!$K197),"",[1]fixtures!$K197)</f>
        <v>3</v>
      </c>
      <c r="HD26" s="14" t="str">
        <f>IF(ISBLANK([1]fixtures!$L197),"",":")</f>
        <v>:</v>
      </c>
      <c r="HE26" s="16">
        <f>IF(ISBLANK([1]fixtures!$L197),"",[1]fixtures!$L197)</f>
        <v>1</v>
      </c>
      <c r="HF26" s="14" t="str">
        <f>IF(ISBLANK([1]fixtures!$L197),"",IF(HC26&gt;HE26,"W",IF(HC26=HE26,"D","L")))</f>
        <v>W</v>
      </c>
      <c r="HG26" s="14"/>
      <c r="HH26" s="14"/>
      <c r="HI26" s="92" t="s">
        <v>49</v>
      </c>
      <c r="HJ26" s="11"/>
      <c r="HK26" s="153"/>
      <c r="HL26" s="11"/>
      <c r="HM26" s="11"/>
      <c r="HN26" s="11"/>
      <c r="HO26" s="12"/>
      <c r="HP26" s="11"/>
      <c r="HQ26" s="13"/>
      <c r="HR26" s="11"/>
      <c r="HS26" s="11"/>
      <c r="HT26" s="11"/>
      <c r="HU26" s="9">
        <v>30</v>
      </c>
      <c r="HV26" s="10" t="s">
        <v>39</v>
      </c>
      <c r="HW26" s="151" t="str">
        <f ca="1">IFERROR(INDIRECT("fixtures!" &amp; [1]Dashboard!J1 &amp;194) - [1]Dashboard!K1/24,"TBC")</f>
        <v>TBC</v>
      </c>
      <c r="HX26" s="8"/>
      <c r="HY26" s="8" t="s">
        <v>38</v>
      </c>
      <c r="HZ26" s="8" t="s">
        <v>21</v>
      </c>
      <c r="IA26" s="9">
        <f>IF(ISBLANK([1]fixtures!$K194),"",[1]fixtures!$K194)</f>
        <v>3</v>
      </c>
      <c r="IB26" s="8" t="str">
        <f>IF(ISBLANK([1]fixtures!$L194),"",":")</f>
        <v>:</v>
      </c>
      <c r="IC26" s="10">
        <f>IF(ISBLANK([1]fixtures!$L194),"",[1]fixtures!$L194)</f>
        <v>0</v>
      </c>
      <c r="ID26" s="8" t="str">
        <f>IF(ISBLANK([1]fixtures!$L194),"",IF(IA26&gt;IC26,"W",IF(IA26=IC26,"D","L")))</f>
        <v>W</v>
      </c>
      <c r="IE26" s="8"/>
      <c r="IF26" s="8"/>
    </row>
    <row r="27" spans="1:243" x14ac:dyDescent="0.25">
      <c r="A27" s="90" t="s">
        <v>49</v>
      </c>
      <c r="B27" s="68"/>
      <c r="C27" s="187"/>
      <c r="D27" s="66"/>
      <c r="E27" s="66"/>
      <c r="F27" s="66"/>
      <c r="G27" s="67"/>
      <c r="H27" s="66"/>
      <c r="I27" s="68"/>
      <c r="J27" s="66"/>
      <c r="K27" s="66"/>
      <c r="L27" s="66"/>
      <c r="M27" s="87" t="s">
        <v>49</v>
      </c>
      <c r="N27" s="62"/>
      <c r="O27" s="185"/>
      <c r="P27" s="62"/>
      <c r="Q27" s="62"/>
      <c r="R27" s="62"/>
      <c r="S27" s="63"/>
      <c r="T27" s="62"/>
      <c r="U27" s="64"/>
      <c r="V27" s="62"/>
      <c r="W27" s="62"/>
      <c r="X27" s="62"/>
      <c r="Y27" s="60">
        <v>21</v>
      </c>
      <c r="Z27" s="59" t="s">
        <v>18</v>
      </c>
      <c r="AA27" s="183" t="str">
        <f ca="1">IFERROR(INDIRECT("fixtures!" &amp; [1]Dashboard!J1 &amp;208) - [1]Dashboard!K1/24,"TBC")</f>
        <v>TBC</v>
      </c>
      <c r="AB27" s="59"/>
      <c r="AC27" s="59" t="s">
        <v>17</v>
      </c>
      <c r="AD27" s="59" t="s">
        <v>21</v>
      </c>
      <c r="AE27" s="60">
        <f>IF(ISBLANK([1]fixtures!$K208),"",[1]fixtures!$K208)</f>
        <v>0</v>
      </c>
      <c r="AF27" s="59" t="str">
        <f>IF(ISBLANK([1]fixtures!$L208),"",":")</f>
        <v>:</v>
      </c>
      <c r="AG27" s="61">
        <f>IF(ISBLANK([1]fixtures!$L208),"",[1]fixtures!$L208)</f>
        <v>4</v>
      </c>
      <c r="AH27" s="59" t="str">
        <f>IF(ISBLANK([1]fixtures!$L208),"",IF(AE27&gt;AG27,"W",IF(AE27=AG27,"D","L")))</f>
        <v>L</v>
      </c>
      <c r="AI27" s="59"/>
      <c r="AJ27" s="59"/>
      <c r="AK27" s="57">
        <v>20</v>
      </c>
      <c r="AL27" s="58" t="s">
        <v>39</v>
      </c>
      <c r="AM27" s="181" t="str">
        <f ca="1">IFERROR(INDIRECT("fixtures!" &amp; [1]Dashboard!J1 &amp;206) - [1]Dashboard!K1/24,"TBC")</f>
        <v>TBC</v>
      </c>
      <c r="AN27" s="56"/>
      <c r="AO27" s="56" t="s">
        <v>33</v>
      </c>
      <c r="AP27" s="56" t="s">
        <v>21</v>
      </c>
      <c r="AQ27" s="57">
        <f>IF(ISBLANK([1]fixtures!$K206),"",[1]fixtures!$K206)</f>
        <v>3</v>
      </c>
      <c r="AR27" s="56" t="str">
        <f>IF(ISBLANK([1]fixtures!$L206),"",":")</f>
        <v>:</v>
      </c>
      <c r="AS27" s="58">
        <f>IF(ISBLANK([1]fixtures!$L206),"",[1]fixtures!$L206)</f>
        <v>2</v>
      </c>
      <c r="AT27" s="56" t="str">
        <f>IF(ISBLANK([1]fixtures!$L206),"",IF(AQ27&gt;AS27,"W",IF(AQ27=AS27,"D","L")))</f>
        <v>W</v>
      </c>
      <c r="AU27" s="56"/>
      <c r="AV27" s="56"/>
      <c r="AW27" s="54">
        <v>2</v>
      </c>
      <c r="AX27" s="55" t="s">
        <v>40</v>
      </c>
      <c r="AY27" s="179" t="str">
        <f ca="1">IFERROR(INDIRECT("fixtures!" &amp; [1]Dashboard!J1 &amp;199) - [1]Dashboard!K1/24,"TBC")</f>
        <v>TBC</v>
      </c>
      <c r="AZ27" s="53"/>
      <c r="BA27" s="53" t="s">
        <v>26</v>
      </c>
      <c r="BB27" s="53" t="s">
        <v>16</v>
      </c>
      <c r="BC27" s="54">
        <f>IF(ISBLANK([1]fixtures!$L199),"",[1]fixtures!$L199)</f>
        <v>0</v>
      </c>
      <c r="BD27" s="53" t="str">
        <f>IF(ISBLANK([1]fixtures!$L199),"",":")</f>
        <v>:</v>
      </c>
      <c r="BE27" s="55">
        <f>IF(ISBLANK([1]fixtures!$K199),"",[1]fixtures!$K199)</f>
        <v>0</v>
      </c>
      <c r="BF27" s="53" t="str">
        <f>IF(ISBLANK([1]fixtures!$L199),"",IF(BC27&gt;BE27,"W",IF(BC27=BE27,"D","L")))</f>
        <v>D</v>
      </c>
      <c r="BG27" s="53"/>
      <c r="BH27" s="53"/>
      <c r="BI27" s="83" t="s">
        <v>49</v>
      </c>
      <c r="BJ27" s="50"/>
      <c r="BK27" s="177"/>
      <c r="BL27" s="50"/>
      <c r="BM27" s="50"/>
      <c r="BN27" s="50"/>
      <c r="BO27" s="51"/>
      <c r="BP27" s="50"/>
      <c r="BQ27" s="52"/>
      <c r="BR27" s="50"/>
      <c r="BS27" s="50"/>
      <c r="BT27" s="50"/>
      <c r="BU27" s="82" t="s">
        <v>49</v>
      </c>
      <c r="BV27" s="47"/>
      <c r="BW27" s="175"/>
      <c r="BX27" s="47"/>
      <c r="BY27" s="47"/>
      <c r="BZ27" s="47"/>
      <c r="CA27" s="48"/>
      <c r="CB27" s="47"/>
      <c r="CC27" s="49"/>
      <c r="CD27" s="47"/>
      <c r="CE27" s="47"/>
      <c r="CF27" s="47"/>
      <c r="CG27" s="81" t="s">
        <v>49</v>
      </c>
      <c r="CH27" s="46"/>
      <c r="CI27" s="173"/>
      <c r="CJ27" s="44"/>
      <c r="CK27" s="44"/>
      <c r="CL27" s="44"/>
      <c r="CM27" s="45"/>
      <c r="CN27" s="44"/>
      <c r="CO27" s="46"/>
      <c r="CP27" s="44"/>
      <c r="CQ27" s="44"/>
      <c r="CR27" s="44"/>
      <c r="CS27" s="102" t="s">
        <v>49</v>
      </c>
      <c r="CT27" s="43"/>
      <c r="CU27" s="171"/>
      <c r="CV27" s="41"/>
      <c r="CW27" s="41"/>
      <c r="CX27" s="41"/>
      <c r="CY27" s="42"/>
      <c r="CZ27" s="41"/>
      <c r="DA27" s="43"/>
      <c r="DB27" s="41"/>
      <c r="DC27" s="41"/>
      <c r="DD27" s="41"/>
      <c r="DE27" s="79" t="s">
        <v>49</v>
      </c>
      <c r="DF27" s="38"/>
      <c r="DG27" s="169"/>
      <c r="DH27" s="38"/>
      <c r="DI27" s="38"/>
      <c r="DJ27" s="38"/>
      <c r="DK27" s="39"/>
      <c r="DL27" s="38"/>
      <c r="DM27" s="40"/>
      <c r="DN27" s="38"/>
      <c r="DO27" s="38"/>
      <c r="DP27" s="38"/>
      <c r="DQ27" s="36">
        <v>1</v>
      </c>
      <c r="DR27" s="35" t="s">
        <v>42</v>
      </c>
      <c r="DS27" s="167" t="str">
        <f ca="1">IFERROR(INDIRECT("fixtures!" &amp; [1]Dashboard!J1 &amp;198) - [1]Dashboard!K1/24,"TBC")</f>
        <v>TBC</v>
      </c>
      <c r="DT27" s="35"/>
      <c r="DU27" s="35" t="s">
        <v>35</v>
      </c>
      <c r="DV27" s="35" t="s">
        <v>21</v>
      </c>
      <c r="DW27" s="36">
        <f>IF(ISBLANK([1]fixtures!$K198),"",[1]fixtures!$K198)</f>
        <v>4</v>
      </c>
      <c r="DX27" s="35" t="str">
        <f>IF(ISBLANK([1]fixtures!$L198),"",":")</f>
        <v>:</v>
      </c>
      <c r="DY27" s="37">
        <f>IF(ISBLANK([1]fixtures!$L198),"",[1]fixtures!$L198)</f>
        <v>2</v>
      </c>
      <c r="DZ27" s="35" t="str">
        <f>IF(ISBLANK([1]fixtures!$L198),"",IF(DW27&gt;DY27,"W",IF(DW27=DY27,"D","L")))</f>
        <v>W</v>
      </c>
      <c r="EA27" s="35"/>
      <c r="EB27" s="35"/>
      <c r="EC27" s="33">
        <v>12</v>
      </c>
      <c r="ED27" s="32" t="s">
        <v>43</v>
      </c>
      <c r="EE27" s="190" t="str">
        <f ca="1">IFERROR(INDIRECT("fixtures!" &amp; [1]Dashboard!J1 &amp;200) - [1]Dashboard!K1/24,"TBC")</f>
        <v>TBC</v>
      </c>
      <c r="EF27" s="32"/>
      <c r="EG27" s="32" t="s">
        <v>23</v>
      </c>
      <c r="EH27" s="32" t="s">
        <v>16</v>
      </c>
      <c r="EI27" s="33">
        <f>IF(ISBLANK([1]fixtures!$L200),"",[1]fixtures!$L200)</f>
        <v>1</v>
      </c>
      <c r="EJ27" s="32" t="str">
        <f>IF(ISBLANK([1]fixtures!$L200),"",":")</f>
        <v>:</v>
      </c>
      <c r="EK27" s="34">
        <f>IF(ISBLANK([1]fixtures!$K200),"",[1]fixtures!$K200)</f>
        <v>1</v>
      </c>
      <c r="EL27" s="32" t="str">
        <f>IF(ISBLANK([1]fixtures!$L200),"",IF(EI27&gt;EK27,"W",IF(EI27=EK27,"D","L")))</f>
        <v>D</v>
      </c>
      <c r="EM27" s="32"/>
      <c r="EN27" s="32"/>
      <c r="EO27" s="30">
        <v>13</v>
      </c>
      <c r="EP27" s="29" t="s">
        <v>39</v>
      </c>
      <c r="EQ27" s="164" t="str">
        <f ca="1">IFERROR(INDIRECT("fixtures!" &amp; [1]Dashboard!J1 &amp;202) - [1]Dashboard!K1/24,"TBC")</f>
        <v>TBC</v>
      </c>
      <c r="ER27" s="29"/>
      <c r="ES27" s="29" t="s">
        <v>35</v>
      </c>
      <c r="ET27" s="29" t="s">
        <v>16</v>
      </c>
      <c r="EU27" s="30">
        <f>IF(ISBLANK([1]fixtures!$L202),"",[1]fixtures!$L202)</f>
        <v>3</v>
      </c>
      <c r="EV27" s="29" t="str">
        <f>IF(ISBLANK([1]fixtures!$L202),"",":")</f>
        <v>:</v>
      </c>
      <c r="EW27" s="31">
        <f>IF(ISBLANK([1]fixtures!$K202),"",[1]fixtures!$K202)</f>
        <v>2</v>
      </c>
      <c r="EX27" s="29" t="str">
        <f>IF(ISBLANK([1]fixtures!$L202),"",IF(EU27&gt;EW27,"W",IF(EU27=EW27,"D","L")))</f>
        <v>W</v>
      </c>
      <c r="EY27" s="29"/>
      <c r="EZ27" s="29"/>
      <c r="FA27" s="75" t="s">
        <v>49</v>
      </c>
      <c r="FB27" s="28"/>
      <c r="FC27" s="189"/>
      <c r="FD27" s="26"/>
      <c r="FE27" s="26"/>
      <c r="FF27" s="26"/>
      <c r="FG27" s="27"/>
      <c r="FH27" s="26"/>
      <c r="FI27" s="28"/>
      <c r="FJ27" s="26"/>
      <c r="FK27" s="26"/>
      <c r="FL27" s="26"/>
      <c r="FM27" s="24">
        <v>1</v>
      </c>
      <c r="FN27" s="23" t="s">
        <v>42</v>
      </c>
      <c r="FO27" s="161" t="str">
        <f ca="1">IFERROR(INDIRECT("fixtures!" &amp; [1]Dashboard!J1 &amp;198) - [1]Dashboard!K1/24,"TBC")</f>
        <v>TBC</v>
      </c>
      <c r="FP27" s="23"/>
      <c r="FQ27" s="23" t="s">
        <v>17</v>
      </c>
      <c r="FR27" s="23" t="s">
        <v>16</v>
      </c>
      <c r="FS27" s="24">
        <f>IF(ISBLANK([1]fixtures!$L198),"",[1]fixtures!$L198)</f>
        <v>2</v>
      </c>
      <c r="FT27" s="23" t="str">
        <f>IF(ISBLANK([1]fixtures!$L198),"",":")</f>
        <v>:</v>
      </c>
      <c r="FU27" s="25">
        <f>IF(ISBLANK([1]fixtures!$K198),"",[1]fixtures!$K198)</f>
        <v>4</v>
      </c>
      <c r="FV27" s="23" t="str">
        <f>IF(ISBLANK([1]fixtures!$L198),"",IF(FS27&gt;FU27,"W",IF(FS27=FU27,"D","L")))</f>
        <v>L</v>
      </c>
      <c r="FW27" s="23"/>
      <c r="FX27" s="23"/>
      <c r="FY27" s="95" t="s">
        <v>49</v>
      </c>
      <c r="FZ27" s="20"/>
      <c r="GA27" s="159"/>
      <c r="GB27" s="20"/>
      <c r="GC27" s="20"/>
      <c r="GD27" s="20"/>
      <c r="GE27" s="21"/>
      <c r="GF27" s="20"/>
      <c r="GG27" s="22"/>
      <c r="GH27" s="20"/>
      <c r="GI27" s="20"/>
      <c r="GJ27" s="20"/>
      <c r="GK27" s="72" t="s">
        <v>49</v>
      </c>
      <c r="GL27" s="17"/>
      <c r="GM27" s="157"/>
      <c r="GN27" s="17"/>
      <c r="GO27" s="17"/>
      <c r="GP27" s="17"/>
      <c r="GQ27" s="18"/>
      <c r="GR27" s="17"/>
      <c r="GS27" s="19"/>
      <c r="GT27" s="17"/>
      <c r="GU27" s="17"/>
      <c r="GV27" s="17"/>
      <c r="GW27" s="93" t="s">
        <v>49</v>
      </c>
      <c r="GX27" s="16"/>
      <c r="GY27" s="155"/>
      <c r="GZ27" s="14"/>
      <c r="HA27" s="14"/>
      <c r="HB27" s="14"/>
      <c r="HC27" s="15"/>
      <c r="HD27" s="14"/>
      <c r="HE27" s="16"/>
      <c r="HF27" s="14"/>
      <c r="HG27" s="14"/>
      <c r="HH27" s="14"/>
      <c r="HI27" s="12">
        <v>2</v>
      </c>
      <c r="HJ27" s="11" t="s">
        <v>40</v>
      </c>
      <c r="HK27" s="153" t="str">
        <f ca="1">IFERROR(INDIRECT("fixtures!" &amp; [1]Dashboard!J1 &amp;199) - [1]Dashboard!K1/24,"TBC")</f>
        <v>TBC</v>
      </c>
      <c r="HL27" s="11"/>
      <c r="HM27" s="11" t="s">
        <v>25</v>
      </c>
      <c r="HN27" s="11" t="s">
        <v>21</v>
      </c>
      <c r="HO27" s="12">
        <f>IF(ISBLANK([1]fixtures!$K199),"",[1]fixtures!$K199)</f>
        <v>0</v>
      </c>
      <c r="HP27" s="11" t="str">
        <f>IF(ISBLANK([1]fixtures!$L199),"",":")</f>
        <v>:</v>
      </c>
      <c r="HQ27" s="13">
        <f>IF(ISBLANK([1]fixtures!$L199),"",[1]fixtures!$L199)</f>
        <v>0</v>
      </c>
      <c r="HR27" s="11" t="str">
        <f>IF(ISBLANK([1]fixtures!$L199),"",IF(HO27&gt;HQ27,"W",IF(HO27=HQ27,"D","L")))</f>
        <v>D</v>
      </c>
      <c r="HS27" s="11"/>
      <c r="HT27" s="11"/>
      <c r="HU27" s="91" t="s">
        <v>49</v>
      </c>
      <c r="HV27" s="10"/>
      <c r="HW27" s="151"/>
      <c r="HX27" s="8"/>
      <c r="HY27" s="8"/>
      <c r="HZ27" s="8"/>
      <c r="IA27" s="9"/>
      <c r="IB27" s="8"/>
      <c r="IC27" s="10"/>
      <c r="ID27" s="8"/>
      <c r="IE27" s="8"/>
      <c r="IF27" s="8"/>
    </row>
    <row r="28" spans="1:243" x14ac:dyDescent="0.25">
      <c r="A28" s="67">
        <v>20</v>
      </c>
      <c r="B28" s="66" t="s">
        <v>39</v>
      </c>
      <c r="C28" s="187" t="str">
        <f ca="1">IFERROR(INDIRECT("fixtures!" &amp; [1]Dashboard!J1 &amp;205) - [1]Dashboard!K1/24,"TBC")</f>
        <v>TBC</v>
      </c>
      <c r="D28" s="66"/>
      <c r="E28" s="66" t="s">
        <v>37</v>
      </c>
      <c r="F28" s="66" t="s">
        <v>21</v>
      </c>
      <c r="G28" s="67">
        <f>IF(ISBLANK([1]fixtures!$K205),"",[1]fixtures!$K205)</f>
        <v>5</v>
      </c>
      <c r="H28" s="66" t="str">
        <f>IF(ISBLANK([1]fixtures!$L205),"",":")</f>
        <v>:</v>
      </c>
      <c r="I28" s="68">
        <f>IF(ISBLANK([1]fixtures!$L205),"",[1]fixtures!$L205)</f>
        <v>0</v>
      </c>
      <c r="J28" s="66" t="str">
        <f>IF(ISBLANK([1]fixtures!$L205),"",IF(G28&gt;I28,"W",IF(G28=I28,"D","L")))</f>
        <v>W</v>
      </c>
      <c r="K28" s="66"/>
      <c r="L28" s="66"/>
      <c r="M28" s="63">
        <v>14</v>
      </c>
      <c r="N28" s="62" t="s">
        <v>18</v>
      </c>
      <c r="O28" s="185" t="str">
        <f ca="1">IFERROR(INDIRECT("fixtures!" &amp; [1]Dashboard!J1 &amp;203) - [1]Dashboard!K1/24,"TBC")</f>
        <v>TBC</v>
      </c>
      <c r="P28" s="62"/>
      <c r="Q28" s="62" t="s">
        <v>38</v>
      </c>
      <c r="R28" s="62" t="s">
        <v>16</v>
      </c>
      <c r="S28" s="63">
        <f>IF(ISBLANK([1]fixtures!$L203),"",[1]fixtures!$L203)</f>
        <v>0</v>
      </c>
      <c r="T28" s="62" t="str">
        <f>IF(ISBLANK([1]fixtures!$L203),"",":")</f>
        <v>:</v>
      </c>
      <c r="U28" s="64">
        <f>IF(ISBLANK([1]fixtures!$K203),"",[1]fixtures!$K203)</f>
        <v>0</v>
      </c>
      <c r="V28" s="62" t="str">
        <f>IF(ISBLANK([1]fixtures!$L203),"",IF(S28&gt;U28,"W",IF(S28=U28,"D","L")))</f>
        <v>D</v>
      </c>
      <c r="W28" s="62"/>
      <c r="X28" s="62"/>
      <c r="Y28" s="108" t="s">
        <v>48</v>
      </c>
      <c r="Z28" s="59"/>
      <c r="AA28" s="183"/>
      <c r="AB28" s="59"/>
      <c r="AC28" s="59"/>
      <c r="AD28" s="59"/>
      <c r="AE28" s="60"/>
      <c r="AF28" s="59"/>
      <c r="AG28" s="61"/>
      <c r="AH28" s="59"/>
      <c r="AI28" s="59"/>
      <c r="AJ28" s="59"/>
      <c r="AK28" s="57">
        <v>31</v>
      </c>
      <c r="AL28" s="56" t="s">
        <v>41</v>
      </c>
      <c r="AM28" s="181" t="str">
        <f ca="1">IFERROR(INDIRECT("fixtures!" &amp; [1]Dashboard!J1 &amp;216) - [1]Dashboard!K1/24,"TBC")</f>
        <v>TBC</v>
      </c>
      <c r="AN28" s="56"/>
      <c r="AO28" s="56" t="s">
        <v>22</v>
      </c>
      <c r="AP28" s="56" t="s">
        <v>16</v>
      </c>
      <c r="AQ28" s="57">
        <f>IF(ISBLANK([1]fixtures!$L216),"",[1]fixtures!$L216)</f>
        <v>2</v>
      </c>
      <c r="AR28" s="56" t="str">
        <f>IF(ISBLANK([1]fixtures!$L216),"",":")</f>
        <v>:</v>
      </c>
      <c r="AS28" s="58">
        <f>IF(ISBLANK([1]fixtures!$K216),"",[1]fixtures!$K216)</f>
        <v>3</v>
      </c>
      <c r="AT28" s="56" t="str">
        <f>IF(ISBLANK([1]fixtures!$L216),"",IF(AQ28&gt;AS28,"W",IF(AQ28=AS28,"D","L")))</f>
        <v>L</v>
      </c>
      <c r="AU28" s="56"/>
      <c r="AV28" s="56"/>
      <c r="AW28" s="54">
        <v>22</v>
      </c>
      <c r="AX28" s="55" t="s">
        <v>42</v>
      </c>
      <c r="AY28" s="179" t="str">
        <f ca="1">IFERROR(INDIRECT("fixtures!" &amp; [1]Dashboard!J1 &amp;209) - [1]Dashboard!K1/24,"TBC")</f>
        <v>TBC</v>
      </c>
      <c r="AZ28" s="53"/>
      <c r="BA28" s="53" t="s">
        <v>28</v>
      </c>
      <c r="BB28" s="53" t="s">
        <v>21</v>
      </c>
      <c r="BC28" s="54">
        <f>IF(ISBLANK([1]fixtures!$K209),"",[1]fixtures!$K209)</f>
        <v>0</v>
      </c>
      <c r="BD28" s="53" t="str">
        <f>IF(ISBLANK([1]fixtures!$L209),"",":")</f>
        <v>:</v>
      </c>
      <c r="BE28" s="55">
        <f>IF(ISBLANK([1]fixtures!$L209),"",[1]fixtures!$L209)</f>
        <v>0</v>
      </c>
      <c r="BF28" s="53" t="str">
        <f>IF(ISBLANK([1]fixtures!$L209),"",IF(BC28&gt;BE28,"W",IF(BC28=BE28,"D","L")))</f>
        <v>D</v>
      </c>
      <c r="BG28" s="53"/>
      <c r="BH28" s="53"/>
      <c r="BI28" s="51">
        <v>12</v>
      </c>
      <c r="BJ28" s="50" t="s">
        <v>43</v>
      </c>
      <c r="BK28" s="177" t="str">
        <f ca="1">IFERROR(INDIRECT("fixtures!" &amp; [1]Dashboard!J1 &amp;200) - [1]Dashboard!K1/24,"TBC")</f>
        <v>TBC</v>
      </c>
      <c r="BL28" s="50"/>
      <c r="BM28" s="50" t="s">
        <v>29</v>
      </c>
      <c r="BN28" s="50" t="s">
        <v>21</v>
      </c>
      <c r="BO28" s="51">
        <f>IF(ISBLANK([1]fixtures!$K200),"",[1]fixtures!$K200)</f>
        <v>1</v>
      </c>
      <c r="BP28" s="50" t="str">
        <f>IF(ISBLANK([1]fixtures!$L200),"",":")</f>
        <v>:</v>
      </c>
      <c r="BQ28" s="52">
        <f>IF(ISBLANK([1]fixtures!$L200),"",[1]fixtures!$L200)</f>
        <v>1</v>
      </c>
      <c r="BR28" s="50" t="str">
        <f>IF(ISBLANK([1]fixtures!$L200),"",IF(BO28&gt;BQ28,"W",IF(BO28=BQ28,"D","L")))</f>
        <v>D</v>
      </c>
      <c r="BS28" s="50"/>
      <c r="BT28" s="50"/>
      <c r="BU28" s="48">
        <v>13</v>
      </c>
      <c r="BV28" s="47" t="s">
        <v>39</v>
      </c>
      <c r="BW28" s="175" t="str">
        <f ca="1">IFERROR(INDIRECT("fixtures!" &amp; [1]Dashboard!J1 &amp;201) - [1]Dashboard!K1/24,"TBC")</f>
        <v>TBC</v>
      </c>
      <c r="BX28" s="47"/>
      <c r="BY28" s="47" t="s">
        <v>27</v>
      </c>
      <c r="BZ28" s="47" t="s">
        <v>21</v>
      </c>
      <c r="CA28" s="48">
        <f>IF(ISBLANK([1]fixtures!$K201),"",[1]fixtures!$K201)</f>
        <v>1</v>
      </c>
      <c r="CB28" s="47" t="str">
        <f>IF(ISBLANK([1]fixtures!$L201),"",":")</f>
        <v>:</v>
      </c>
      <c r="CC28" s="49">
        <f>IF(ISBLANK([1]fixtures!$L201),"",[1]fixtures!$L201)</f>
        <v>0</v>
      </c>
      <c r="CD28" s="47" t="str">
        <f>IF(ISBLANK([1]fixtures!$L201),"",IF(CA28&gt;CC28,"W",IF(CA28=CC28,"D","L")))</f>
        <v>W</v>
      </c>
      <c r="CE28" s="47"/>
      <c r="CF28" s="47"/>
      <c r="CG28" s="45">
        <v>20</v>
      </c>
      <c r="CH28" s="46" t="s">
        <v>39</v>
      </c>
      <c r="CI28" s="173" t="str">
        <f ca="1">IFERROR(INDIRECT("fixtures!" &amp; [1]Dashboard!J1 &amp;205) - [1]Dashboard!K1/24,"TBC")</f>
        <v>TBC</v>
      </c>
      <c r="CJ28" s="44"/>
      <c r="CK28" s="44" t="s">
        <v>30</v>
      </c>
      <c r="CL28" s="44" t="s">
        <v>16</v>
      </c>
      <c r="CM28" s="45">
        <f>IF(ISBLANK([1]fixtures!$L205),"",[1]fixtures!$L205)</f>
        <v>0</v>
      </c>
      <c r="CN28" s="44" t="str">
        <f>IF(ISBLANK([1]fixtures!$L205),"",":")</f>
        <v>:</v>
      </c>
      <c r="CO28" s="46">
        <f>IF(ISBLANK([1]fixtures!$K205),"",[1]fixtures!$K205)</f>
        <v>5</v>
      </c>
      <c r="CP28" s="44" t="str">
        <f>IF(ISBLANK([1]fixtures!$L205),"",IF(CM28&gt;CO28,"W",IF(CM28=CO28,"D","L")))</f>
        <v>L</v>
      </c>
      <c r="CQ28" s="44"/>
      <c r="CR28" s="44"/>
      <c r="CS28" s="42">
        <v>14</v>
      </c>
      <c r="CT28" s="41" t="s">
        <v>18</v>
      </c>
      <c r="CU28" s="171" t="str">
        <f ca="1">IFERROR(INDIRECT("fixtures!" &amp; [1]Dashboard!J1 &amp;203) - [1]Dashboard!K1/24,"TBC")</f>
        <v>TBC</v>
      </c>
      <c r="CV28" s="41"/>
      <c r="CW28" s="41" t="s">
        <v>31</v>
      </c>
      <c r="CX28" s="41" t="s">
        <v>21</v>
      </c>
      <c r="CY28" s="42">
        <f>IF(ISBLANK([1]fixtures!$K203),"",[1]fixtures!$K203)</f>
        <v>0</v>
      </c>
      <c r="CZ28" s="41" t="str">
        <f>IF(ISBLANK([1]fixtures!$L203),"",":")</f>
        <v>:</v>
      </c>
      <c r="DA28" s="43">
        <f>IF(ISBLANK([1]fixtures!$L203),"",[1]fixtures!$L203)</f>
        <v>0</v>
      </c>
      <c r="DB28" s="41" t="str">
        <f>IF(ISBLANK([1]fixtures!$L203),"",IF(CY28&gt;DA28,"W",IF(CY28=DA28,"D","L")))</f>
        <v>D</v>
      </c>
      <c r="DC28" s="41"/>
      <c r="DD28" s="41"/>
      <c r="DE28" s="39">
        <v>13</v>
      </c>
      <c r="DF28" s="38" t="s">
        <v>39</v>
      </c>
      <c r="DG28" s="169" t="str">
        <f ca="1">IFERROR(INDIRECT("fixtures!" &amp; [1]Dashboard!J1 &amp;201) - [1]Dashboard!K1/24,"TBC")</f>
        <v>TBC</v>
      </c>
      <c r="DH28" s="38"/>
      <c r="DI28" s="38" t="s">
        <v>36</v>
      </c>
      <c r="DJ28" s="38" t="s">
        <v>16</v>
      </c>
      <c r="DK28" s="39">
        <f>IF(ISBLANK([1]fixtures!$L201),"",[1]fixtures!$L201)</f>
        <v>0</v>
      </c>
      <c r="DL28" s="38" t="str">
        <f>IF(ISBLANK([1]fixtures!$L201),"",":")</f>
        <v>:</v>
      </c>
      <c r="DM28" s="40">
        <f>IF(ISBLANK([1]fixtures!$K201),"",[1]fixtures!$K201)</f>
        <v>1</v>
      </c>
      <c r="DN28" s="38" t="str">
        <f>IF(ISBLANK([1]fixtures!$L201),"",IF(DK28&gt;DM28,"W",IF(DK28=DM28,"D","L")))</f>
        <v>L</v>
      </c>
      <c r="DO28" s="38"/>
      <c r="DP28" s="38"/>
      <c r="DQ28" s="36">
        <v>21</v>
      </c>
      <c r="DR28" s="35" t="s">
        <v>18</v>
      </c>
      <c r="DS28" s="167" t="str">
        <f ca="1">IFERROR(INDIRECT("fixtures!" &amp; [1]Dashboard!J1 &amp;208) - [1]Dashboard!K1/24,"TBC")</f>
        <v>TBC</v>
      </c>
      <c r="DT28" s="35"/>
      <c r="DU28" s="35" t="s">
        <v>32</v>
      </c>
      <c r="DV28" s="35" t="s">
        <v>16</v>
      </c>
      <c r="DW28" s="36">
        <f>IF(ISBLANK([1]fixtures!$L208),"",[1]fixtures!$L208)</f>
        <v>4</v>
      </c>
      <c r="DX28" s="35" t="str">
        <f>IF(ISBLANK([1]fixtures!$L208),"",":")</f>
        <v>:</v>
      </c>
      <c r="DY28" s="37">
        <f>IF(ISBLANK([1]fixtures!$K208),"",[1]fixtures!$K208)</f>
        <v>0</v>
      </c>
      <c r="DZ28" s="35" t="str">
        <f>IF(ISBLANK([1]fixtures!$L208),"",IF(DW28&gt;DY28,"W",IF(DW28=DY28,"D","L")))</f>
        <v>W</v>
      </c>
      <c r="EA28" s="35"/>
      <c r="EB28" s="35"/>
      <c r="EC28" s="33">
        <v>30</v>
      </c>
      <c r="ED28" s="32" t="s">
        <v>40</v>
      </c>
      <c r="EE28" s="190" t="str">
        <f ca="1">IFERROR(INDIRECT("fixtures!" &amp; [1]Dashboard!J1 &amp;212) - [1]Dashboard!K1/24,"TBC")</f>
        <v>TBC</v>
      </c>
      <c r="EF28" s="32"/>
      <c r="EG28" s="32" t="s">
        <v>25</v>
      </c>
      <c r="EH28" s="32" t="s">
        <v>21</v>
      </c>
      <c r="EI28" s="33">
        <f>IF(ISBLANK([1]fixtures!$K212),"",[1]fixtures!$K212)</f>
        <v>4</v>
      </c>
      <c r="EJ28" s="32" t="str">
        <f>IF(ISBLANK([1]fixtures!$L212),"",":")</f>
        <v>:</v>
      </c>
      <c r="EK28" s="34">
        <f>IF(ISBLANK([1]fixtures!$L212),"",[1]fixtures!$L212)</f>
        <v>0</v>
      </c>
      <c r="EL28" s="32" t="str">
        <f>IF(ISBLANK([1]fixtures!$L212),"",IF(EI28&gt;EK28,"W",IF(EI28=EK28,"D","L")))</f>
        <v>W</v>
      </c>
      <c r="EM28" s="32"/>
      <c r="EN28" s="32"/>
      <c r="EO28" s="30">
        <v>31</v>
      </c>
      <c r="EP28" s="29" t="s">
        <v>41</v>
      </c>
      <c r="EQ28" s="164" t="str">
        <f ca="1">IFERROR(INDIRECT("fixtures!" &amp; [1]Dashboard!J1 &amp;215) - [1]Dashboard!K1/24,"TBC")</f>
        <v>TBC</v>
      </c>
      <c r="ER28" s="29"/>
      <c r="ES28" s="29" t="s">
        <v>23</v>
      </c>
      <c r="ET28" s="29" t="s">
        <v>21</v>
      </c>
      <c r="EU28" s="30">
        <f>IF(ISBLANK([1]fixtures!$K215),"",[1]fixtures!$K215)</f>
        <v>3</v>
      </c>
      <c r="EV28" s="29" t="str">
        <f>IF(ISBLANK([1]fixtures!$L215),"",":")</f>
        <v>:</v>
      </c>
      <c r="EW28" s="31">
        <f>IF(ISBLANK([1]fixtures!$L215),"",[1]fixtures!$L215)</f>
        <v>1</v>
      </c>
      <c r="EX28" s="29" t="str">
        <f>IF(ISBLANK([1]fixtures!$L215),"",IF(EU28&gt;EW28,"W",IF(EU28=EW28,"D","L")))</f>
        <v>W</v>
      </c>
      <c r="EY28" s="29"/>
      <c r="EZ28" s="29"/>
      <c r="FA28" s="27">
        <v>14</v>
      </c>
      <c r="FB28" s="28" t="s">
        <v>18</v>
      </c>
      <c r="FC28" s="189" t="str">
        <f ca="1">IFERROR(INDIRECT("fixtures!" &amp; [1]Dashboard!J1 &amp;204) - [1]Dashboard!K1/24,"TBC")</f>
        <v>TBC</v>
      </c>
      <c r="FD28" s="26"/>
      <c r="FE28" s="26" t="s">
        <v>22</v>
      </c>
      <c r="FF28" s="26" t="s">
        <v>21</v>
      </c>
      <c r="FG28" s="27">
        <f>IF(ISBLANK([1]fixtures!$K204),"",[1]fixtures!$K204)</f>
        <v>2</v>
      </c>
      <c r="FH28" s="26" t="str">
        <f>IF(ISBLANK([1]fixtures!$L204),"",":")</f>
        <v>:</v>
      </c>
      <c r="FI28" s="28">
        <f>IF(ISBLANK([1]fixtures!$L204),"",[1]fixtures!$L204)</f>
        <v>2</v>
      </c>
      <c r="FJ28" s="26" t="str">
        <f>IF(ISBLANK([1]fixtures!$L204),"",IF(FG28&gt;FI28,"W",IF(FG28=FI28,"D","L")))</f>
        <v>D</v>
      </c>
      <c r="FK28" s="26"/>
      <c r="FL28" s="26"/>
      <c r="FM28" s="24">
        <v>13</v>
      </c>
      <c r="FN28" s="23" t="s">
        <v>39</v>
      </c>
      <c r="FO28" s="161" t="str">
        <f ca="1">IFERROR(INDIRECT("fixtures!" &amp; [1]Dashboard!J1 &amp;202) - [1]Dashboard!K1/24,"TBC")</f>
        <v>TBC</v>
      </c>
      <c r="FP28" s="23"/>
      <c r="FQ28" s="23" t="s">
        <v>19</v>
      </c>
      <c r="FR28" s="23" t="s">
        <v>21</v>
      </c>
      <c r="FS28" s="24">
        <f>IF(ISBLANK([1]fixtures!$K202),"",[1]fixtures!$K202)</f>
        <v>2</v>
      </c>
      <c r="FT28" s="23" t="str">
        <f>IF(ISBLANK([1]fixtures!$L202),"",":")</f>
        <v>:</v>
      </c>
      <c r="FU28" s="25">
        <f>IF(ISBLANK([1]fixtures!$L202),"",[1]fixtures!$L202)</f>
        <v>3</v>
      </c>
      <c r="FV28" s="23" t="str">
        <f>IF(ISBLANK([1]fixtures!$L202),"",IF(FS28&gt;FU28,"W",IF(FS28=FU28,"D","L")))</f>
        <v>L</v>
      </c>
      <c r="FW28" s="23"/>
      <c r="FX28" s="23"/>
      <c r="FY28" s="21">
        <v>20</v>
      </c>
      <c r="FZ28" s="20" t="s">
        <v>39</v>
      </c>
      <c r="GA28" s="159" t="str">
        <f ca="1">IFERROR(INDIRECT("fixtures!" &amp; [1]Dashboard!J1 &amp;206) - [1]Dashboard!K1/24,"TBC")</f>
        <v>TBC</v>
      </c>
      <c r="GB28" s="20"/>
      <c r="GC28" s="20" t="s">
        <v>24</v>
      </c>
      <c r="GD28" s="20" t="s">
        <v>16</v>
      </c>
      <c r="GE28" s="21">
        <f>IF(ISBLANK([1]fixtures!$L206),"",[1]fixtures!$L206)</f>
        <v>2</v>
      </c>
      <c r="GF28" s="20" t="str">
        <f>IF(ISBLANK([1]fixtures!$L206),"",":")</f>
        <v>:</v>
      </c>
      <c r="GG28" s="22">
        <f>IF(ISBLANK([1]fixtures!$K206),"",[1]fixtures!$K206)</f>
        <v>3</v>
      </c>
      <c r="GH28" s="20" t="str">
        <f>IF(ISBLANK([1]fixtures!$L206),"",IF(GE28&gt;GG28,"W",IF(GE28=GG28,"D","L")))</f>
        <v>L</v>
      </c>
      <c r="GI28" s="20"/>
      <c r="GJ28" s="20"/>
      <c r="GK28" s="18">
        <v>21</v>
      </c>
      <c r="GL28" s="17" t="s">
        <v>18</v>
      </c>
      <c r="GM28" s="157" t="str">
        <f ca="1">IFERROR(INDIRECT("fixtures!" &amp; [1]Dashboard!J1 &amp;207) - [1]Dashboard!K1/24,"TBC")</f>
        <v>TBC</v>
      </c>
      <c r="GN28" s="17"/>
      <c r="GO28" s="17" t="s">
        <v>26</v>
      </c>
      <c r="GP28" s="17" t="s">
        <v>21</v>
      </c>
      <c r="GQ28" s="18">
        <f>IF(ISBLANK([1]fixtures!$K207),"",[1]fixtures!$K207)</f>
        <v>2</v>
      </c>
      <c r="GR28" s="17" t="str">
        <f>IF(ISBLANK([1]fixtures!$L207),"",":")</f>
        <v>:</v>
      </c>
      <c r="GS28" s="19">
        <f>IF(ISBLANK([1]fixtures!$L207),"",[1]fixtures!$L207)</f>
        <v>2</v>
      </c>
      <c r="GT28" s="17" t="str">
        <f>IF(ISBLANK([1]fixtures!$L207),"",IF(GQ28&gt;GS28,"W",IF(GQ28=GS28,"D","L")))</f>
        <v>D</v>
      </c>
      <c r="GU28" s="17"/>
      <c r="GV28" s="17"/>
      <c r="GW28" s="15">
        <v>14</v>
      </c>
      <c r="GX28" s="14" t="s">
        <v>18</v>
      </c>
      <c r="GY28" s="155" t="str">
        <f ca="1">IFERROR(INDIRECT("fixtures!" &amp; [1]Dashboard!J1 &amp;204) - [1]Dashboard!K1/24,"TBC")</f>
        <v>TBC</v>
      </c>
      <c r="GZ28" s="14"/>
      <c r="HA28" s="14" t="s">
        <v>34</v>
      </c>
      <c r="HB28" s="14" t="s">
        <v>16</v>
      </c>
      <c r="HC28" s="15">
        <f>IF(ISBLANK([1]fixtures!$L204),"",[1]fixtures!$L204)</f>
        <v>2</v>
      </c>
      <c r="HD28" s="14" t="str">
        <f>IF(ISBLANK([1]fixtures!$L204),"",":")</f>
        <v>:</v>
      </c>
      <c r="HE28" s="16">
        <f>IF(ISBLANK([1]fixtures!$K204),"",[1]fixtures!$K204)</f>
        <v>2</v>
      </c>
      <c r="HF28" s="14" t="str">
        <f>IF(ISBLANK([1]fixtures!$L204),"",IF(HC28&gt;HE28,"W",IF(HC28=HE28,"D","L")))</f>
        <v>D</v>
      </c>
      <c r="HG28" s="14"/>
      <c r="HH28" s="14"/>
      <c r="HI28" s="12">
        <v>21</v>
      </c>
      <c r="HJ28" s="11" t="s">
        <v>18</v>
      </c>
      <c r="HK28" s="153" t="str">
        <f ca="1">IFERROR(INDIRECT("fixtures!" &amp; [1]Dashboard!J1 &amp;207) - [1]Dashboard!K1/24,"TBC")</f>
        <v>TBC</v>
      </c>
      <c r="HL28" s="11"/>
      <c r="HM28" s="11" t="s">
        <v>20</v>
      </c>
      <c r="HN28" s="11" t="s">
        <v>16</v>
      </c>
      <c r="HO28" s="12">
        <f>IF(ISBLANK([1]fixtures!$L207),"",[1]fixtures!$L207)</f>
        <v>2</v>
      </c>
      <c r="HP28" s="11" t="str">
        <f>IF(ISBLANK([1]fixtures!$L207),"",":")</f>
        <v>:</v>
      </c>
      <c r="HQ28" s="13">
        <f>IF(ISBLANK([1]fixtures!$K207),"",[1]fixtures!$K207)</f>
        <v>2</v>
      </c>
      <c r="HR28" s="11" t="str">
        <f>IF(ISBLANK([1]fixtures!$L207),"",IF(HO28&gt;HQ28,"W",IF(HO28=HQ28,"D","L")))</f>
        <v>D</v>
      </c>
      <c r="HS28" s="11"/>
      <c r="HT28" s="11"/>
      <c r="HU28" s="9">
        <v>22</v>
      </c>
      <c r="HV28" s="8" t="s">
        <v>42</v>
      </c>
      <c r="HW28" s="151" t="str">
        <f ca="1">IFERROR(INDIRECT("fixtures!" &amp; [1]Dashboard!J1 &amp;209) - [1]Dashboard!K1/24,"TBC")</f>
        <v>TBC</v>
      </c>
      <c r="HX28" s="8"/>
      <c r="HY28" s="8" t="s">
        <v>25</v>
      </c>
      <c r="HZ28" s="8" t="s">
        <v>16</v>
      </c>
      <c r="IA28" s="9">
        <f>IF(ISBLANK([1]fixtures!$L209),"",[1]fixtures!$L209)</f>
        <v>0</v>
      </c>
      <c r="IB28" s="8" t="str">
        <f>IF(ISBLANK([1]fixtures!$L209),"",":")</f>
        <v>:</v>
      </c>
      <c r="IC28" s="10">
        <f>IF(ISBLANK([1]fixtures!$K209),"",[1]fixtures!$K209)</f>
        <v>0</v>
      </c>
      <c r="ID28" s="8" t="str">
        <f>IF(ISBLANK([1]fixtures!$L209),"",IF(IA28&gt;IC28,"W",IF(IA28=IC28,"D","L")))</f>
        <v>D</v>
      </c>
      <c r="IE28" s="8"/>
      <c r="IF28" s="8"/>
    </row>
    <row r="29" spans="1:243" x14ac:dyDescent="0.25">
      <c r="A29" s="67">
        <v>30</v>
      </c>
      <c r="B29" s="66" t="s">
        <v>40</v>
      </c>
      <c r="C29" s="187" t="str">
        <f ca="1">IFERROR(INDIRECT("fixtures!" &amp; [1]Dashboard!J1 &amp;210) - [1]Dashboard!K1/24,"TBC")</f>
        <v>TBC</v>
      </c>
      <c r="D29" s="66"/>
      <c r="E29" s="66" t="s">
        <v>33</v>
      </c>
      <c r="F29" s="66" t="s">
        <v>16</v>
      </c>
      <c r="G29" s="67">
        <f>IF(ISBLANK([1]fixtures!$L210),"",[1]fixtures!$L210)</f>
        <v>2</v>
      </c>
      <c r="H29" s="66" t="str">
        <f>IF(ISBLANK([1]fixtures!$L210),"",":")</f>
        <v>:</v>
      </c>
      <c r="I29" s="68">
        <f>IF(ISBLANK([1]fixtures!$K210),"",[1]fixtures!$K210)</f>
        <v>1</v>
      </c>
      <c r="J29" s="66" t="str">
        <f>IF(ISBLANK([1]fixtures!$L210),"",IF(G29&gt;I29,"W",IF(G29=I29,"D","L")))</f>
        <v>W</v>
      </c>
      <c r="K29" s="66"/>
      <c r="L29" s="66"/>
      <c r="M29" s="63">
        <v>30</v>
      </c>
      <c r="N29" s="64" t="s">
        <v>40</v>
      </c>
      <c r="O29" s="185" t="str">
        <f ca="1">IFERROR(INDIRECT("fixtures!" &amp; [1]Dashboard!J1 &amp;214) - [1]Dashboard!K1/24,"TBC")</f>
        <v>TBC</v>
      </c>
      <c r="P29" s="62"/>
      <c r="Q29" s="62" t="s">
        <v>35</v>
      </c>
      <c r="R29" s="62" t="s">
        <v>21</v>
      </c>
      <c r="S29" s="63">
        <f>IF(ISBLANK([1]fixtures!$K214),"",[1]fixtures!$K214)</f>
        <v>1</v>
      </c>
      <c r="T29" s="62" t="str">
        <f>IF(ISBLANK([1]fixtures!$L214),"",":")</f>
        <v>:</v>
      </c>
      <c r="U29" s="64">
        <f>IF(ISBLANK([1]fixtures!$L214),"",[1]fixtures!$L214)</f>
        <v>3</v>
      </c>
      <c r="V29" s="62" t="str">
        <f>IF(ISBLANK([1]fixtures!$L214),"",IF(S29&gt;U29,"W",IF(S29=U29,"D","L")))</f>
        <v>L</v>
      </c>
      <c r="W29" s="62"/>
      <c r="X29" s="62"/>
      <c r="Y29" s="60">
        <v>1</v>
      </c>
      <c r="Z29" s="59" t="s">
        <v>45</v>
      </c>
      <c r="AA29" s="183" t="str">
        <f ca="1">IFERROR(INDIRECT("fixtures!" &amp; [1]Dashboard!J1 &amp;218) - [1]Dashboard!K1/24,"TBC")</f>
        <v>TBC</v>
      </c>
      <c r="AB29" s="59"/>
      <c r="AC29" s="59" t="s">
        <v>26</v>
      </c>
      <c r="AD29" s="59" t="s">
        <v>16</v>
      </c>
      <c r="AE29" s="60">
        <f>IF(ISBLANK([1]fixtures!$L218),"",[1]fixtures!$L218)</f>
        <v>1</v>
      </c>
      <c r="AF29" s="59" t="str">
        <f>IF(ISBLANK([1]fixtures!$L218),"",":")</f>
        <v>:</v>
      </c>
      <c r="AG29" s="61">
        <f>IF(ISBLANK([1]fixtures!$K218),"",[1]fixtures!$K218)</f>
        <v>1</v>
      </c>
      <c r="AH29" s="59" t="str">
        <f>IF(ISBLANK([1]fixtures!$L218),"",IF(AE29&gt;AG29,"W",IF(AE29=AG29,"D","L")))</f>
        <v>D</v>
      </c>
      <c r="AI29" s="59"/>
      <c r="AJ29" s="59"/>
      <c r="AK29" s="85" t="s">
        <v>48</v>
      </c>
      <c r="AL29" s="56"/>
      <c r="AM29" s="181"/>
      <c r="AN29" s="56"/>
      <c r="AO29" s="56"/>
      <c r="AP29" s="56"/>
      <c r="AQ29" s="57"/>
      <c r="AR29" s="56"/>
      <c r="AS29" s="58"/>
      <c r="AT29" s="56"/>
      <c r="AU29" s="56"/>
      <c r="AV29" s="56"/>
      <c r="AW29" s="54">
        <v>30</v>
      </c>
      <c r="AX29" s="53" t="s">
        <v>40</v>
      </c>
      <c r="AY29" s="179" t="str">
        <f ca="1">IFERROR(INDIRECT("fixtures!" &amp; [1]Dashboard!J1 &amp;212) - [1]Dashboard!K1/24,"TBC")</f>
        <v>TBC</v>
      </c>
      <c r="AZ29" s="53"/>
      <c r="BA29" s="53" t="s">
        <v>29</v>
      </c>
      <c r="BB29" s="53" t="s">
        <v>16</v>
      </c>
      <c r="BC29" s="54">
        <f>IF(ISBLANK([1]fixtures!$L212),"",[1]fixtures!$L212)</f>
        <v>0</v>
      </c>
      <c r="BD29" s="53" t="str">
        <f>IF(ISBLANK([1]fixtures!$L212),"",":")</f>
        <v>:</v>
      </c>
      <c r="BE29" s="55">
        <f>IF(ISBLANK([1]fixtures!$K212),"",[1]fixtures!$K212)</f>
        <v>4</v>
      </c>
      <c r="BF29" s="53" t="str">
        <f>IF(ISBLANK([1]fixtures!$L212),"",IF(BC29&gt;BE29,"W",IF(BC29=BE29,"D","L")))</f>
        <v>L</v>
      </c>
      <c r="BG29" s="53"/>
      <c r="BH29" s="53"/>
      <c r="BI29" s="51">
        <v>31</v>
      </c>
      <c r="BJ29" s="50" t="s">
        <v>41</v>
      </c>
      <c r="BK29" s="177" t="str">
        <f ca="1">IFERROR(INDIRECT("fixtures!" &amp; [1]Dashboard!J1 &amp;215) - [1]Dashboard!K1/24,"TBC")</f>
        <v>TBC</v>
      </c>
      <c r="BL29" s="50"/>
      <c r="BM29" s="50" t="s">
        <v>19</v>
      </c>
      <c r="BN29" s="50" t="s">
        <v>16</v>
      </c>
      <c r="BO29" s="51">
        <f>IF(ISBLANK([1]fixtures!$L215),"",[1]fixtures!$L215)</f>
        <v>1</v>
      </c>
      <c r="BP29" s="50" t="str">
        <f>IF(ISBLANK([1]fixtures!$L215),"",":")</f>
        <v>:</v>
      </c>
      <c r="BQ29" s="52">
        <f>IF(ISBLANK([1]fixtures!$K215),"",[1]fixtures!$K215)</f>
        <v>3</v>
      </c>
      <c r="BR29" s="50" t="str">
        <f>IF(ISBLANK([1]fixtures!$L215),"",IF(BO29&gt;BQ29,"W",IF(BO29=BQ29,"D","L")))</f>
        <v>L</v>
      </c>
      <c r="BS29" s="50"/>
      <c r="BT29" s="50"/>
      <c r="BU29" s="48">
        <v>31</v>
      </c>
      <c r="BV29" s="47" t="s">
        <v>41</v>
      </c>
      <c r="BW29" s="175" t="str">
        <f ca="1">IFERROR(INDIRECT("fixtures!" &amp; [1]Dashboard!J1 &amp;217) - [1]Dashboard!K1/24,"TBC")</f>
        <v>TBC</v>
      </c>
      <c r="BX29" s="47"/>
      <c r="BY29" s="47" t="s">
        <v>17</v>
      </c>
      <c r="BZ29" s="47" t="s">
        <v>16</v>
      </c>
      <c r="CA29" s="48">
        <f>IF(ISBLANK([1]fixtures!$L217),"",[1]fixtures!$L217)</f>
        <v>1</v>
      </c>
      <c r="CB29" s="47" t="str">
        <f>IF(ISBLANK([1]fixtures!$L217),"",":")</f>
        <v>:</v>
      </c>
      <c r="CC29" s="49">
        <f>IF(ISBLANK([1]fixtures!$K217),"",[1]fixtures!$K217)</f>
        <v>4</v>
      </c>
      <c r="CD29" s="47" t="str">
        <f>IF(ISBLANK([1]fixtures!$L217),"",IF(CA29&gt;CC29,"W",IF(CA29=CC29,"D","L")))</f>
        <v>L</v>
      </c>
      <c r="CE29" s="47"/>
      <c r="CF29" s="47"/>
      <c r="CG29" s="45">
        <v>30</v>
      </c>
      <c r="CH29" s="44" t="s">
        <v>40</v>
      </c>
      <c r="CI29" s="173" t="str">
        <f ca="1">IFERROR(INDIRECT("fixtures!" &amp; [1]Dashboard!J1 &amp;213) - [1]Dashboard!K1/24,"TBC")</f>
        <v>TBC</v>
      </c>
      <c r="CJ29" s="44"/>
      <c r="CK29" s="44" t="s">
        <v>20</v>
      </c>
      <c r="CL29" s="44" t="s">
        <v>21</v>
      </c>
      <c r="CM29" s="45">
        <f>IF(ISBLANK([1]fixtures!$K213),"",[1]fixtures!$K213)</f>
        <v>3</v>
      </c>
      <c r="CN29" s="44" t="str">
        <f>IF(ISBLANK([1]fixtures!$L213),"",":")</f>
        <v>:</v>
      </c>
      <c r="CO29" s="46">
        <f>IF(ISBLANK([1]fixtures!$L213),"",[1]fixtures!$L213)</f>
        <v>2</v>
      </c>
      <c r="CP29" s="44" t="str">
        <f>IF(ISBLANK([1]fixtures!$L213),"",IF(CM29&gt;CO29,"W",IF(CM29=CO29,"D","L")))</f>
        <v>W</v>
      </c>
      <c r="CQ29" s="44"/>
      <c r="CR29" s="44"/>
      <c r="CS29" s="42">
        <v>30</v>
      </c>
      <c r="CT29" s="41" t="s">
        <v>40</v>
      </c>
      <c r="CU29" s="171" t="str">
        <f ca="1">IFERROR(INDIRECT("fixtures!" &amp; [1]Dashboard!J1 &amp;211) - [1]Dashboard!K1/24,"TBC")</f>
        <v>TBC</v>
      </c>
      <c r="CV29" s="41"/>
      <c r="CW29" s="41" t="s">
        <v>27</v>
      </c>
      <c r="CX29" s="41" t="s">
        <v>16</v>
      </c>
      <c r="CY29" s="42">
        <f>IF(ISBLANK([1]fixtures!$L211),"",[1]fixtures!$L211)</f>
        <v>0</v>
      </c>
      <c r="CZ29" s="41" t="str">
        <f>IF(ISBLANK([1]fixtures!$L211),"",":")</f>
        <v>:</v>
      </c>
      <c r="DA29" s="43">
        <f>IF(ISBLANK([1]fixtures!$K211),"",[1]fixtures!$K211)</f>
        <v>0</v>
      </c>
      <c r="DB29" s="41" t="str">
        <f>IF(ISBLANK([1]fixtures!$L211),"",IF(CY29&gt;DA29,"W",IF(CY29=DA29,"D","L")))</f>
        <v>D</v>
      </c>
      <c r="DC29" s="41"/>
      <c r="DD29" s="41"/>
      <c r="DE29" s="39">
        <v>30</v>
      </c>
      <c r="DF29" s="38" t="s">
        <v>40</v>
      </c>
      <c r="DG29" s="169" t="str">
        <f ca="1">IFERROR(INDIRECT("fixtures!" &amp; [1]Dashboard!J1 &amp;211) - [1]Dashboard!K1/24,"TBC")</f>
        <v>TBC</v>
      </c>
      <c r="DH29" s="38"/>
      <c r="DI29" s="38" t="s">
        <v>38</v>
      </c>
      <c r="DJ29" s="38" t="s">
        <v>21</v>
      </c>
      <c r="DK29" s="39">
        <f>IF(ISBLANK([1]fixtures!$K211),"",[1]fixtures!$K211)</f>
        <v>0</v>
      </c>
      <c r="DL29" s="38" t="str">
        <f>IF(ISBLANK([1]fixtures!$L211),"",":")</f>
        <v>:</v>
      </c>
      <c r="DM29" s="40">
        <f>IF(ISBLANK([1]fixtures!$L211),"",[1]fixtures!$L211)</f>
        <v>0</v>
      </c>
      <c r="DN29" s="38" t="str">
        <f>IF(ISBLANK([1]fixtures!$L211),"",IF(DK29&gt;DM29,"W",IF(DK29=DM29,"D","L")))</f>
        <v>D</v>
      </c>
      <c r="DO29" s="38"/>
      <c r="DP29" s="38"/>
      <c r="DQ29" s="36">
        <v>31</v>
      </c>
      <c r="DR29" s="35" t="s">
        <v>41</v>
      </c>
      <c r="DS29" s="167" t="str">
        <f ca="1">IFERROR(INDIRECT("fixtures!" &amp; [1]Dashboard!J1 &amp;217) - [1]Dashboard!K1/24,"TBC")</f>
        <v>TBC</v>
      </c>
      <c r="DT29" s="35"/>
      <c r="DU29" s="35" t="s">
        <v>36</v>
      </c>
      <c r="DV29" s="35" t="s">
        <v>21</v>
      </c>
      <c r="DW29" s="36">
        <f>IF(ISBLANK([1]fixtures!$K217),"",[1]fixtures!$K217)</f>
        <v>4</v>
      </c>
      <c r="DX29" s="35" t="str">
        <f>IF(ISBLANK([1]fixtures!$L217),"",":")</f>
        <v>:</v>
      </c>
      <c r="DY29" s="37">
        <f>IF(ISBLANK([1]fixtures!$L217),"",[1]fixtures!$L217)</f>
        <v>1</v>
      </c>
      <c r="DZ29" s="35" t="str">
        <f>IF(ISBLANK([1]fixtures!$L217),"",IF(DW29&gt;DY29,"W",IF(DW29=DY29,"D","L")))</f>
        <v>W</v>
      </c>
      <c r="EA29" s="35"/>
      <c r="EB29" s="35"/>
      <c r="EC29" s="99" t="s">
        <v>48</v>
      </c>
      <c r="ED29" s="32"/>
      <c r="EE29" s="190"/>
      <c r="EF29" s="32"/>
      <c r="EG29" s="32"/>
      <c r="EH29" s="32"/>
      <c r="EI29" s="33"/>
      <c r="EJ29" s="32"/>
      <c r="EK29" s="34"/>
      <c r="EL29" s="32"/>
      <c r="EM29" s="32"/>
      <c r="EN29" s="32"/>
      <c r="EO29" s="98" t="s">
        <v>48</v>
      </c>
      <c r="EP29" s="29"/>
      <c r="EQ29" s="164"/>
      <c r="ER29" s="29"/>
      <c r="ES29" s="29"/>
      <c r="ET29" s="29"/>
      <c r="EU29" s="30"/>
      <c r="EV29" s="29"/>
      <c r="EW29" s="31"/>
      <c r="EX29" s="29"/>
      <c r="EY29" s="29"/>
      <c r="EZ29" s="29"/>
      <c r="FA29" s="75" t="s">
        <v>48</v>
      </c>
      <c r="FB29" s="26"/>
      <c r="FC29" s="189"/>
      <c r="FD29" s="26"/>
      <c r="FE29" s="26"/>
      <c r="FF29" s="26"/>
      <c r="FG29" s="27"/>
      <c r="FH29" s="26"/>
      <c r="FI29" s="28"/>
      <c r="FJ29" s="26"/>
      <c r="FK29" s="26"/>
      <c r="FL29" s="26"/>
      <c r="FM29" s="24">
        <v>30</v>
      </c>
      <c r="FN29" s="23" t="s">
        <v>40</v>
      </c>
      <c r="FO29" s="161" t="str">
        <f ca="1">IFERROR(INDIRECT("fixtures!" &amp; [1]Dashboard!J1 &amp;214) - [1]Dashboard!K1/24,"TBC")</f>
        <v>TBC</v>
      </c>
      <c r="FP29" s="23"/>
      <c r="FQ29" s="23" t="s">
        <v>31</v>
      </c>
      <c r="FR29" s="23" t="s">
        <v>16</v>
      </c>
      <c r="FS29" s="24">
        <f>IF(ISBLANK([1]fixtures!$L214),"",[1]fixtures!$L214)</f>
        <v>3</v>
      </c>
      <c r="FT29" s="23" t="str">
        <f>IF(ISBLANK([1]fixtures!$L214),"",":")</f>
        <v>:</v>
      </c>
      <c r="FU29" s="25">
        <f>IF(ISBLANK([1]fixtures!$K214),"",[1]fixtures!$K214)</f>
        <v>1</v>
      </c>
      <c r="FV29" s="23" t="str">
        <f>IF(ISBLANK([1]fixtures!$L214),"",IF(FS29&gt;FU29,"W",IF(FS29=FU29,"D","L")))</f>
        <v>W</v>
      </c>
      <c r="FW29" s="23"/>
      <c r="FX29" s="23"/>
      <c r="FY29" s="21">
        <v>30</v>
      </c>
      <c r="FZ29" s="20" t="s">
        <v>40</v>
      </c>
      <c r="GA29" s="159" t="str">
        <f ca="1">IFERROR(INDIRECT("fixtures!" &amp; [1]Dashboard!J1 &amp;210) - [1]Dashboard!K1/24,"TBC")</f>
        <v>TBC</v>
      </c>
      <c r="GB29" s="20"/>
      <c r="GC29" s="20" t="s">
        <v>30</v>
      </c>
      <c r="GD29" s="20" t="s">
        <v>21</v>
      </c>
      <c r="GE29" s="21">
        <f>IF(ISBLANK([1]fixtures!$K210),"",[1]fixtures!$K210)</f>
        <v>1</v>
      </c>
      <c r="GF29" s="20" t="str">
        <f>IF(ISBLANK([1]fixtures!$L210),"",":")</f>
        <v>:</v>
      </c>
      <c r="GG29" s="22">
        <f>IF(ISBLANK([1]fixtures!$L210),"",[1]fixtures!$L210)</f>
        <v>2</v>
      </c>
      <c r="GH29" s="20" t="str">
        <f>IF(ISBLANK([1]fixtures!$L210),"",IF(GE29&gt;GG29,"W",IF(GE29=GG29,"D","L")))</f>
        <v>L</v>
      </c>
      <c r="GI29" s="20"/>
      <c r="GJ29" s="20"/>
      <c r="GK29" s="18">
        <v>30</v>
      </c>
      <c r="GL29" s="17" t="s">
        <v>40</v>
      </c>
      <c r="GM29" s="157" t="str">
        <f ca="1">IFERROR(INDIRECT("fixtures!" &amp; [1]Dashboard!J1 &amp;213) - [1]Dashboard!K1/24,"TBC")</f>
        <v>TBC</v>
      </c>
      <c r="GN29" s="17"/>
      <c r="GO29" s="17" t="s">
        <v>37</v>
      </c>
      <c r="GP29" s="17" t="s">
        <v>16</v>
      </c>
      <c r="GQ29" s="18">
        <f>IF(ISBLANK([1]fixtures!$L213),"",[1]fixtures!$L213)</f>
        <v>2</v>
      </c>
      <c r="GR29" s="17" t="str">
        <f>IF(ISBLANK([1]fixtures!$L213),"",":")</f>
        <v>:</v>
      </c>
      <c r="GS29" s="19">
        <f>IF(ISBLANK([1]fixtures!$K213),"",[1]fixtures!$K213)</f>
        <v>3</v>
      </c>
      <c r="GT29" s="17" t="str">
        <f>IF(ISBLANK([1]fixtures!$L213),"",IF(GQ29&gt;GS29,"W",IF(GQ29=GS29,"D","L")))</f>
        <v>L</v>
      </c>
      <c r="GU29" s="17"/>
      <c r="GV29" s="17"/>
      <c r="GW29" s="15">
        <v>31</v>
      </c>
      <c r="GX29" s="14" t="s">
        <v>41</v>
      </c>
      <c r="GY29" s="155" t="str">
        <f ca="1">IFERROR(INDIRECT("fixtures!" &amp; [1]Dashboard!J1 &amp;216) - [1]Dashboard!K1/24,"TBC")</f>
        <v>TBC</v>
      </c>
      <c r="GZ29" s="14"/>
      <c r="HA29" s="14" t="s">
        <v>24</v>
      </c>
      <c r="HB29" s="14" t="s">
        <v>21</v>
      </c>
      <c r="HC29" s="15">
        <f>IF(ISBLANK([1]fixtures!$K216),"",[1]fixtures!$K216)</f>
        <v>3</v>
      </c>
      <c r="HD29" s="14" t="str">
        <f>IF(ISBLANK([1]fixtures!$L216),"",":")</f>
        <v>:</v>
      </c>
      <c r="HE29" s="16">
        <f>IF(ISBLANK([1]fixtures!$L216),"",[1]fixtures!$L216)</f>
        <v>2</v>
      </c>
      <c r="HF29" s="14" t="str">
        <f>IF(ISBLANK([1]fixtures!$L216),"",IF(HC29&gt;HE29,"W",IF(HC29=HE29,"D","L")))</f>
        <v>W</v>
      </c>
      <c r="HG29" s="14"/>
      <c r="HH29" s="14"/>
      <c r="HI29" s="92" t="s">
        <v>48</v>
      </c>
      <c r="HJ29" s="11"/>
      <c r="HK29" s="153"/>
      <c r="HL29" s="11"/>
      <c r="HM29" s="11"/>
      <c r="HN29" s="11"/>
      <c r="HO29" s="12"/>
      <c r="HP29" s="11"/>
      <c r="HQ29" s="13"/>
      <c r="HR29" s="11"/>
      <c r="HS29" s="11"/>
      <c r="HT29" s="11"/>
      <c r="HU29" s="91" t="s">
        <v>48</v>
      </c>
      <c r="HV29" s="8"/>
      <c r="HW29" s="151"/>
      <c r="HX29" s="8"/>
      <c r="HY29" s="8"/>
      <c r="HZ29" s="8"/>
      <c r="IA29" s="9"/>
      <c r="IB29" s="8"/>
      <c r="IC29" s="10"/>
      <c r="ID29" s="8"/>
      <c r="IE29" s="8"/>
      <c r="IF29" s="8"/>
    </row>
    <row r="30" spans="1:243" x14ac:dyDescent="0.25">
      <c r="A30" s="90" t="s">
        <v>48</v>
      </c>
      <c r="B30" s="66"/>
      <c r="C30" s="187"/>
      <c r="D30" s="66"/>
      <c r="E30" s="66"/>
      <c r="F30" s="66"/>
      <c r="G30" s="67"/>
      <c r="H30" s="66"/>
      <c r="I30" s="68"/>
      <c r="J30" s="66"/>
      <c r="K30" s="66"/>
      <c r="L30" s="66"/>
      <c r="M30" s="87" t="s">
        <v>48</v>
      </c>
      <c r="N30" s="62"/>
      <c r="O30" s="185"/>
      <c r="P30" s="62"/>
      <c r="Q30" s="62"/>
      <c r="R30" s="62"/>
      <c r="S30" s="63"/>
      <c r="T30" s="62"/>
      <c r="U30" s="64"/>
      <c r="V30" s="62"/>
      <c r="W30" s="62"/>
      <c r="X30" s="62"/>
      <c r="Y30" s="60">
        <v>4</v>
      </c>
      <c r="Z30" s="59" t="s">
        <v>18</v>
      </c>
      <c r="AA30" s="183" t="str">
        <f ca="1">IFERROR(INDIRECT("fixtures!" &amp; [1]Dashboard!J1 &amp;225) - [1]Dashboard!K1/24,"TBC")</f>
        <v>TBC</v>
      </c>
      <c r="AB30" s="59"/>
      <c r="AC30" s="59" t="s">
        <v>33</v>
      </c>
      <c r="AD30" s="59" t="s">
        <v>21</v>
      </c>
      <c r="AE30" s="60">
        <f>IF(ISBLANK([1]fixtures!$K225),"",[1]fixtures!$K225)</f>
        <v>1</v>
      </c>
      <c r="AF30" s="59" t="str">
        <f>IF(ISBLANK([1]fixtures!$L225),"",":")</f>
        <v>:</v>
      </c>
      <c r="AG30" s="61">
        <f>IF(ISBLANK([1]fixtures!$L225),"",[1]fixtures!$L225)</f>
        <v>1</v>
      </c>
      <c r="AH30" s="59" t="str">
        <f>IF(ISBLANK([1]fixtures!$L225),"",IF(AE30&gt;AG30,"W",IF(AE30=AG30,"D","L")))</f>
        <v>D</v>
      </c>
      <c r="AI30" s="59"/>
      <c r="AJ30" s="59"/>
      <c r="AK30" s="57">
        <v>5</v>
      </c>
      <c r="AL30" s="56" t="s">
        <v>42</v>
      </c>
      <c r="AM30" s="181" t="str">
        <f ca="1">IFERROR(INDIRECT("fixtures!" &amp; [1]Dashboard!J1 &amp;229) - [1]Dashboard!K1/24,"TBC")</f>
        <v>TBC</v>
      </c>
      <c r="AN30" s="56"/>
      <c r="AO30" s="56" t="s">
        <v>19</v>
      </c>
      <c r="AP30" s="56" t="s">
        <v>21</v>
      </c>
      <c r="AQ30" s="57">
        <f>IF(ISBLANK([1]fixtures!$K229),"",[1]fixtures!$K229)</f>
        <v>1</v>
      </c>
      <c r="AR30" s="56" t="str">
        <f>IF(ISBLANK([1]fixtures!$L229),"",":")</f>
        <v>:</v>
      </c>
      <c r="AS30" s="58">
        <f>IF(ISBLANK([1]fixtures!$L229),"",[1]fixtures!$L229)</f>
        <v>3</v>
      </c>
      <c r="AT30" s="56" t="str">
        <f>IF(ISBLANK([1]fixtures!$L229),"",IF(AQ30&gt;AS30,"W",IF(AQ30=AS30,"D","L")))</f>
        <v>L</v>
      </c>
      <c r="AU30" s="56"/>
      <c r="AV30" s="56"/>
      <c r="AW30" s="106" t="s">
        <v>48</v>
      </c>
      <c r="AX30" s="53"/>
      <c r="AY30" s="179"/>
      <c r="AZ30" s="53"/>
      <c r="BA30" s="53"/>
      <c r="BB30" s="53"/>
      <c r="BC30" s="54"/>
      <c r="BD30" s="53"/>
      <c r="BE30" s="55"/>
      <c r="BF30" s="53"/>
      <c r="BG30" s="53"/>
      <c r="BH30" s="53"/>
      <c r="BI30" s="83" t="s">
        <v>48</v>
      </c>
      <c r="BJ30" s="50"/>
      <c r="BK30" s="177"/>
      <c r="BL30" s="50"/>
      <c r="BM30" s="50"/>
      <c r="BN30" s="50"/>
      <c r="BO30" s="51"/>
      <c r="BP30" s="50"/>
      <c r="BQ30" s="52"/>
      <c r="BR30" s="50"/>
      <c r="BS30" s="50"/>
      <c r="BT30" s="50"/>
      <c r="BU30" s="82" t="s">
        <v>48</v>
      </c>
      <c r="BV30" s="47"/>
      <c r="BW30" s="175"/>
      <c r="BX30" s="47"/>
      <c r="BY30" s="47"/>
      <c r="BZ30" s="47"/>
      <c r="CA30" s="48"/>
      <c r="CB30" s="47"/>
      <c r="CC30" s="49"/>
      <c r="CD30" s="47"/>
      <c r="CE30" s="47"/>
      <c r="CF30" s="47"/>
      <c r="CG30" s="81" t="s">
        <v>48</v>
      </c>
      <c r="CH30" s="44"/>
      <c r="CI30" s="173"/>
      <c r="CJ30" s="44"/>
      <c r="CK30" s="44"/>
      <c r="CL30" s="44"/>
      <c r="CM30" s="45"/>
      <c r="CN30" s="44"/>
      <c r="CO30" s="46"/>
      <c r="CP30" s="44"/>
      <c r="CQ30" s="44"/>
      <c r="CR30" s="44"/>
      <c r="CS30" s="102" t="s">
        <v>48</v>
      </c>
      <c r="CT30" s="41"/>
      <c r="CU30" s="171"/>
      <c r="CV30" s="41"/>
      <c r="CW30" s="41"/>
      <c r="CX30" s="41"/>
      <c r="CY30" s="42"/>
      <c r="CZ30" s="41"/>
      <c r="DA30" s="43"/>
      <c r="DB30" s="41"/>
      <c r="DC30" s="41"/>
      <c r="DD30" s="41"/>
      <c r="DE30" s="79" t="s">
        <v>48</v>
      </c>
      <c r="DF30" s="40"/>
      <c r="DG30" s="169"/>
      <c r="DH30" s="38"/>
      <c r="DI30" s="38"/>
      <c r="DJ30" s="38"/>
      <c r="DK30" s="39"/>
      <c r="DL30" s="38"/>
      <c r="DM30" s="40"/>
      <c r="DN30" s="38"/>
      <c r="DO30" s="38"/>
      <c r="DP30" s="38"/>
      <c r="DQ30" s="78" t="s">
        <v>48</v>
      </c>
      <c r="DR30" s="35"/>
      <c r="DS30" s="167"/>
      <c r="DT30" s="35"/>
      <c r="DU30" s="35"/>
      <c r="DV30" s="35"/>
      <c r="DW30" s="36"/>
      <c r="DX30" s="35"/>
      <c r="DY30" s="37"/>
      <c r="DZ30" s="35"/>
      <c r="EA30" s="35"/>
      <c r="EB30" s="35"/>
      <c r="EC30" s="33">
        <v>3</v>
      </c>
      <c r="ED30" s="32" t="s">
        <v>39</v>
      </c>
      <c r="EE30" s="190" t="str">
        <f ca="1">IFERROR(INDIRECT("fixtures!" &amp; [1]Dashboard!J1 &amp;223) - [1]Dashboard!K1/24,"TBC")</f>
        <v>TBC</v>
      </c>
      <c r="EF30" s="32"/>
      <c r="EG30" s="32" t="s">
        <v>35</v>
      </c>
      <c r="EH30" s="32" t="s">
        <v>16</v>
      </c>
      <c r="EI30" s="33">
        <f>IF(ISBLANK([1]fixtures!$L223),"",[1]fixtures!$L223)</f>
        <v>4</v>
      </c>
      <c r="EJ30" s="32" t="str">
        <f>IF(ISBLANK([1]fixtures!$L223),"",":")</f>
        <v>:</v>
      </c>
      <c r="EK30" s="34">
        <f>IF(ISBLANK([1]fixtures!$K223),"",[1]fixtures!$K223)</f>
        <v>4</v>
      </c>
      <c r="EL30" s="32" t="str">
        <f>IF(ISBLANK([1]fixtures!$L223),"",IF(EI30&gt;EK30,"W",IF(EI30=EK30,"D","L")))</f>
        <v>D</v>
      </c>
      <c r="EM30" s="32"/>
      <c r="EN30" s="32"/>
      <c r="EO30" s="30">
        <v>5</v>
      </c>
      <c r="EP30" s="29" t="s">
        <v>42</v>
      </c>
      <c r="EQ30" s="164" t="str">
        <f ca="1">IFERROR(INDIRECT("fixtures!" &amp; [1]Dashboard!J1 &amp;229) - [1]Dashboard!K1/24,"TBC")</f>
        <v>TBC</v>
      </c>
      <c r="ER30" s="29"/>
      <c r="ES30" s="29" t="s">
        <v>24</v>
      </c>
      <c r="ET30" s="29" t="s">
        <v>16</v>
      </c>
      <c r="EU30" s="30">
        <f>IF(ISBLANK([1]fixtures!$L229),"",[1]fixtures!$L229)</f>
        <v>3</v>
      </c>
      <c r="EV30" s="29" t="str">
        <f>IF(ISBLANK([1]fixtures!$L229),"",":")</f>
        <v>:</v>
      </c>
      <c r="EW30" s="31">
        <f>IF(ISBLANK([1]fixtures!$K229),"",[1]fixtures!$K229)</f>
        <v>1</v>
      </c>
      <c r="EX30" s="29" t="str">
        <f>IF(ISBLANK([1]fixtures!$L229),"",IF(EU30&gt;EW30,"W",IF(EU30=EW30,"D","L")))</f>
        <v>W</v>
      </c>
      <c r="EY30" s="29"/>
      <c r="EZ30" s="29"/>
      <c r="FA30" s="27">
        <v>1</v>
      </c>
      <c r="FB30" s="26" t="s">
        <v>45</v>
      </c>
      <c r="FC30" s="189" t="str">
        <f ca="1">IFERROR(INDIRECT("fixtures!" &amp; [1]Dashboard!J1 &amp;219) - [1]Dashboard!K1/24,"TBC")</f>
        <v>TBC</v>
      </c>
      <c r="FD30" s="26"/>
      <c r="FE30" s="26" t="s">
        <v>28</v>
      </c>
      <c r="FF30" s="26" t="s">
        <v>16</v>
      </c>
      <c r="FG30" s="27">
        <f>IF(ISBLANK([1]fixtures!$L219),"",[1]fixtures!$L219)</f>
        <v>4</v>
      </c>
      <c r="FH30" s="26" t="str">
        <f>IF(ISBLANK([1]fixtures!$L219),"",":")</f>
        <v>:</v>
      </c>
      <c r="FI30" s="28">
        <f>IF(ISBLANK([1]fixtures!$K219),"",[1]fixtures!$K219)</f>
        <v>3</v>
      </c>
      <c r="FJ30" s="26" t="str">
        <f>IF(ISBLANK([1]fixtures!$L219),"",IF(FG30&gt;FI30,"W",IF(FG30=FI30,"D","L")))</f>
        <v>W</v>
      </c>
      <c r="FK30" s="26"/>
      <c r="FL30" s="26"/>
      <c r="FM30" s="96" t="s">
        <v>48</v>
      </c>
      <c r="FN30" s="25"/>
      <c r="FO30" s="161"/>
      <c r="FP30" s="23"/>
      <c r="FQ30" s="23"/>
      <c r="FR30" s="23"/>
      <c r="FS30" s="24"/>
      <c r="FT30" s="23"/>
      <c r="FU30" s="25"/>
      <c r="FV30" s="23"/>
      <c r="FW30" s="23"/>
      <c r="FX30" s="23"/>
      <c r="FY30" s="95" t="s">
        <v>48</v>
      </c>
      <c r="FZ30" s="22"/>
      <c r="GA30" s="159"/>
      <c r="GB30" s="20"/>
      <c r="GC30" s="20"/>
      <c r="GD30" s="20"/>
      <c r="GE30" s="21"/>
      <c r="GF30" s="20"/>
      <c r="GG30" s="22"/>
      <c r="GH30" s="20"/>
      <c r="GI30" s="20"/>
      <c r="GJ30" s="20"/>
      <c r="GK30" s="72" t="s">
        <v>48</v>
      </c>
      <c r="GL30" s="17"/>
      <c r="GM30" s="157"/>
      <c r="GN30" s="17"/>
      <c r="GO30" s="17"/>
      <c r="GP30" s="17"/>
      <c r="GQ30" s="18"/>
      <c r="GR30" s="17"/>
      <c r="GS30" s="19"/>
      <c r="GT30" s="17"/>
      <c r="GU30" s="17"/>
      <c r="GV30" s="17"/>
      <c r="GW30" s="93" t="s">
        <v>48</v>
      </c>
      <c r="GX30" s="14"/>
      <c r="GY30" s="155"/>
      <c r="GZ30" s="14"/>
      <c r="HA30" s="14"/>
      <c r="HB30" s="14"/>
      <c r="HC30" s="15"/>
      <c r="HD30" s="14"/>
      <c r="HE30" s="16"/>
      <c r="HF30" s="14"/>
      <c r="HG30" s="14"/>
      <c r="HH30" s="14"/>
      <c r="HI30" s="12">
        <v>1</v>
      </c>
      <c r="HJ30" s="11" t="s">
        <v>45</v>
      </c>
      <c r="HK30" s="153" t="str">
        <f ca="1">IFERROR(INDIRECT("fixtures!" &amp; [1]Dashboard!J1 &amp;218) - [1]Dashboard!K1/24,"TBC")</f>
        <v>TBC</v>
      </c>
      <c r="HL30" s="11"/>
      <c r="HM30" s="11" t="s">
        <v>32</v>
      </c>
      <c r="HN30" s="11" t="s">
        <v>21</v>
      </c>
      <c r="HO30" s="12">
        <f>IF(ISBLANK([1]fixtures!$K218),"",[1]fixtures!$K218)</f>
        <v>1</v>
      </c>
      <c r="HP30" s="11" t="str">
        <f>IF(ISBLANK([1]fixtures!$L218),"",":")</f>
        <v>:</v>
      </c>
      <c r="HQ30" s="13">
        <f>IF(ISBLANK([1]fixtures!$L218),"",[1]fixtures!$L218)</f>
        <v>1</v>
      </c>
      <c r="HR30" s="11" t="str">
        <f>IF(ISBLANK([1]fixtures!$L218),"",IF(HO30&gt;HQ30,"W",IF(HO30=HQ30,"D","L")))</f>
        <v>D</v>
      </c>
      <c r="HS30" s="11"/>
      <c r="HT30" s="11"/>
      <c r="HU30" s="9">
        <v>1</v>
      </c>
      <c r="HV30" s="8" t="s">
        <v>45</v>
      </c>
      <c r="HW30" s="151" t="str">
        <f ca="1">IFERROR(INDIRECT("fixtures!" &amp; [1]Dashboard!J1 &amp;219) - [1]Dashboard!K1/24,"TBC")</f>
        <v>TBC</v>
      </c>
      <c r="HX30" s="8"/>
      <c r="HY30" s="8" t="s">
        <v>34</v>
      </c>
      <c r="HZ30" s="8" t="s">
        <v>21</v>
      </c>
      <c r="IA30" s="9">
        <f>IF(ISBLANK([1]fixtures!$K219),"",[1]fixtures!$K219)</f>
        <v>3</v>
      </c>
      <c r="IB30" s="8" t="str">
        <f>IF(ISBLANK([1]fixtures!$L219),"",":")</f>
        <v>:</v>
      </c>
      <c r="IC30" s="10">
        <f>IF(ISBLANK([1]fixtures!$L219),"",[1]fixtures!$L219)</f>
        <v>4</v>
      </c>
      <c r="ID30" s="8" t="str">
        <f>IF(ISBLANK([1]fixtures!$L219),"",IF(IA30&gt;IC30,"W",IF(IA30=IC30,"D","L")))</f>
        <v>L</v>
      </c>
      <c r="IE30" s="8"/>
      <c r="IF30" s="8"/>
    </row>
    <row r="31" spans="1:243" x14ac:dyDescent="0.25">
      <c r="A31" s="67">
        <v>4</v>
      </c>
      <c r="B31" s="66" t="s">
        <v>18</v>
      </c>
      <c r="C31" s="187" t="str">
        <f ca="1">IFERROR(INDIRECT("fixtures!" &amp; [1]Dashboard!J1 &amp;228) - [1]Dashboard!K1/24,"TBC")</f>
        <v>TBC</v>
      </c>
      <c r="D31" s="66"/>
      <c r="E31" s="66" t="s">
        <v>17</v>
      </c>
      <c r="F31" s="66" t="s">
        <v>21</v>
      </c>
      <c r="G31" s="67">
        <f>IF(ISBLANK([1]fixtures!$K228),"",[1]fixtures!$K228)</f>
        <v>3</v>
      </c>
      <c r="H31" s="66" t="str">
        <f>IF(ISBLANK([1]fixtures!$L228),"",":")</f>
        <v>:</v>
      </c>
      <c r="I31" s="68">
        <f>IF(ISBLANK([1]fixtures!$L228),"",[1]fixtures!$L228)</f>
        <v>1</v>
      </c>
      <c r="J31" s="66" t="str">
        <f>IF(ISBLANK([1]fixtures!$L228),"",IF(G31&gt;I31,"W",IF(G31=I31,"D","L")))</f>
        <v>W</v>
      </c>
      <c r="K31" s="66"/>
      <c r="L31" s="66"/>
      <c r="M31" s="63">
        <v>3</v>
      </c>
      <c r="N31" s="62" t="s">
        <v>39</v>
      </c>
      <c r="O31" s="185" t="str">
        <f ca="1">IFERROR(INDIRECT("fixtures!" &amp; [1]Dashboard!J1 &amp;224) - [1]Dashboard!K1/24,"TBC")</f>
        <v>TBC</v>
      </c>
      <c r="P31" s="62"/>
      <c r="Q31" s="62" t="s">
        <v>20</v>
      </c>
      <c r="R31" s="62" t="s">
        <v>16</v>
      </c>
      <c r="S31" s="63">
        <f>IF(ISBLANK([1]fixtures!$L224),"",[1]fixtures!$L224)</f>
        <v>5</v>
      </c>
      <c r="T31" s="62" t="str">
        <f>IF(ISBLANK([1]fixtures!$L224),"",":")</f>
        <v>:</v>
      </c>
      <c r="U31" s="64">
        <f>IF(ISBLANK([1]fixtures!$K224),"",[1]fixtures!$K224)</f>
        <v>0</v>
      </c>
      <c r="V31" s="62" t="str">
        <f>IF(ISBLANK([1]fixtures!$L224),"",IF(S31&gt;U31,"W",IF(S31=U31,"D","L")))</f>
        <v>W</v>
      </c>
      <c r="W31" s="62"/>
      <c r="X31" s="62"/>
      <c r="Y31" s="60">
        <v>10</v>
      </c>
      <c r="Z31" s="59" t="s">
        <v>39</v>
      </c>
      <c r="AA31" s="183" t="str">
        <f ca="1">IFERROR(INDIRECT("fixtures!" &amp; [1]Dashboard!J1 &amp;231) - [1]Dashboard!K1/24,"TBC")</f>
        <v>TBC</v>
      </c>
      <c r="AB31" s="59"/>
      <c r="AC31" s="59" t="s">
        <v>27</v>
      </c>
      <c r="AD31" s="59" t="s">
        <v>16</v>
      </c>
      <c r="AE31" s="60">
        <f>IF(ISBLANK([1]fixtures!$L231),"",[1]fixtures!$L231)</f>
        <v>1</v>
      </c>
      <c r="AF31" s="59" t="str">
        <f>IF(ISBLANK([1]fixtures!$L231),"",":")</f>
        <v>:</v>
      </c>
      <c r="AG31" s="61">
        <f>IF(ISBLANK([1]fixtures!$K231),"",[1]fixtures!$K231)</f>
        <v>3</v>
      </c>
      <c r="AH31" s="59" t="str">
        <f>IF(ISBLANK([1]fixtures!$L231),"",IF(AE31&gt;AG31,"W",IF(AE31=AG31,"D","L")))</f>
        <v>L</v>
      </c>
      <c r="AI31" s="59"/>
      <c r="AJ31" s="59"/>
      <c r="AK31" s="57">
        <v>10</v>
      </c>
      <c r="AL31" s="56" t="s">
        <v>39</v>
      </c>
      <c r="AM31" s="181" t="str">
        <f ca="1">IFERROR(INDIRECT("fixtures!" &amp; [1]Dashboard!J1 &amp;235) - [1]Dashboard!K1/24,"TBC")</f>
        <v>TBC</v>
      </c>
      <c r="AN31" s="56"/>
      <c r="AO31" s="56" t="s">
        <v>28</v>
      </c>
      <c r="AP31" s="56" t="s">
        <v>16</v>
      </c>
      <c r="AQ31" s="57">
        <f>IF(ISBLANK([1]fixtures!$L235),"",[1]fixtures!$L235)</f>
        <v>2</v>
      </c>
      <c r="AR31" s="56" t="str">
        <f>IF(ISBLANK([1]fixtures!$L235),"",":")</f>
        <v>:</v>
      </c>
      <c r="AS31" s="58">
        <f>IF(ISBLANK([1]fixtures!$K235),"",[1]fixtures!$K235)</f>
        <v>0</v>
      </c>
      <c r="AT31" s="56" t="str">
        <f>IF(ISBLANK([1]fixtures!$L235),"",IF(AQ31&gt;AS31,"W",IF(AQ31=AS31,"D","L")))</f>
        <v>W</v>
      </c>
      <c r="AU31" s="56"/>
      <c r="AV31" s="56"/>
      <c r="AW31" s="54">
        <v>3</v>
      </c>
      <c r="AX31" s="53" t="s">
        <v>39</v>
      </c>
      <c r="AY31" s="179" t="str">
        <f ca="1">IFERROR(INDIRECT("fixtures!" &amp; [1]Dashboard!J1 &amp;221) - [1]Dashboard!K1/24,"TBC")</f>
        <v>TBC</v>
      </c>
      <c r="AZ31" s="53"/>
      <c r="BA31" s="53" t="s">
        <v>37</v>
      </c>
      <c r="BB31" s="53" t="s">
        <v>21</v>
      </c>
      <c r="BC31" s="54">
        <f>IF(ISBLANK([1]fixtures!$K221),"",[1]fixtures!$K221)</f>
        <v>4</v>
      </c>
      <c r="BD31" s="53" t="str">
        <f>IF(ISBLANK([1]fixtures!$L221),"",":")</f>
        <v>:</v>
      </c>
      <c r="BE31" s="55">
        <f>IF(ISBLANK([1]fixtures!$L221),"",[1]fixtures!$L221)</f>
        <v>1</v>
      </c>
      <c r="BF31" s="53" t="str">
        <f>IF(ISBLANK([1]fixtures!$L221),"",IF(BC31&gt;BE31,"W",IF(BC31=BE31,"D","L")))</f>
        <v>W</v>
      </c>
      <c r="BG31" s="53"/>
      <c r="BH31" s="53"/>
      <c r="BI31" s="51">
        <v>3</v>
      </c>
      <c r="BJ31" s="50" t="s">
        <v>39</v>
      </c>
      <c r="BK31" s="177" t="str">
        <f ca="1">IFERROR(INDIRECT("fixtures!" &amp; [1]Dashboard!J1 &amp;222) - [1]Dashboard!K1/24,"TBC")</f>
        <v>TBC</v>
      </c>
      <c r="BL31" s="50"/>
      <c r="BM31" s="50" t="s">
        <v>27</v>
      </c>
      <c r="BN31" s="50" t="s">
        <v>21</v>
      </c>
      <c r="BO31" s="51">
        <f>IF(ISBLANK([1]fixtures!$K222),"",[1]fixtures!$K222)</f>
        <v>2</v>
      </c>
      <c r="BP31" s="50" t="str">
        <f>IF(ISBLANK([1]fixtures!$L222),"",":")</f>
        <v>:</v>
      </c>
      <c r="BQ31" s="52">
        <f>IF(ISBLANK([1]fixtures!$L222),"",[1]fixtures!$L222)</f>
        <v>2</v>
      </c>
      <c r="BR31" s="50" t="str">
        <f>IF(ISBLANK([1]fixtures!$L222),"",IF(BO31&gt;BQ31,"W",IF(BO31=BQ31,"D","L")))</f>
        <v>D</v>
      </c>
      <c r="BS31" s="50"/>
      <c r="BT31" s="50"/>
      <c r="BU31" s="48">
        <v>4</v>
      </c>
      <c r="BV31" s="47" t="s">
        <v>18</v>
      </c>
      <c r="BW31" s="175" t="str">
        <f ca="1">IFERROR(INDIRECT("fixtures!" &amp; [1]Dashboard!J1 &amp;226) - [1]Dashboard!K1/24,"TBC")</f>
        <v>TBC</v>
      </c>
      <c r="BX31" s="47"/>
      <c r="BY31" s="47" t="s">
        <v>28</v>
      </c>
      <c r="BZ31" s="47" t="s">
        <v>21</v>
      </c>
      <c r="CA31" s="48">
        <f>IF(ISBLANK([1]fixtures!$K226),"",[1]fixtures!$K226)</f>
        <v>2</v>
      </c>
      <c r="CB31" s="47" t="str">
        <f>IF(ISBLANK([1]fixtures!$L226),"",":")</f>
        <v>:</v>
      </c>
      <c r="CC31" s="49">
        <f>IF(ISBLANK([1]fixtures!$L226),"",[1]fixtures!$L226)</f>
        <v>4</v>
      </c>
      <c r="CD31" s="47" t="str">
        <f>IF(ISBLANK([1]fixtures!$L226),"",IF(CA31&gt;CC31,"W",IF(CA31=CC31,"D","L")))</f>
        <v>L</v>
      </c>
      <c r="CE31" s="47"/>
      <c r="CF31" s="47"/>
      <c r="CG31" s="45">
        <v>3</v>
      </c>
      <c r="CH31" s="44" t="s">
        <v>39</v>
      </c>
      <c r="CI31" s="173" t="str">
        <f ca="1">IFERROR(INDIRECT("fixtures!" &amp; [1]Dashboard!J1 &amp;221) - [1]Dashboard!K1/24,"TBC")</f>
        <v>TBC</v>
      </c>
      <c r="CJ31" s="44"/>
      <c r="CK31" s="44" t="s">
        <v>25</v>
      </c>
      <c r="CL31" s="44" t="s">
        <v>16</v>
      </c>
      <c r="CM31" s="45">
        <f>IF(ISBLANK([1]fixtures!$L221),"",[1]fixtures!$L221)</f>
        <v>1</v>
      </c>
      <c r="CN31" s="44" t="str">
        <f>IF(ISBLANK([1]fixtures!$L221),"",":")</f>
        <v>:</v>
      </c>
      <c r="CO31" s="46">
        <f>IF(ISBLANK([1]fixtures!$K221),"",[1]fixtures!$K221)</f>
        <v>4</v>
      </c>
      <c r="CP31" s="44" t="str">
        <f>IF(ISBLANK([1]fixtures!$L221),"",IF(CM31&gt;CO31,"W",IF(CM31=CO31,"D","L")))</f>
        <v>L</v>
      </c>
      <c r="CQ31" s="44"/>
      <c r="CR31" s="44"/>
      <c r="CS31" s="42">
        <v>3</v>
      </c>
      <c r="CT31" s="41" t="s">
        <v>39</v>
      </c>
      <c r="CU31" s="171" t="str">
        <f ca="1">IFERROR(INDIRECT("fixtures!" &amp; [1]Dashboard!J1 &amp;220) - [1]Dashboard!K1/24,"TBC")</f>
        <v>TBC</v>
      </c>
      <c r="CV31" s="41"/>
      <c r="CW31" s="41" t="s">
        <v>22</v>
      </c>
      <c r="CX31" s="41" t="s">
        <v>21</v>
      </c>
      <c r="CY31" s="42">
        <f>IF(ISBLANK([1]fixtures!$K220),"",[1]fixtures!$K220)</f>
        <v>2</v>
      </c>
      <c r="CZ31" s="41" t="str">
        <f>IF(ISBLANK([1]fixtures!$L220),"",":")</f>
        <v>:</v>
      </c>
      <c r="DA31" s="43">
        <f>IF(ISBLANK([1]fixtures!$L220),"",[1]fixtures!$L220)</f>
        <v>2</v>
      </c>
      <c r="DB31" s="41" t="str">
        <f>IF(ISBLANK([1]fixtures!$L220),"",IF(CY31&gt;DA31,"W",IF(CY31=DA31,"D","L")))</f>
        <v>D</v>
      </c>
      <c r="DC31" s="41"/>
      <c r="DD31" s="41"/>
      <c r="DE31" s="39">
        <v>3</v>
      </c>
      <c r="DF31" s="40" t="s">
        <v>39</v>
      </c>
      <c r="DG31" s="169" t="str">
        <f ca="1">IFERROR(INDIRECT("fixtures!" &amp; [1]Dashboard!J1 &amp;222) - [1]Dashboard!K1/24,"TBC")</f>
        <v>TBC</v>
      </c>
      <c r="DH31" s="38"/>
      <c r="DI31" s="38" t="s">
        <v>23</v>
      </c>
      <c r="DJ31" s="38" t="s">
        <v>16</v>
      </c>
      <c r="DK31" s="39">
        <f>IF(ISBLANK([1]fixtures!$L222),"",[1]fixtures!$L222)</f>
        <v>2</v>
      </c>
      <c r="DL31" s="38" t="str">
        <f>IF(ISBLANK([1]fixtures!$L222),"",":")</f>
        <v>:</v>
      </c>
      <c r="DM31" s="40">
        <f>IF(ISBLANK([1]fixtures!$K222),"",[1]fixtures!$K222)</f>
        <v>2</v>
      </c>
      <c r="DN31" s="38" t="str">
        <f>IF(ISBLANK([1]fixtures!$L222),"",IF(DK31&gt;DM31,"W",IF(DK31=DM31,"D","L")))</f>
        <v>D</v>
      </c>
      <c r="DO31" s="38"/>
      <c r="DP31" s="38"/>
      <c r="DQ31" s="36">
        <v>4</v>
      </c>
      <c r="DR31" s="35" t="s">
        <v>18</v>
      </c>
      <c r="DS31" s="167" t="str">
        <f ca="1">IFERROR(INDIRECT("fixtures!" &amp; [1]Dashboard!J1 &amp;228) - [1]Dashboard!K1/24,"TBC")</f>
        <v>TBC</v>
      </c>
      <c r="DT31" s="35"/>
      <c r="DU31" s="35" t="s">
        <v>30</v>
      </c>
      <c r="DV31" s="35" t="s">
        <v>16</v>
      </c>
      <c r="DW31" s="36">
        <f>IF(ISBLANK([1]fixtures!$L228),"",[1]fixtures!$L228)</f>
        <v>1</v>
      </c>
      <c r="DX31" s="35" t="str">
        <f>IF(ISBLANK([1]fixtures!$L228),"",":")</f>
        <v>:</v>
      </c>
      <c r="DY31" s="37">
        <f>IF(ISBLANK([1]fixtures!$K228),"",[1]fixtures!$K228)</f>
        <v>3</v>
      </c>
      <c r="DZ31" s="35" t="str">
        <f>IF(ISBLANK([1]fixtures!$L228),"",IF(DW31&gt;DY31,"W",IF(DW31=DY31,"D","L")))</f>
        <v>L</v>
      </c>
      <c r="EA31" s="35"/>
      <c r="EB31" s="35"/>
      <c r="EC31" s="33">
        <v>10</v>
      </c>
      <c r="ED31" s="32" t="s">
        <v>39</v>
      </c>
      <c r="EE31" s="190" t="str">
        <f ca="1">IFERROR(INDIRECT("fixtures!" &amp; [1]Dashboard!J1 &amp;233) - [1]Dashboard!K1/24,"TBC")</f>
        <v>TBC</v>
      </c>
      <c r="EF31" s="32"/>
      <c r="EG31" s="32" t="s">
        <v>20</v>
      </c>
      <c r="EH31" s="32" t="s">
        <v>21</v>
      </c>
      <c r="EI31" s="33">
        <f>IF(ISBLANK([1]fixtures!$K233),"",[1]fixtures!$K233)</f>
        <v>1</v>
      </c>
      <c r="EJ31" s="32" t="str">
        <f>IF(ISBLANK([1]fixtures!$L233),"",":")</f>
        <v>:</v>
      </c>
      <c r="EK31" s="34">
        <f>IF(ISBLANK([1]fixtures!$L233),"",[1]fixtures!$L233)</f>
        <v>3</v>
      </c>
      <c r="EL31" s="32" t="str">
        <f>IF(ISBLANK([1]fixtures!$L233),"",IF(EI31&gt;EK31,"W",IF(EI31=EK31,"D","L")))</f>
        <v>L</v>
      </c>
      <c r="EM31" s="32"/>
      <c r="EN31" s="32"/>
      <c r="EO31" s="30">
        <v>10</v>
      </c>
      <c r="EP31" s="29" t="s">
        <v>39</v>
      </c>
      <c r="EQ31" s="164" t="str">
        <f ca="1">IFERROR(INDIRECT("fixtures!" &amp; [1]Dashboard!J1 &amp;230) - [1]Dashboard!K1/24,"TBC")</f>
        <v>TBC</v>
      </c>
      <c r="ER31" s="29"/>
      <c r="ES31" s="29" t="s">
        <v>38</v>
      </c>
      <c r="ET31" s="29" t="s">
        <v>21</v>
      </c>
      <c r="EU31" s="30">
        <f>IF(ISBLANK([1]fixtures!$K230),"",[1]fixtures!$K230)</f>
        <v>2</v>
      </c>
      <c r="EV31" s="29" t="str">
        <f>IF(ISBLANK([1]fixtures!$L230),"",":")</f>
        <v>:</v>
      </c>
      <c r="EW31" s="31">
        <f>IF(ISBLANK([1]fixtures!$L230),"",[1]fixtures!$L230)</f>
        <v>0</v>
      </c>
      <c r="EX31" s="29" t="str">
        <f>IF(ISBLANK([1]fixtures!$L230),"",IF(EU31&gt;EW31,"W",IF(EU31=EW31,"D","L")))</f>
        <v>W</v>
      </c>
      <c r="EY31" s="29"/>
      <c r="EZ31" s="29"/>
      <c r="FA31" s="27">
        <v>4</v>
      </c>
      <c r="FB31" s="26" t="s">
        <v>18</v>
      </c>
      <c r="FC31" s="189" t="str">
        <f ca="1">IFERROR(INDIRECT("fixtures!" &amp; [1]Dashboard!J1 &amp;227) - [1]Dashboard!K1/24,"TBC")</f>
        <v>TBC</v>
      </c>
      <c r="FD31" s="26"/>
      <c r="FE31" s="26" t="s">
        <v>26</v>
      </c>
      <c r="FF31" s="26" t="s">
        <v>21</v>
      </c>
      <c r="FG31" s="27">
        <f>IF(ISBLANK([1]fixtures!$K227),"",[1]fixtures!$K227)</f>
        <v>3</v>
      </c>
      <c r="FH31" s="26" t="str">
        <f>IF(ISBLANK([1]fixtures!$L227),"",":")</f>
        <v>:</v>
      </c>
      <c r="FI31" s="28">
        <f>IF(ISBLANK([1]fixtures!$L227),"",[1]fixtures!$L227)</f>
        <v>0</v>
      </c>
      <c r="FJ31" s="26" t="str">
        <f>IF(ISBLANK([1]fixtures!$L227),"",IF(FG31&gt;FI31,"W",IF(FG31=FI31,"D","L")))</f>
        <v>W</v>
      </c>
      <c r="FK31" s="26"/>
      <c r="FL31" s="26"/>
      <c r="FM31" s="24">
        <v>3</v>
      </c>
      <c r="FN31" s="23" t="s">
        <v>39</v>
      </c>
      <c r="FO31" s="161" t="str">
        <f ca="1">IFERROR(INDIRECT("fixtures!" &amp; [1]Dashboard!J1 &amp;223) - [1]Dashboard!K1/24,"TBC")</f>
        <v>TBC</v>
      </c>
      <c r="FP31" s="23"/>
      <c r="FQ31" s="23" t="s">
        <v>29</v>
      </c>
      <c r="FR31" s="23" t="s">
        <v>21</v>
      </c>
      <c r="FS31" s="24">
        <f>IF(ISBLANK([1]fixtures!$K223),"",[1]fixtures!$K223)</f>
        <v>4</v>
      </c>
      <c r="FT31" s="23" t="str">
        <f>IF(ISBLANK([1]fixtures!$L223),"",":")</f>
        <v>:</v>
      </c>
      <c r="FU31" s="25">
        <f>IF(ISBLANK([1]fixtures!$L223),"",[1]fixtures!$L223)</f>
        <v>4</v>
      </c>
      <c r="FV31" s="23" t="str">
        <f>IF(ISBLANK([1]fixtures!$L223),"",IF(FS31&gt;FU31,"W",IF(FS31=FU31,"D","L")))</f>
        <v>D</v>
      </c>
      <c r="FW31" s="23"/>
      <c r="FX31" s="23"/>
      <c r="FY31" s="21">
        <v>4</v>
      </c>
      <c r="FZ31" s="20" t="s">
        <v>18</v>
      </c>
      <c r="GA31" s="159" t="str">
        <f ca="1">IFERROR(INDIRECT("fixtures!" &amp; [1]Dashboard!J1 &amp;225) - [1]Dashboard!K1/24,"TBC")</f>
        <v>TBC</v>
      </c>
      <c r="GB31" s="20"/>
      <c r="GC31" s="20" t="s">
        <v>32</v>
      </c>
      <c r="GD31" s="20" t="s">
        <v>16</v>
      </c>
      <c r="GE31" s="21">
        <f>IF(ISBLANK([1]fixtures!$L225),"",[1]fixtures!$L225)</f>
        <v>1</v>
      </c>
      <c r="GF31" s="20" t="str">
        <f>IF(ISBLANK([1]fixtures!$L225),"",":")</f>
        <v>:</v>
      </c>
      <c r="GG31" s="22">
        <f>IF(ISBLANK([1]fixtures!$K225),"",[1]fixtures!$K225)</f>
        <v>1</v>
      </c>
      <c r="GH31" s="20" t="str">
        <f>IF(ISBLANK([1]fixtures!$L225),"",IF(GE31&gt;GG31,"W",IF(GE31=GG31,"D","L")))</f>
        <v>D</v>
      </c>
      <c r="GI31" s="20"/>
      <c r="GJ31" s="20"/>
      <c r="GK31" s="18">
        <v>3</v>
      </c>
      <c r="GL31" s="17" t="s">
        <v>39</v>
      </c>
      <c r="GM31" s="157" t="str">
        <f ca="1">IFERROR(INDIRECT("fixtures!" &amp; [1]Dashboard!J1 &amp;224) - [1]Dashboard!K1/24,"TBC")</f>
        <v>TBC</v>
      </c>
      <c r="GN31" s="17"/>
      <c r="GO31" s="17" t="s">
        <v>31</v>
      </c>
      <c r="GP31" s="17" t="s">
        <v>21</v>
      </c>
      <c r="GQ31" s="18">
        <f>IF(ISBLANK([1]fixtures!$K224),"",[1]fixtures!$K224)</f>
        <v>0</v>
      </c>
      <c r="GR31" s="17" t="str">
        <f>IF(ISBLANK([1]fixtures!$L224),"",":")</f>
        <v>:</v>
      </c>
      <c r="GS31" s="19">
        <f>IF(ISBLANK([1]fixtures!$L224),"",[1]fixtures!$L224)</f>
        <v>5</v>
      </c>
      <c r="GT31" s="17" t="str">
        <f>IF(ISBLANK([1]fixtures!$L224),"",IF(GQ31&gt;GS31,"W",IF(GQ31=GS31,"D","L")))</f>
        <v>L</v>
      </c>
      <c r="GU31" s="17"/>
      <c r="GV31" s="17"/>
      <c r="GW31" s="15">
        <v>3</v>
      </c>
      <c r="GX31" s="14" t="s">
        <v>39</v>
      </c>
      <c r="GY31" s="155" t="str">
        <f ca="1">IFERROR(INDIRECT("fixtures!" &amp; [1]Dashboard!J1 &amp;220) - [1]Dashboard!K1/24,"TBC")</f>
        <v>TBC</v>
      </c>
      <c r="GZ31" s="14"/>
      <c r="HA31" s="14" t="s">
        <v>38</v>
      </c>
      <c r="HB31" s="14" t="s">
        <v>16</v>
      </c>
      <c r="HC31" s="15">
        <f>IF(ISBLANK([1]fixtures!$L220),"",[1]fixtures!$L220)</f>
        <v>2</v>
      </c>
      <c r="HD31" s="14" t="str">
        <f>IF(ISBLANK([1]fixtures!$L220),"",":")</f>
        <v>:</v>
      </c>
      <c r="HE31" s="16">
        <f>IF(ISBLANK([1]fixtures!$K220),"",[1]fixtures!$K220)</f>
        <v>2</v>
      </c>
      <c r="HF31" s="14" t="str">
        <f>IF(ISBLANK([1]fixtures!$L220),"",IF(HC31&gt;HE31,"W",IF(HC31=HE31,"D","L")))</f>
        <v>D</v>
      </c>
      <c r="HG31" s="14"/>
      <c r="HH31" s="14"/>
      <c r="HI31" s="12">
        <v>4</v>
      </c>
      <c r="HJ31" s="11" t="s">
        <v>18</v>
      </c>
      <c r="HK31" s="153" t="str">
        <f ca="1">IFERROR(INDIRECT("fixtures!" &amp; [1]Dashboard!J1 &amp;227) - [1]Dashboard!K1/24,"TBC")</f>
        <v>TBC</v>
      </c>
      <c r="HL31" s="11"/>
      <c r="HM31" s="11" t="s">
        <v>34</v>
      </c>
      <c r="HN31" s="11" t="s">
        <v>16</v>
      </c>
      <c r="HO31" s="12">
        <f>IF(ISBLANK([1]fixtures!$L227),"",[1]fixtures!$L227)</f>
        <v>0</v>
      </c>
      <c r="HP31" s="11" t="str">
        <f>IF(ISBLANK([1]fixtures!$L227),"",":")</f>
        <v>:</v>
      </c>
      <c r="HQ31" s="13">
        <f>IF(ISBLANK([1]fixtures!$K227),"",[1]fixtures!$K227)</f>
        <v>3</v>
      </c>
      <c r="HR31" s="11" t="str">
        <f>IF(ISBLANK([1]fixtures!$L227),"",IF(HO31&gt;HQ31,"W",IF(HO31=HQ31,"D","L")))</f>
        <v>L</v>
      </c>
      <c r="HS31" s="11"/>
      <c r="HT31" s="11"/>
      <c r="HU31" s="9">
        <v>4</v>
      </c>
      <c r="HV31" s="8" t="s">
        <v>18</v>
      </c>
      <c r="HW31" s="151" t="str">
        <f ca="1">IFERROR(INDIRECT("fixtures!" &amp; [1]Dashboard!J1 &amp;226) - [1]Dashboard!K1/24,"TBC")</f>
        <v>TBC</v>
      </c>
      <c r="HX31" s="8"/>
      <c r="HY31" s="8" t="s">
        <v>36</v>
      </c>
      <c r="HZ31" s="8" t="s">
        <v>16</v>
      </c>
      <c r="IA31" s="9">
        <f>IF(ISBLANK([1]fixtures!$L226),"",[1]fixtures!$L226)</f>
        <v>4</v>
      </c>
      <c r="IB31" s="8" t="str">
        <f>IF(ISBLANK([1]fixtures!$L226),"",":")</f>
        <v>:</v>
      </c>
      <c r="IC31" s="10">
        <f>IF(ISBLANK([1]fixtures!$K226),"",[1]fixtures!$K226)</f>
        <v>2</v>
      </c>
      <c r="ID31" s="8" t="str">
        <f>IF(ISBLANK([1]fixtures!$L226),"",IF(IA31&gt;IC31,"W",IF(IA31=IC31,"D","L")))</f>
        <v>W</v>
      </c>
      <c r="IE31" s="8"/>
      <c r="IF31" s="8"/>
      <c r="II31" s="7"/>
    </row>
    <row r="32" spans="1:243" x14ac:dyDescent="0.25">
      <c r="A32" s="67">
        <v>11</v>
      </c>
      <c r="B32" s="66" t="s">
        <v>18</v>
      </c>
      <c r="C32" s="187" t="str">
        <f ca="1">IFERROR(INDIRECT("fixtures!" &amp; [1]Dashboard!J1 &amp;237) - [1]Dashboard!K1/24,"TBC")</f>
        <v>TBC</v>
      </c>
      <c r="D32" s="66"/>
      <c r="E32" s="66" t="s">
        <v>26</v>
      </c>
      <c r="F32" s="66" t="s">
        <v>16</v>
      </c>
      <c r="G32" s="67">
        <f>IF(ISBLANK([1]fixtures!$L237),"",[1]fixtures!$L237)</f>
        <v>6</v>
      </c>
      <c r="H32" s="66" t="str">
        <f>IF(ISBLANK([1]fixtures!$L237),"",":")</f>
        <v>:</v>
      </c>
      <c r="I32" s="68">
        <f>IF(ISBLANK([1]fixtures!$K237),"",[1]fixtures!$K237)</f>
        <v>0</v>
      </c>
      <c r="J32" s="66" t="str">
        <f>IF(ISBLANK([1]fixtures!$L237),"",IF(G32&gt;I32,"W",IF(G32=I32,"D","L")))</f>
        <v>W</v>
      </c>
      <c r="K32" s="66"/>
      <c r="L32" s="66"/>
      <c r="M32" s="63">
        <v>11</v>
      </c>
      <c r="N32" s="62" t="s">
        <v>18</v>
      </c>
      <c r="O32" s="185" t="str">
        <f ca="1">IFERROR(INDIRECT("fixtures!" &amp; [1]Dashboard!J1 &amp;238) - [1]Dashboard!K1/24,"TBC")</f>
        <v>TBC</v>
      </c>
      <c r="P32" s="62"/>
      <c r="Q32" s="62" t="s">
        <v>34</v>
      </c>
      <c r="R32" s="62" t="s">
        <v>21</v>
      </c>
      <c r="S32" s="63">
        <f>IF(ISBLANK([1]fixtures!$K238),"",[1]fixtures!$K238)</f>
        <v>1</v>
      </c>
      <c r="T32" s="62" t="str">
        <f>IF(ISBLANK([1]fixtures!$L238),"",":")</f>
        <v>:</v>
      </c>
      <c r="U32" s="64">
        <f>IF(ISBLANK([1]fixtures!$L238),"",[1]fixtures!$L238)</f>
        <v>2</v>
      </c>
      <c r="V32" s="62" t="str">
        <f>IF(ISBLANK([1]fixtures!$L238),"",IF(S32&gt;U32,"W",IF(S32=U32,"D","L")))</f>
        <v>L</v>
      </c>
      <c r="W32" s="62"/>
      <c r="X32" s="62"/>
      <c r="Y32" s="60">
        <v>17</v>
      </c>
      <c r="Z32" s="59" t="s">
        <v>39</v>
      </c>
      <c r="AA32" s="183" t="str">
        <f ca="1">IFERROR(INDIRECT("fixtures!" &amp; [1]Dashboard!J1 &amp;243) - [1]Dashboard!K1/24,"TBC")</f>
        <v>TBC</v>
      </c>
      <c r="AB32" s="59"/>
      <c r="AC32" s="59" t="s">
        <v>35</v>
      </c>
      <c r="AD32" s="59" t="s">
        <v>16</v>
      </c>
      <c r="AE32" s="60">
        <f>IF(ISBLANK([1]fixtures!$L243),"",[1]fixtures!$L243)</f>
        <v>2</v>
      </c>
      <c r="AF32" s="59" t="str">
        <f>IF(ISBLANK([1]fixtures!$L243),"",":")</f>
        <v>:</v>
      </c>
      <c r="AG32" s="61">
        <f>IF(ISBLANK([1]fixtures!$K243),"",[1]fixtures!$K243)</f>
        <v>2</v>
      </c>
      <c r="AH32" s="59" t="str">
        <f>IF(ISBLANK([1]fixtures!$L243),"",IF(AE32&gt;AG32,"W",IF(AE32=AG32,"D","L")))</f>
        <v>D</v>
      </c>
      <c r="AI32" s="59"/>
      <c r="AJ32" s="59"/>
      <c r="AK32" s="57">
        <v>17</v>
      </c>
      <c r="AL32" s="58" t="s">
        <v>39</v>
      </c>
      <c r="AM32" s="181" t="str">
        <f ca="1">IFERROR(INDIRECT("fixtures!" &amp; [1]Dashboard!J1 &amp;240) - [1]Dashboard!K1/24,"TBC")</f>
        <v>TBC</v>
      </c>
      <c r="AN32" s="56"/>
      <c r="AO32" s="56" t="s">
        <v>17</v>
      </c>
      <c r="AP32" s="56" t="s">
        <v>21</v>
      </c>
      <c r="AQ32" s="57">
        <f>IF(ISBLANK([1]fixtures!$K240),"",[1]fixtures!$K240)</f>
        <v>1</v>
      </c>
      <c r="AR32" s="56" t="str">
        <f>IF(ISBLANK([1]fixtures!$L240),"",":")</f>
        <v>:</v>
      </c>
      <c r="AS32" s="58">
        <f>IF(ISBLANK([1]fixtures!$L240),"",[1]fixtures!$L240)</f>
        <v>4</v>
      </c>
      <c r="AT32" s="56" t="str">
        <f>IF(ISBLANK([1]fixtures!$L240),"",IF(AQ32&gt;AS32,"W",IF(AQ32=AS32,"D","L")))</f>
        <v>L</v>
      </c>
      <c r="AU32" s="56"/>
      <c r="AV32" s="56"/>
      <c r="AW32" s="54">
        <v>10</v>
      </c>
      <c r="AX32" s="53" t="s">
        <v>39</v>
      </c>
      <c r="AY32" s="179" t="str">
        <f ca="1">IFERROR(INDIRECT("fixtures!" &amp; [1]Dashboard!J1 &amp;234) - [1]Dashboard!K1/24,"TBC")</f>
        <v>TBC</v>
      </c>
      <c r="AZ32" s="53"/>
      <c r="BA32" s="53" t="s">
        <v>22</v>
      </c>
      <c r="BB32" s="53" t="s">
        <v>16</v>
      </c>
      <c r="BC32" s="54">
        <f>IF(ISBLANK([1]fixtures!$L234),"",[1]fixtures!$L234)</f>
        <v>1</v>
      </c>
      <c r="BD32" s="53" t="str">
        <f>IF(ISBLANK([1]fixtures!$L234),"",":")</f>
        <v>:</v>
      </c>
      <c r="BE32" s="55">
        <f>IF(ISBLANK([1]fixtures!$K234),"",[1]fixtures!$K234)</f>
        <v>2</v>
      </c>
      <c r="BF32" s="53" t="str">
        <f>IF(ISBLANK([1]fixtures!$L234),"",IF(BC32&gt;BE32,"W",IF(BC32=BE32,"D","L")))</f>
        <v>L</v>
      </c>
      <c r="BG32" s="53"/>
      <c r="BH32" s="53"/>
      <c r="BI32" s="51">
        <v>10</v>
      </c>
      <c r="BJ32" s="52" t="s">
        <v>39</v>
      </c>
      <c r="BK32" s="177" t="str">
        <f ca="1">IFERROR(INDIRECT("fixtures!" &amp; [1]Dashboard!J1 &amp;232) - [1]Dashboard!K1/24,"TBC")</f>
        <v>TBC</v>
      </c>
      <c r="BL32" s="50"/>
      <c r="BM32" s="50" t="s">
        <v>17</v>
      </c>
      <c r="BN32" s="50" t="s">
        <v>16</v>
      </c>
      <c r="BO32" s="51">
        <f>IF(ISBLANK([1]fixtures!$L232),"",[1]fixtures!$L232)</f>
        <v>1</v>
      </c>
      <c r="BP32" s="50" t="str">
        <f>IF(ISBLANK([1]fixtures!$L232),"",":")</f>
        <v>:</v>
      </c>
      <c r="BQ32" s="52">
        <f>IF(ISBLANK([1]fixtures!$K232),"",[1]fixtures!$K232)</f>
        <v>3</v>
      </c>
      <c r="BR32" s="50" t="str">
        <f>IF(ISBLANK([1]fixtures!$L232),"",IF(BO32&gt;BQ32,"W",IF(BO32=BQ32,"D","L")))</f>
        <v>L</v>
      </c>
      <c r="BS32" s="50"/>
      <c r="BT32" s="50"/>
      <c r="BU32" s="48">
        <v>12</v>
      </c>
      <c r="BV32" s="47" t="s">
        <v>42</v>
      </c>
      <c r="BW32" s="175" t="str">
        <f ca="1">IFERROR(INDIRECT("fixtures!" &amp; [1]Dashboard!J1 &amp;239) - [1]Dashboard!K1/24,"TBC")</f>
        <v>TBC</v>
      </c>
      <c r="BX32" s="47"/>
      <c r="BY32" s="47" t="s">
        <v>37</v>
      </c>
      <c r="BZ32" s="47" t="s">
        <v>16</v>
      </c>
      <c r="CA32" s="48">
        <f>IF(ISBLANK([1]fixtures!$L239),"",[1]fixtures!$L239)</f>
        <v>3</v>
      </c>
      <c r="CB32" s="47" t="str">
        <f>IF(ISBLANK([1]fixtures!$L239),"",":")</f>
        <v>:</v>
      </c>
      <c r="CC32" s="49">
        <f>IF(ISBLANK([1]fixtures!$K239),"",[1]fixtures!$K239)</f>
        <v>1</v>
      </c>
      <c r="CD32" s="47" t="str">
        <f>IF(ISBLANK([1]fixtures!$L239),"",IF(CA32&gt;CC32,"W",IF(CA32=CC32,"D","L")))</f>
        <v>W</v>
      </c>
      <c r="CE32" s="47"/>
      <c r="CF32" s="47"/>
      <c r="CG32" s="45">
        <v>12</v>
      </c>
      <c r="CH32" s="44" t="s">
        <v>42</v>
      </c>
      <c r="CI32" s="173" t="str">
        <f ca="1">IFERROR(INDIRECT("fixtures!" &amp; [1]Dashboard!J1 &amp;239) - [1]Dashboard!K1/24,"TBC")</f>
        <v>TBC</v>
      </c>
      <c r="CJ32" s="44"/>
      <c r="CK32" s="44" t="s">
        <v>36</v>
      </c>
      <c r="CL32" s="44" t="s">
        <v>21</v>
      </c>
      <c r="CM32" s="45">
        <f>IF(ISBLANK([1]fixtures!$K239),"",[1]fixtures!$K239)</f>
        <v>1</v>
      </c>
      <c r="CN32" s="44" t="str">
        <f>IF(ISBLANK([1]fixtures!$L239),"",":")</f>
        <v>:</v>
      </c>
      <c r="CO32" s="46">
        <f>IF(ISBLANK([1]fixtures!$L239),"",[1]fixtures!$L239)</f>
        <v>3</v>
      </c>
      <c r="CP32" s="44" t="str">
        <f>IF(ISBLANK([1]fixtures!$L239),"",IF(CM32&gt;CO32,"W",IF(CM32=CO32,"D","L")))</f>
        <v>L</v>
      </c>
      <c r="CQ32" s="44"/>
      <c r="CR32" s="44"/>
      <c r="CS32" s="42">
        <v>10</v>
      </c>
      <c r="CT32" s="41" t="s">
        <v>39</v>
      </c>
      <c r="CU32" s="171" t="str">
        <f ca="1">IFERROR(INDIRECT("fixtures!" &amp; [1]Dashboard!J1 &amp;230) - [1]Dashboard!K1/24,"TBC")</f>
        <v>TBC</v>
      </c>
      <c r="CV32" s="41"/>
      <c r="CW32" s="41" t="s">
        <v>19</v>
      </c>
      <c r="CX32" s="41" t="s">
        <v>16</v>
      </c>
      <c r="CY32" s="42">
        <f>IF(ISBLANK([1]fixtures!$L230),"",[1]fixtures!$L230)</f>
        <v>0</v>
      </c>
      <c r="CZ32" s="41" t="str">
        <f>IF(ISBLANK([1]fixtures!$L230),"",":")</f>
        <v>:</v>
      </c>
      <c r="DA32" s="43">
        <f>IF(ISBLANK([1]fixtures!$K230),"",[1]fixtures!$K230)</f>
        <v>2</v>
      </c>
      <c r="DB32" s="41" t="str">
        <f>IF(ISBLANK([1]fixtures!$L230),"",IF(CY32&gt;DA32,"W",IF(CY32=DA32,"D","L")))</f>
        <v>L</v>
      </c>
      <c r="DC32" s="41"/>
      <c r="DD32" s="41"/>
      <c r="DE32" s="39">
        <v>10</v>
      </c>
      <c r="DF32" s="40" t="s">
        <v>39</v>
      </c>
      <c r="DG32" s="169" t="str">
        <f ca="1">IFERROR(INDIRECT("fixtures!" &amp; [1]Dashboard!J1 &amp;231) - [1]Dashboard!K1/24,"TBC")</f>
        <v>TBC</v>
      </c>
      <c r="DH32" s="38"/>
      <c r="DI32" s="38" t="s">
        <v>32</v>
      </c>
      <c r="DJ32" s="38" t="s">
        <v>21</v>
      </c>
      <c r="DK32" s="39">
        <f>IF(ISBLANK([1]fixtures!$K231),"",[1]fixtures!$K231)</f>
        <v>3</v>
      </c>
      <c r="DL32" s="38" t="str">
        <f>IF(ISBLANK([1]fixtures!$L231),"",":")</f>
        <v>:</v>
      </c>
      <c r="DM32" s="40">
        <f>IF(ISBLANK([1]fixtures!$L231),"",[1]fixtures!$L231)</f>
        <v>1</v>
      </c>
      <c r="DN32" s="38" t="str">
        <f>IF(ISBLANK([1]fixtures!$L231),"",IF(DK32&gt;DM32,"W",IF(DK32=DM32,"D","L")))</f>
        <v>W</v>
      </c>
      <c r="DO32" s="38"/>
      <c r="DP32" s="38"/>
      <c r="DQ32" s="36">
        <v>10</v>
      </c>
      <c r="DR32" s="35" t="s">
        <v>39</v>
      </c>
      <c r="DS32" s="167" t="str">
        <f ca="1">IFERROR(INDIRECT("fixtures!" &amp; [1]Dashboard!J1 &amp;232) - [1]Dashboard!K1/24,"TBC")</f>
        <v>TBC</v>
      </c>
      <c r="DT32" s="35"/>
      <c r="DU32" s="35" t="s">
        <v>23</v>
      </c>
      <c r="DV32" s="35" t="s">
        <v>21</v>
      </c>
      <c r="DW32" s="36">
        <f>IF(ISBLANK([1]fixtures!$K232),"",[1]fixtures!$K232)</f>
        <v>3</v>
      </c>
      <c r="DX32" s="35" t="str">
        <f>IF(ISBLANK([1]fixtures!$L232),"",":")</f>
        <v>:</v>
      </c>
      <c r="DY32" s="37">
        <f>IF(ISBLANK([1]fixtures!$L232),"",[1]fixtures!$L232)</f>
        <v>1</v>
      </c>
      <c r="DZ32" s="35" t="str">
        <f>IF(ISBLANK([1]fixtures!$L232),"",IF(DW32&gt;DY32,"W",IF(DW32=DY32,"D","L")))</f>
        <v>W</v>
      </c>
      <c r="EA32" s="35"/>
      <c r="EB32" s="35"/>
      <c r="EC32" s="33">
        <v>18</v>
      </c>
      <c r="ED32" s="32" t="s">
        <v>18</v>
      </c>
      <c r="EE32" s="190" t="str">
        <f ca="1">IFERROR(INDIRECT("fixtures!" &amp; [1]Dashboard!J1 &amp;248) - [1]Dashboard!K1/24,"TBC")</f>
        <v>TBC</v>
      </c>
      <c r="EF32" s="32"/>
      <c r="EG32" s="32" t="s">
        <v>34</v>
      </c>
      <c r="EH32" s="32" t="s">
        <v>21</v>
      </c>
      <c r="EI32" s="33">
        <f>IF(ISBLANK([1]fixtures!$K248),"",[1]fixtures!$K248)</f>
        <v>1</v>
      </c>
      <c r="EJ32" s="32" t="str">
        <f>IF(ISBLANK([1]fixtures!$L248),"",":")</f>
        <v>:</v>
      </c>
      <c r="EK32" s="34">
        <f>IF(ISBLANK([1]fixtures!$L248),"",[1]fixtures!$L248)</f>
        <v>2</v>
      </c>
      <c r="EL32" s="32" t="str">
        <f>IF(ISBLANK([1]fixtures!$L248),"",IF(EI32&gt;EK32,"W",IF(EI32=EK32,"D","L")))</f>
        <v>L</v>
      </c>
      <c r="EM32" s="32"/>
      <c r="EN32" s="32"/>
      <c r="EO32" s="30">
        <v>17</v>
      </c>
      <c r="EP32" s="29" t="s">
        <v>39</v>
      </c>
      <c r="EQ32" s="164" t="str">
        <f ca="1">IFERROR(INDIRECT("fixtures!" &amp; [1]Dashboard!J1 &amp;246) - [1]Dashboard!K1/24,"TBC")</f>
        <v>TBC</v>
      </c>
      <c r="ER32" s="29"/>
      <c r="ES32" s="29" t="s">
        <v>36</v>
      </c>
      <c r="ET32" s="29" t="s">
        <v>21</v>
      </c>
      <c r="EU32" s="30">
        <f>IF(ISBLANK([1]fixtures!$K246),"",[1]fixtures!$K246)</f>
        <v>1</v>
      </c>
      <c r="EV32" s="29" t="str">
        <f>IF(ISBLANK([1]fixtures!$L246),"",":")</f>
        <v>:</v>
      </c>
      <c r="EW32" s="31">
        <f>IF(ISBLANK([1]fixtures!$L246),"",[1]fixtures!$L246)</f>
        <v>1</v>
      </c>
      <c r="EX32" s="29" t="str">
        <f>IF(ISBLANK([1]fixtures!$L246),"",IF(EU32&gt;EW32,"W",IF(EU32=EW32,"D","L")))</f>
        <v>D</v>
      </c>
      <c r="EY32" s="29"/>
      <c r="EZ32" s="29"/>
      <c r="FA32" s="27">
        <v>11</v>
      </c>
      <c r="FB32" s="26" t="s">
        <v>18</v>
      </c>
      <c r="FC32" s="189" t="str">
        <f ca="1">IFERROR(INDIRECT("fixtures!" &amp; [1]Dashboard!J1 &amp;238) - [1]Dashboard!K1/24,"TBC")</f>
        <v>TBC</v>
      </c>
      <c r="FD32" s="26"/>
      <c r="FE32" s="26" t="s">
        <v>31</v>
      </c>
      <c r="FF32" s="26" t="s">
        <v>16</v>
      </c>
      <c r="FG32" s="27">
        <f>IF(ISBLANK([1]fixtures!$L238),"",[1]fixtures!$L238)</f>
        <v>2</v>
      </c>
      <c r="FH32" s="26" t="str">
        <f>IF(ISBLANK([1]fixtures!$L238),"",":")</f>
        <v>:</v>
      </c>
      <c r="FI32" s="28">
        <f>IF(ISBLANK([1]fixtures!$K238),"",[1]fixtures!$K238)</f>
        <v>1</v>
      </c>
      <c r="FJ32" s="26" t="str">
        <f>IF(ISBLANK([1]fixtures!$L238),"",IF(FG32&gt;FI32,"W",IF(FG32=FI32,"D","L")))</f>
        <v>W</v>
      </c>
      <c r="FK32" s="26"/>
      <c r="FL32" s="26"/>
      <c r="FM32" s="24">
        <v>10</v>
      </c>
      <c r="FN32" s="23" t="s">
        <v>39</v>
      </c>
      <c r="FO32" s="161" t="str">
        <f ca="1">IFERROR(INDIRECT("fixtures!" &amp; [1]Dashboard!J1 &amp;236) - [1]Dashboard!K1/24,"TBC")</f>
        <v>TBC</v>
      </c>
      <c r="FP32" s="23"/>
      <c r="FQ32" s="23" t="s">
        <v>33</v>
      </c>
      <c r="FR32" s="23" t="s">
        <v>16</v>
      </c>
      <c r="FS32" s="24">
        <f>IF(ISBLANK([1]fixtures!$L236),"",[1]fixtures!$L236)</f>
        <v>3</v>
      </c>
      <c r="FT32" s="23" t="str">
        <f>IF(ISBLANK([1]fixtures!$L236),"",":")</f>
        <v>:</v>
      </c>
      <c r="FU32" s="25">
        <f>IF(ISBLANK([1]fixtures!$K236),"",[1]fixtures!$K236)</f>
        <v>2</v>
      </c>
      <c r="FV32" s="23" t="str">
        <f>IF(ISBLANK([1]fixtures!$L236),"",IF(FS32&gt;FU32,"W",IF(FS32=FU32,"D","L")))</f>
        <v>W</v>
      </c>
      <c r="FW32" s="23"/>
      <c r="FX32" s="23"/>
      <c r="FY32" s="21">
        <v>10</v>
      </c>
      <c r="FZ32" s="20" t="s">
        <v>39</v>
      </c>
      <c r="GA32" s="159" t="str">
        <f ca="1">IFERROR(INDIRECT("fixtures!" &amp; [1]Dashboard!J1 &amp;236) - [1]Dashboard!K1/24,"TBC")</f>
        <v>TBC</v>
      </c>
      <c r="GB32" s="20"/>
      <c r="GC32" s="20" t="s">
        <v>35</v>
      </c>
      <c r="GD32" s="20" t="s">
        <v>21</v>
      </c>
      <c r="GE32" s="21">
        <f>IF(ISBLANK([1]fixtures!$K236),"",[1]fixtures!$K236)</f>
        <v>2</v>
      </c>
      <c r="GF32" s="20" t="str">
        <f>IF(ISBLANK([1]fixtures!$L236),"",":")</f>
        <v>:</v>
      </c>
      <c r="GG32" s="22">
        <f>IF(ISBLANK([1]fixtures!$L236),"",[1]fixtures!$L236)</f>
        <v>3</v>
      </c>
      <c r="GH32" s="20" t="str">
        <f>IF(ISBLANK([1]fixtures!$L236),"",IF(GE32&gt;GG32,"W",IF(GE32=GG32,"D","L")))</f>
        <v>L</v>
      </c>
      <c r="GI32" s="20"/>
      <c r="GJ32" s="20"/>
      <c r="GK32" s="18">
        <v>10</v>
      </c>
      <c r="GL32" s="17" t="s">
        <v>39</v>
      </c>
      <c r="GM32" s="157" t="str">
        <f ca="1">IFERROR(INDIRECT("fixtures!" &amp; [1]Dashboard!J1 &amp;233) - [1]Dashboard!K1/24,"TBC")</f>
        <v>TBC</v>
      </c>
      <c r="GN32" s="17"/>
      <c r="GO32" s="17" t="s">
        <v>29</v>
      </c>
      <c r="GP32" s="17" t="s">
        <v>16</v>
      </c>
      <c r="GQ32" s="18">
        <f>IF(ISBLANK([1]fixtures!$L233),"",[1]fixtures!$L233)</f>
        <v>3</v>
      </c>
      <c r="GR32" s="17" t="str">
        <f>IF(ISBLANK([1]fixtures!$L233),"",":")</f>
        <v>:</v>
      </c>
      <c r="GS32" s="19">
        <f>IF(ISBLANK([1]fixtures!$K233),"",[1]fixtures!$K233)</f>
        <v>1</v>
      </c>
      <c r="GT32" s="17" t="str">
        <f>IF(ISBLANK([1]fixtures!$L233),"",IF(GQ32&gt;GS32,"W",IF(GQ32=GS32,"D","L")))</f>
        <v>W</v>
      </c>
      <c r="GU32" s="17"/>
      <c r="GV32" s="17"/>
      <c r="GW32" s="15">
        <v>10</v>
      </c>
      <c r="GX32" s="14" t="s">
        <v>39</v>
      </c>
      <c r="GY32" s="155" t="str">
        <f ca="1">IFERROR(INDIRECT("fixtures!" &amp; [1]Dashboard!J1 &amp;234) - [1]Dashboard!K1/24,"TBC")</f>
        <v>TBC</v>
      </c>
      <c r="GZ32" s="14"/>
      <c r="HA32" s="14" t="s">
        <v>25</v>
      </c>
      <c r="HB32" s="14" t="s">
        <v>21</v>
      </c>
      <c r="HC32" s="15">
        <f>IF(ISBLANK([1]fixtures!$K234),"",[1]fixtures!$K234)</f>
        <v>2</v>
      </c>
      <c r="HD32" s="14" t="str">
        <f>IF(ISBLANK([1]fixtures!$L234),"",":")</f>
        <v>:</v>
      </c>
      <c r="HE32" s="16">
        <f>IF(ISBLANK([1]fixtures!$L234),"",[1]fixtures!$L234)</f>
        <v>1</v>
      </c>
      <c r="HF32" s="14" t="str">
        <f>IF(ISBLANK([1]fixtures!$L234),"",IF(HC32&gt;HE32,"W",IF(HC32=HE32,"D","L")))</f>
        <v>W</v>
      </c>
      <c r="HG32" s="14"/>
      <c r="HH32" s="14"/>
      <c r="HI32" s="12">
        <v>11</v>
      </c>
      <c r="HJ32" s="11" t="s">
        <v>18</v>
      </c>
      <c r="HK32" s="153" t="str">
        <f ca="1">IFERROR(INDIRECT("fixtures!" &amp; [1]Dashboard!J1 &amp;237) - [1]Dashboard!K1/24,"TBC")</f>
        <v>TBC</v>
      </c>
      <c r="HL32" s="11"/>
      <c r="HM32" s="11" t="s">
        <v>30</v>
      </c>
      <c r="HN32" s="11" t="s">
        <v>21</v>
      </c>
      <c r="HO32" s="12">
        <f>IF(ISBLANK([1]fixtures!$K237),"",[1]fixtures!$K237)</f>
        <v>0</v>
      </c>
      <c r="HP32" s="11" t="str">
        <f>IF(ISBLANK([1]fixtures!$L237),"",":")</f>
        <v>:</v>
      </c>
      <c r="HQ32" s="13">
        <f>IF(ISBLANK([1]fixtures!$L237),"",[1]fixtures!$L237)</f>
        <v>6</v>
      </c>
      <c r="HR32" s="11" t="str">
        <f>IF(ISBLANK([1]fixtures!$L237),"",IF(HO32&gt;HQ32,"W",IF(HO32=HQ32,"D","L")))</f>
        <v>L</v>
      </c>
      <c r="HS32" s="11"/>
      <c r="HT32" s="11"/>
      <c r="HU32" s="9">
        <v>10</v>
      </c>
      <c r="HV32" s="8" t="s">
        <v>39</v>
      </c>
      <c r="HW32" s="151" t="str">
        <f ca="1">IFERROR(INDIRECT("fixtures!" &amp; [1]Dashboard!J1 &amp;235) - [1]Dashboard!K1/24,"TBC")</f>
        <v>TBC</v>
      </c>
      <c r="HX32" s="8"/>
      <c r="HY32" s="8" t="s">
        <v>24</v>
      </c>
      <c r="HZ32" s="8" t="s">
        <v>21</v>
      </c>
      <c r="IA32" s="9">
        <f>IF(ISBLANK([1]fixtures!$K235),"",[1]fixtures!$K235)</f>
        <v>0</v>
      </c>
      <c r="IB32" s="8" t="str">
        <f>IF(ISBLANK([1]fixtures!$L235),"",":")</f>
        <v>:</v>
      </c>
      <c r="IC32" s="10">
        <f>IF(ISBLANK([1]fixtures!$L235),"",[1]fixtures!$L235)</f>
        <v>2</v>
      </c>
      <c r="ID32" s="8" t="str">
        <f>IF(ISBLANK([1]fixtures!$L235),"",IF(IA32&gt;IC32,"W",IF(IA32=IC32,"D","L")))</f>
        <v>L</v>
      </c>
      <c r="IE32" s="8"/>
      <c r="IF32" s="8"/>
      <c r="II32" s="7"/>
    </row>
    <row r="33" spans="1:252" x14ac:dyDescent="0.25">
      <c r="A33" s="67">
        <v>17</v>
      </c>
      <c r="B33" s="66" t="s">
        <v>39</v>
      </c>
      <c r="C33" s="187" t="str">
        <f ca="1">IFERROR(INDIRECT("fixtures!" &amp; [1]Dashboard!J1 &amp;241) - [1]Dashboard!K1/24,"TBC")</f>
        <v>TBC</v>
      </c>
      <c r="D33" s="66"/>
      <c r="E33" s="66" t="s">
        <v>23</v>
      </c>
      <c r="F33" s="66" t="s">
        <v>16</v>
      </c>
      <c r="G33" s="67">
        <f>IF(ISBLANK([1]fixtures!$L241),"",[1]fixtures!$L241)</f>
        <v>5</v>
      </c>
      <c r="H33" s="66" t="str">
        <f>IF(ISBLANK([1]fixtures!$L241),"",":")</f>
        <v>:</v>
      </c>
      <c r="I33" s="68">
        <f>IF(ISBLANK([1]fixtures!$K241),"",[1]fixtures!$K241)</f>
        <v>0</v>
      </c>
      <c r="J33" s="66" t="str">
        <f>IF(ISBLANK([1]fixtures!$L241),"",IF(G33&gt;I33,"W",IF(G33=I33,"D","L")))</f>
        <v>W</v>
      </c>
      <c r="K33" s="66"/>
      <c r="L33" s="66"/>
      <c r="M33" s="63">
        <v>17</v>
      </c>
      <c r="N33" s="62" t="s">
        <v>39</v>
      </c>
      <c r="O33" s="185" t="str">
        <f ca="1">IFERROR(INDIRECT("fixtures!" &amp; [1]Dashboard!J1 &amp;242) - [1]Dashboard!K1/24,"TBC")</f>
        <v>TBC</v>
      </c>
      <c r="P33" s="62"/>
      <c r="Q33" s="62" t="s">
        <v>27</v>
      </c>
      <c r="R33" s="62" t="s">
        <v>16</v>
      </c>
      <c r="S33" s="63">
        <f>IF(ISBLANK([1]fixtures!$L242),"",[1]fixtures!$L242)</f>
        <v>2</v>
      </c>
      <c r="T33" s="62" t="str">
        <f>IF(ISBLANK([1]fixtures!$L242),"",":")</f>
        <v>:</v>
      </c>
      <c r="U33" s="64">
        <f>IF(ISBLANK([1]fixtures!$K242),"",[1]fixtures!$K242)</f>
        <v>1</v>
      </c>
      <c r="V33" s="62" t="str">
        <f>IF(ISBLANK([1]fixtures!$L242),"",IF(S33&gt;U33,"W",IF(S33=U33,"D","L")))</f>
        <v>W</v>
      </c>
      <c r="W33" s="62"/>
      <c r="X33" s="62"/>
      <c r="Y33" s="60">
        <v>24</v>
      </c>
      <c r="Z33" s="59" t="s">
        <v>39</v>
      </c>
      <c r="AA33" s="183" t="str">
        <f ca="1">IFERROR(INDIRECT("fixtures!" &amp; [1]Dashboard!J1 &amp;256) - [1]Dashboard!K1/24,"TBC")</f>
        <v>TBC</v>
      </c>
      <c r="AB33" s="59"/>
      <c r="AC33" s="59" t="s">
        <v>19</v>
      </c>
      <c r="AD33" s="59" t="s">
        <v>21</v>
      </c>
      <c r="AE33" s="60">
        <f>IF(ISBLANK([1]fixtures!$K256),"",[1]fixtures!$K256)</f>
        <v>0</v>
      </c>
      <c r="AF33" s="59" t="str">
        <f>IF(ISBLANK([1]fixtures!$L256),"",":")</f>
        <v>:</v>
      </c>
      <c r="AG33" s="61">
        <f>IF(ISBLANK([1]fixtures!$L256),"",[1]fixtures!$L256)</f>
        <v>1</v>
      </c>
      <c r="AH33" s="59" t="str">
        <f>IF(ISBLANK([1]fixtures!$L256),"",IF(AE33&gt;AG33,"W",IF(AE33=AG33,"D","L")))</f>
        <v>L</v>
      </c>
      <c r="AI33" s="59"/>
      <c r="AJ33" s="59"/>
      <c r="AK33" s="57">
        <v>20</v>
      </c>
      <c r="AL33" s="56" t="s">
        <v>40</v>
      </c>
      <c r="AM33" s="181" t="str">
        <f ca="1">IFERROR(INDIRECT("fixtures!" &amp; [1]Dashboard!J1 &amp;250) - [1]Dashboard!K1/24,"TBC")</f>
        <v>TBC</v>
      </c>
      <c r="AN33" s="56"/>
      <c r="AO33" s="56" t="s">
        <v>19</v>
      </c>
      <c r="AP33" s="56" t="s">
        <v>16</v>
      </c>
      <c r="AQ33" s="57">
        <f>IF(ISBLANK([1]fixtures!$L250),"",[1]fixtures!$L250)</f>
        <v>0</v>
      </c>
      <c r="AR33" s="56" t="str">
        <f>IF(ISBLANK([1]fixtures!$L250),"",":")</f>
        <v>:</v>
      </c>
      <c r="AS33" s="58">
        <f>IF(ISBLANK([1]fixtures!$K250),"",[1]fixtures!$K250)</f>
        <v>1</v>
      </c>
      <c r="AT33" s="56" t="str">
        <f>IF(ISBLANK([1]fixtures!$L250),"",IF(AQ33&gt;AS33,"W",IF(AQ33=AS33,"D","L")))</f>
        <v>L</v>
      </c>
      <c r="AU33" s="56"/>
      <c r="AV33" s="56"/>
      <c r="AW33" s="54">
        <v>18</v>
      </c>
      <c r="AX33" s="53" t="s">
        <v>18</v>
      </c>
      <c r="AY33" s="179" t="str">
        <f ca="1">IFERROR(INDIRECT("fixtures!" &amp; [1]Dashboard!J1 &amp;247) - [1]Dashboard!K1/24,"TBC")</f>
        <v>TBC</v>
      </c>
      <c r="AZ33" s="53"/>
      <c r="BA33" s="53" t="s">
        <v>20</v>
      </c>
      <c r="BB33" s="53" t="s">
        <v>16</v>
      </c>
      <c r="BC33" s="54">
        <f>IF(ISBLANK([1]fixtures!$L247),"",[1]fixtures!$L247)</f>
        <v>5</v>
      </c>
      <c r="BD33" s="53" t="str">
        <f>IF(ISBLANK([1]fixtures!$L247),"",":")</f>
        <v>:</v>
      </c>
      <c r="BE33" s="55">
        <f>IF(ISBLANK([1]fixtures!$K247),"",[1]fixtures!$K247)</f>
        <v>0</v>
      </c>
      <c r="BF33" s="53" t="str">
        <f>IF(ISBLANK([1]fixtures!$L247),"",IF(BC33&gt;BE33,"W",IF(BC33=BE33,"D","L")))</f>
        <v>W</v>
      </c>
      <c r="BG33" s="53"/>
      <c r="BH33" s="53"/>
      <c r="BI33" s="51">
        <v>17</v>
      </c>
      <c r="BJ33" s="52" t="s">
        <v>39</v>
      </c>
      <c r="BK33" s="177" t="str">
        <f ca="1">IFERROR(INDIRECT("fixtures!" &amp; [1]Dashboard!J1 &amp;241) - [1]Dashboard!K1/24,"TBC")</f>
        <v>TBC</v>
      </c>
      <c r="BL33" s="50"/>
      <c r="BM33" s="50" t="s">
        <v>30</v>
      </c>
      <c r="BN33" s="50" t="s">
        <v>21</v>
      </c>
      <c r="BO33" s="51">
        <f>IF(ISBLANK([1]fixtures!$K241),"",[1]fixtures!$K241)</f>
        <v>0</v>
      </c>
      <c r="BP33" s="50" t="str">
        <f>IF(ISBLANK([1]fixtures!$L241),"",":")</f>
        <v>:</v>
      </c>
      <c r="BQ33" s="52">
        <f>IF(ISBLANK([1]fixtures!$L241),"",[1]fixtures!$L241)</f>
        <v>5</v>
      </c>
      <c r="BR33" s="50" t="str">
        <f>IF(ISBLANK([1]fixtures!$L241),"",IF(BO33&gt;BQ33,"W",IF(BO33=BQ33,"D","L")))</f>
        <v>L</v>
      </c>
      <c r="BS33" s="50"/>
      <c r="BT33" s="50"/>
      <c r="BU33" s="48">
        <v>17</v>
      </c>
      <c r="BV33" s="47" t="s">
        <v>39</v>
      </c>
      <c r="BW33" s="175" t="str">
        <f ca="1">IFERROR(INDIRECT("fixtures!" &amp; [1]Dashboard!J1 &amp;246) - [1]Dashboard!K1/24,"TBC")</f>
        <v>TBC</v>
      </c>
      <c r="BX33" s="47"/>
      <c r="BY33" s="47" t="s">
        <v>19</v>
      </c>
      <c r="BZ33" s="47" t="s">
        <v>16</v>
      </c>
      <c r="CA33" s="48">
        <f>IF(ISBLANK([1]fixtures!$L246),"",[1]fixtures!$L246)</f>
        <v>1</v>
      </c>
      <c r="CB33" s="47" t="str">
        <f>IF(ISBLANK([1]fixtures!$L246),"",":")</f>
        <v>:</v>
      </c>
      <c r="CC33" s="49">
        <f>IF(ISBLANK([1]fixtures!$K246),"",[1]fixtures!$K246)</f>
        <v>1</v>
      </c>
      <c r="CD33" s="47" t="str">
        <f>IF(ISBLANK([1]fixtures!$L246),"",IF(CA33&gt;CC33,"W",IF(CA33=CC33,"D","L")))</f>
        <v>D</v>
      </c>
      <c r="CE33" s="47"/>
      <c r="CF33" s="47"/>
      <c r="CG33" s="45">
        <v>19</v>
      </c>
      <c r="CH33" s="44" t="s">
        <v>42</v>
      </c>
      <c r="CI33" s="173" t="str">
        <f ca="1">IFERROR(INDIRECT("fixtures!" &amp; [1]Dashboard!J1 &amp;249) - [1]Dashboard!K1/24,"TBC")</f>
        <v>TBC</v>
      </c>
      <c r="CJ33" s="44"/>
      <c r="CK33" s="44" t="s">
        <v>38</v>
      </c>
      <c r="CL33" s="44" t="s">
        <v>16</v>
      </c>
      <c r="CM33" s="45">
        <f>IF(ISBLANK([1]fixtures!$L249),"",[1]fixtures!$L249)</f>
        <v>1</v>
      </c>
      <c r="CN33" s="44" t="str">
        <f>IF(ISBLANK([1]fixtures!$L249),"",":")</f>
        <v>:</v>
      </c>
      <c r="CO33" s="46">
        <f>IF(ISBLANK([1]fixtures!$K249),"",[1]fixtures!$K249)</f>
        <v>1</v>
      </c>
      <c r="CP33" s="44" t="str">
        <f>IF(ISBLANK([1]fixtures!$L249),"",IF(CM33&gt;CO33,"W",IF(CM33=CO33,"D","L")))</f>
        <v>D</v>
      </c>
      <c r="CQ33" s="44"/>
      <c r="CR33" s="44"/>
      <c r="CS33" s="42">
        <v>19</v>
      </c>
      <c r="CT33" s="41" t="s">
        <v>42</v>
      </c>
      <c r="CU33" s="171" t="str">
        <f ca="1">IFERROR(INDIRECT("fixtures!" &amp; [1]Dashboard!J1 &amp;249) - [1]Dashboard!K1/24,"TBC")</f>
        <v>TBC</v>
      </c>
      <c r="CV33" s="41"/>
      <c r="CW33" s="41" t="s">
        <v>37</v>
      </c>
      <c r="CX33" s="41" t="s">
        <v>21</v>
      </c>
      <c r="CY33" s="42">
        <f>IF(ISBLANK([1]fixtures!$K249),"",[1]fixtures!$K249)</f>
        <v>1</v>
      </c>
      <c r="CZ33" s="41" t="str">
        <f>IF(ISBLANK([1]fixtures!$L249),"",":")</f>
        <v>:</v>
      </c>
      <c r="DA33" s="43">
        <f>IF(ISBLANK([1]fixtures!$L249),"",[1]fixtures!$L249)</f>
        <v>1</v>
      </c>
      <c r="DB33" s="41" t="str">
        <f>IF(ISBLANK([1]fixtures!$L249),"",IF(CY33&gt;DA33,"W",IF(CY33=DA33,"D","L")))</f>
        <v>D</v>
      </c>
      <c r="DC33" s="41"/>
      <c r="DD33" s="41"/>
      <c r="DE33" s="39">
        <v>17</v>
      </c>
      <c r="DF33" s="38" t="s">
        <v>39</v>
      </c>
      <c r="DG33" s="169" t="str">
        <f ca="1">IFERROR(INDIRECT("fixtures!" &amp; [1]Dashboard!J1 &amp;242) - [1]Dashboard!K1/24,"TBC")</f>
        <v>TBC</v>
      </c>
      <c r="DH33" s="38"/>
      <c r="DI33" s="38" t="s">
        <v>31</v>
      </c>
      <c r="DJ33" s="38" t="s">
        <v>21</v>
      </c>
      <c r="DK33" s="39">
        <f>IF(ISBLANK([1]fixtures!$K242),"",[1]fixtures!$K242)</f>
        <v>1</v>
      </c>
      <c r="DL33" s="38" t="str">
        <f>IF(ISBLANK([1]fixtures!$L242),"",":")</f>
        <v>:</v>
      </c>
      <c r="DM33" s="40">
        <f>IF(ISBLANK([1]fixtures!$L242),"",[1]fixtures!$L242)</f>
        <v>2</v>
      </c>
      <c r="DN33" s="38" t="str">
        <f>IF(ISBLANK([1]fixtures!$L242),"",IF(DK33&gt;DM33,"W",IF(DK33=DM33,"D","L")))</f>
        <v>L</v>
      </c>
      <c r="DO33" s="38"/>
      <c r="DP33" s="38"/>
      <c r="DQ33" s="36">
        <v>17</v>
      </c>
      <c r="DR33" s="35" t="s">
        <v>39</v>
      </c>
      <c r="DS33" s="167" t="str">
        <f ca="1">IFERROR(INDIRECT("fixtures!" &amp; [1]Dashboard!J1 &amp;240) - [1]Dashboard!K1/24,"TBC")</f>
        <v>TBC</v>
      </c>
      <c r="DT33" s="35"/>
      <c r="DU33" s="35" t="s">
        <v>24</v>
      </c>
      <c r="DV33" s="35" t="s">
        <v>16</v>
      </c>
      <c r="DW33" s="36">
        <f>IF(ISBLANK([1]fixtures!$L240),"",[1]fixtures!$L240)</f>
        <v>4</v>
      </c>
      <c r="DX33" s="35" t="str">
        <f>IF(ISBLANK([1]fixtures!$L240),"",":")</f>
        <v>:</v>
      </c>
      <c r="DY33" s="37">
        <f>IF(ISBLANK([1]fixtures!$K240),"",[1]fixtures!$K240)</f>
        <v>1</v>
      </c>
      <c r="DZ33" s="35" t="str">
        <f>IF(ISBLANK([1]fixtures!$L240),"",IF(DW33&gt;DY33,"W",IF(DW33=DY33,"D","L")))</f>
        <v>W</v>
      </c>
      <c r="EA33" s="35"/>
      <c r="EB33" s="35"/>
      <c r="EC33" s="33">
        <v>21</v>
      </c>
      <c r="ED33" s="32" t="s">
        <v>41</v>
      </c>
      <c r="EE33" s="190" t="str">
        <f ca="1">IFERROR(INDIRECT("fixtures!" &amp; [1]Dashboard!J1 &amp;251) - [1]Dashboard!K1/24,"TBC")</f>
        <v>TBC</v>
      </c>
      <c r="EF33" s="32"/>
      <c r="EG33" s="32" t="s">
        <v>17</v>
      </c>
      <c r="EH33" s="32" t="s">
        <v>16</v>
      </c>
      <c r="EI33" s="33">
        <f>IF(ISBLANK([1]fixtures!$L251),"",[1]fixtures!$L251)</f>
        <v>1</v>
      </c>
      <c r="EJ33" s="32" t="str">
        <f>IF(ISBLANK([1]fixtures!$L251),"",":")</f>
        <v>:</v>
      </c>
      <c r="EK33" s="34">
        <f>IF(ISBLANK([1]fixtures!$K251),"",[1]fixtures!$K251)</f>
        <v>4</v>
      </c>
      <c r="EL33" s="32" t="str">
        <f>IF(ISBLANK([1]fixtures!$L251),"",IF(EI33&gt;EK33,"W",IF(EI33=EK33,"D","L")))</f>
        <v>L</v>
      </c>
      <c r="EM33" s="32"/>
      <c r="EN33" s="32"/>
      <c r="EO33" s="30">
        <v>20</v>
      </c>
      <c r="EP33" s="29" t="s">
        <v>40</v>
      </c>
      <c r="EQ33" s="164" t="str">
        <f ca="1">IFERROR(INDIRECT("fixtures!" &amp; [1]Dashboard!J1 &amp;250) - [1]Dashboard!K1/24,"TBC")</f>
        <v>TBC</v>
      </c>
      <c r="ER33" s="29"/>
      <c r="ES33" s="29" t="s">
        <v>24</v>
      </c>
      <c r="ET33" s="29" t="s">
        <v>21</v>
      </c>
      <c r="EU33" s="30">
        <f>IF(ISBLANK([1]fixtures!$K250),"",[1]fixtures!$K250)</f>
        <v>1</v>
      </c>
      <c r="EV33" s="29" t="str">
        <f>IF(ISBLANK([1]fixtures!$L250),"",":")</f>
        <v>:</v>
      </c>
      <c r="EW33" s="31">
        <f>IF(ISBLANK([1]fixtures!$L250),"",[1]fixtures!$L250)</f>
        <v>0</v>
      </c>
      <c r="EX33" s="29" t="str">
        <f>IF(ISBLANK([1]fixtures!$L250),"",IF(EU33&gt;EW33,"W",IF(EU33=EW33,"D","L")))</f>
        <v>W</v>
      </c>
      <c r="EY33" s="29"/>
      <c r="EZ33" s="29"/>
      <c r="FA33" s="27">
        <v>18</v>
      </c>
      <c r="FB33" s="26" t="s">
        <v>18</v>
      </c>
      <c r="FC33" s="189" t="str">
        <f ca="1">IFERROR(INDIRECT("fixtures!" &amp; [1]Dashboard!J1 &amp;248) - [1]Dashboard!K1/24,"TBC")</f>
        <v>TBC</v>
      </c>
      <c r="FD33" s="26"/>
      <c r="FE33" s="26" t="s">
        <v>29</v>
      </c>
      <c r="FF33" s="26" t="s">
        <v>16</v>
      </c>
      <c r="FG33" s="27">
        <f>IF(ISBLANK([1]fixtures!$L248),"",[1]fixtures!$L248)</f>
        <v>2</v>
      </c>
      <c r="FH33" s="26" t="str">
        <f>IF(ISBLANK([1]fixtures!$L248),"",":")</f>
        <v>:</v>
      </c>
      <c r="FI33" s="28">
        <f>IF(ISBLANK([1]fixtures!$K248),"",[1]fixtures!$K248)</f>
        <v>1</v>
      </c>
      <c r="FJ33" s="26" t="str">
        <f>IF(ISBLANK([1]fixtures!$L248),"",IF(FG33&gt;FI33,"W",IF(FG33=FI33,"D","L")))</f>
        <v>W</v>
      </c>
      <c r="FK33" s="26"/>
      <c r="FL33" s="26"/>
      <c r="FM33" s="24">
        <v>17</v>
      </c>
      <c r="FN33" s="23" t="s">
        <v>39</v>
      </c>
      <c r="FO33" s="161" t="str">
        <f ca="1">IFERROR(INDIRECT("fixtures!" &amp; [1]Dashboard!J1 &amp;243) - [1]Dashboard!K1/24,"TBC")</f>
        <v>TBC</v>
      </c>
      <c r="FP33" s="23"/>
      <c r="FQ33" s="23" t="s">
        <v>32</v>
      </c>
      <c r="FR33" s="23" t="s">
        <v>21</v>
      </c>
      <c r="FS33" s="24">
        <f>IF(ISBLANK([1]fixtures!$K243),"",[1]fixtures!$K243)</f>
        <v>2</v>
      </c>
      <c r="FT33" s="23" t="str">
        <f>IF(ISBLANK([1]fixtures!$L243),"",":")</f>
        <v>:</v>
      </c>
      <c r="FU33" s="25">
        <f>IF(ISBLANK([1]fixtures!$L243),"",[1]fixtures!$L243)</f>
        <v>2</v>
      </c>
      <c r="FV33" s="23" t="str">
        <f>IF(ISBLANK([1]fixtures!$L243),"",IF(FS33&gt;FU33,"W",IF(FS33=FU33,"D","L")))</f>
        <v>D</v>
      </c>
      <c r="FW33" s="23"/>
      <c r="FX33" s="23"/>
      <c r="FY33" s="21">
        <v>17</v>
      </c>
      <c r="FZ33" s="20" t="s">
        <v>39</v>
      </c>
      <c r="GA33" s="159" t="str">
        <f ca="1">IFERROR(INDIRECT("fixtures!" &amp; [1]Dashboard!J1 &amp;244) - [1]Dashboard!K1/24,"TBC")</f>
        <v>TBC</v>
      </c>
      <c r="GB33" s="20"/>
      <c r="GC33" s="20" t="s">
        <v>26</v>
      </c>
      <c r="GD33" s="20" t="s">
        <v>21</v>
      </c>
      <c r="GE33" s="21">
        <f>IF(ISBLANK([1]fixtures!$K244),"",[1]fixtures!$K244)</f>
        <v>2</v>
      </c>
      <c r="GF33" s="20" t="str">
        <f>IF(ISBLANK([1]fixtures!$L244),"",":")</f>
        <v>:</v>
      </c>
      <c r="GG33" s="22">
        <f>IF(ISBLANK([1]fixtures!$L244),"",[1]fixtures!$L244)</f>
        <v>0</v>
      </c>
      <c r="GH33" s="20" t="str">
        <f>IF(ISBLANK([1]fixtures!$L244),"",IF(GE33&gt;GG33,"W",IF(GE33=GG33,"D","L")))</f>
        <v>W</v>
      </c>
      <c r="GI33" s="20"/>
      <c r="GJ33" s="20"/>
      <c r="GK33" s="18">
        <v>18</v>
      </c>
      <c r="GL33" s="17" t="s">
        <v>18</v>
      </c>
      <c r="GM33" s="157" t="str">
        <f ca="1">IFERROR(INDIRECT("fixtures!" &amp; [1]Dashboard!J1 &amp;247) - [1]Dashboard!K1/24,"TBC")</f>
        <v>TBC</v>
      </c>
      <c r="GN33" s="17"/>
      <c r="GO33" s="17" t="s">
        <v>25</v>
      </c>
      <c r="GP33" s="17" t="s">
        <v>21</v>
      </c>
      <c r="GQ33" s="18">
        <f>IF(ISBLANK([1]fixtures!$K247),"",[1]fixtures!$K247)</f>
        <v>0</v>
      </c>
      <c r="GR33" s="17" t="str">
        <f>IF(ISBLANK([1]fixtures!$L247),"",":")</f>
        <v>:</v>
      </c>
      <c r="GS33" s="19">
        <f>IF(ISBLANK([1]fixtures!$L247),"",[1]fixtures!$L247)</f>
        <v>5</v>
      </c>
      <c r="GT33" s="17" t="str">
        <f>IF(ISBLANK([1]fixtures!$L247),"",IF(GQ33&gt;GS33,"W",IF(GQ33=GS33,"D","L")))</f>
        <v>L</v>
      </c>
      <c r="GU33" s="17"/>
      <c r="GV33" s="17"/>
      <c r="GW33" s="15">
        <v>17</v>
      </c>
      <c r="GX33" s="14" t="s">
        <v>39</v>
      </c>
      <c r="GY33" s="155" t="str">
        <f ca="1">IFERROR(INDIRECT("fixtures!" &amp; [1]Dashboard!J1 &amp;245) - [1]Dashboard!K1/24,"TBC")</f>
        <v>TBC</v>
      </c>
      <c r="GZ33" s="14"/>
      <c r="HA33" s="14" t="s">
        <v>28</v>
      </c>
      <c r="HB33" s="14" t="s">
        <v>21</v>
      </c>
      <c r="HC33" s="15">
        <f>IF(ISBLANK([1]fixtures!$K245),"",[1]fixtures!$K245)</f>
        <v>1</v>
      </c>
      <c r="HD33" s="14" t="str">
        <f>IF(ISBLANK([1]fixtures!$L245),"",":")</f>
        <v>:</v>
      </c>
      <c r="HE33" s="16">
        <f>IF(ISBLANK([1]fixtures!$L245),"",[1]fixtures!$L245)</f>
        <v>2</v>
      </c>
      <c r="HF33" s="14" t="str">
        <f>IF(ISBLANK([1]fixtures!$L245),"",IF(HC33&gt;HE33,"W",IF(HC33=HE33,"D","L")))</f>
        <v>L</v>
      </c>
      <c r="HG33" s="14"/>
      <c r="HH33" s="14"/>
      <c r="HI33" s="12">
        <v>17</v>
      </c>
      <c r="HJ33" s="11" t="s">
        <v>39</v>
      </c>
      <c r="HK33" s="153" t="str">
        <f ca="1">IFERROR(INDIRECT("fixtures!" &amp; [1]Dashboard!J1 &amp;244) - [1]Dashboard!K1/24,"TBC")</f>
        <v>TBC</v>
      </c>
      <c r="HL33" s="11"/>
      <c r="HM33" s="11" t="s">
        <v>33</v>
      </c>
      <c r="HN33" s="11" t="s">
        <v>16</v>
      </c>
      <c r="HO33" s="12">
        <f>IF(ISBLANK([1]fixtures!$L244),"",[1]fixtures!$L244)</f>
        <v>0</v>
      </c>
      <c r="HP33" s="11" t="str">
        <f>IF(ISBLANK([1]fixtures!$L244),"",":")</f>
        <v>:</v>
      </c>
      <c r="HQ33" s="13">
        <f>IF(ISBLANK([1]fixtures!$K244),"",[1]fixtures!$K244)</f>
        <v>2</v>
      </c>
      <c r="HR33" s="11" t="str">
        <f>IF(ISBLANK([1]fixtures!$L244),"",IF(HO33&gt;HQ33,"W",IF(HO33=HQ33,"D","L")))</f>
        <v>L</v>
      </c>
      <c r="HS33" s="11"/>
      <c r="HT33" s="11"/>
      <c r="HU33" s="9">
        <v>17</v>
      </c>
      <c r="HV33" s="8" t="s">
        <v>39</v>
      </c>
      <c r="HW33" s="151" t="str">
        <f ca="1">IFERROR(INDIRECT("fixtures!" &amp; [1]Dashboard!J1 &amp;245) - [1]Dashboard!K1/24,"TBC")</f>
        <v>TBC</v>
      </c>
      <c r="HX33" s="8"/>
      <c r="HY33" s="8" t="s">
        <v>22</v>
      </c>
      <c r="HZ33" s="8" t="s">
        <v>16</v>
      </c>
      <c r="IA33" s="9">
        <f>IF(ISBLANK([1]fixtures!$L245),"",[1]fixtures!$L245)</f>
        <v>2</v>
      </c>
      <c r="IB33" s="8" t="str">
        <f>IF(ISBLANK([1]fixtures!$L245),"",":")</f>
        <v>:</v>
      </c>
      <c r="IC33" s="10">
        <f>IF(ISBLANK([1]fixtures!$K245),"",[1]fixtures!$K245)</f>
        <v>1</v>
      </c>
      <c r="ID33" s="8" t="str">
        <f>IF(ISBLANK([1]fixtures!$L245),"",IF(IA33&gt;IC33,"W",IF(IA33=IC33,"D","L")))</f>
        <v>W</v>
      </c>
      <c r="IE33" s="8"/>
      <c r="IF33" s="8"/>
    </row>
    <row r="34" spans="1:252" x14ac:dyDescent="0.25">
      <c r="A34" s="67">
        <v>24</v>
      </c>
      <c r="B34" s="68" t="s">
        <v>39</v>
      </c>
      <c r="C34" s="187" t="str">
        <f ca="1">IFERROR(INDIRECT("fixtures!" &amp; [1]Dashboard!J1 &amp;257) - [1]Dashboard!K1/24,"TBC")</f>
        <v>TBC</v>
      </c>
      <c r="D34" s="66"/>
      <c r="E34" s="66" t="s">
        <v>35</v>
      </c>
      <c r="F34" s="66" t="s">
        <v>21</v>
      </c>
      <c r="G34" s="67">
        <f>IF(ISBLANK([1]fixtures!$K257),"",[1]fixtures!$K257)</f>
        <v>4</v>
      </c>
      <c r="H34" s="66" t="str">
        <f>IF(ISBLANK([1]fixtures!$L257),"",":")</f>
        <v>:</v>
      </c>
      <c r="I34" s="68">
        <f>IF(ISBLANK([1]fixtures!$L257),"",[1]fixtures!$L257)</f>
        <v>1</v>
      </c>
      <c r="J34" s="66" t="str">
        <f>IF(ISBLANK([1]fixtures!$L257),"",IF(G34&gt;I34,"W",IF(G34=I34,"D","L")))</f>
        <v>W</v>
      </c>
      <c r="K34" s="66"/>
      <c r="L34" s="66"/>
      <c r="M34" s="63">
        <v>24</v>
      </c>
      <c r="N34" s="62" t="s">
        <v>39</v>
      </c>
      <c r="O34" s="185" t="str">
        <f ca="1">IFERROR(INDIRECT("fixtures!" &amp; [1]Dashboard!J1 &amp;252) - [1]Dashboard!K1/24,"TBC")</f>
        <v>TBC</v>
      </c>
      <c r="P34" s="62"/>
      <c r="Q34" s="62" t="s">
        <v>33</v>
      </c>
      <c r="R34" s="62" t="s">
        <v>21</v>
      </c>
      <c r="S34" s="63">
        <f>IF(ISBLANK([1]fixtures!$K252),"",[1]fixtures!$K252)</f>
        <v>4</v>
      </c>
      <c r="T34" s="62" t="str">
        <f>IF(ISBLANK([1]fixtures!$L252),"",":")</f>
        <v>:</v>
      </c>
      <c r="U34" s="64">
        <f>IF(ISBLANK([1]fixtures!$L252),"",[1]fixtures!$L252)</f>
        <v>2</v>
      </c>
      <c r="V34" s="62" t="str">
        <f>IF(ISBLANK([1]fixtures!$L252),"",IF(S34&gt;U34,"W",IF(S34=U34,"D","L")))</f>
        <v>W</v>
      </c>
      <c r="W34" s="62"/>
      <c r="X34" s="62"/>
      <c r="Y34" s="108" t="s">
        <v>47</v>
      </c>
      <c r="Z34" s="59"/>
      <c r="AA34" s="183"/>
      <c r="AB34" s="59"/>
      <c r="AC34" s="59"/>
      <c r="AD34" s="59"/>
      <c r="AE34" s="60"/>
      <c r="AF34" s="59"/>
      <c r="AG34" s="61"/>
      <c r="AH34" s="59"/>
      <c r="AI34" s="59"/>
      <c r="AJ34" s="59"/>
      <c r="AK34" s="57">
        <v>26</v>
      </c>
      <c r="AL34" s="58" t="s">
        <v>42</v>
      </c>
      <c r="AM34" s="181" t="str">
        <f ca="1">IFERROR(INDIRECT("fixtures!" &amp; [1]Dashboard!J1 &amp;259) - [1]Dashboard!K1/24,"TBC")</f>
        <v>TBC</v>
      </c>
      <c r="AN34" s="56"/>
      <c r="AO34" s="56" t="s">
        <v>26</v>
      </c>
      <c r="AP34" s="56" t="s">
        <v>16</v>
      </c>
      <c r="AQ34" s="57">
        <f>IF(ISBLANK([1]fixtures!$L259),"",[1]fixtures!$L259)</f>
        <v>2</v>
      </c>
      <c r="AR34" s="56" t="str">
        <f>IF(ISBLANK([1]fixtures!$L259),"",":")</f>
        <v>:</v>
      </c>
      <c r="AS34" s="58">
        <f>IF(ISBLANK([1]fixtures!$K259),"",[1]fixtures!$K259)</f>
        <v>4</v>
      </c>
      <c r="AT34" s="56" t="str">
        <f>IF(ISBLANK([1]fixtures!$L259),"",IF(AQ34&gt;AS34,"W",IF(AQ34=AS34,"D","L")))</f>
        <v>L</v>
      </c>
      <c r="AU34" s="56"/>
      <c r="AV34" s="56"/>
      <c r="AW34" s="54">
        <v>24</v>
      </c>
      <c r="AX34" s="55" t="s">
        <v>39</v>
      </c>
      <c r="AY34" s="179" t="str">
        <f ca="1">IFERROR(INDIRECT("fixtures!" &amp; [1]Dashboard!J1 &amp;253) - [1]Dashboard!K1/24,"TBC")</f>
        <v>TBC</v>
      </c>
      <c r="AZ34" s="53"/>
      <c r="BA34" s="53" t="s">
        <v>38</v>
      </c>
      <c r="BB34" s="53" t="s">
        <v>21</v>
      </c>
      <c r="BC34" s="54">
        <f>IF(ISBLANK([1]fixtures!$K253),"",[1]fixtures!$K253)</f>
        <v>1</v>
      </c>
      <c r="BD34" s="53" t="str">
        <f>IF(ISBLANK([1]fixtures!$L253),"",":")</f>
        <v>:</v>
      </c>
      <c r="BE34" s="55">
        <f>IF(ISBLANK([1]fixtures!$L253),"",[1]fixtures!$L253)</f>
        <v>1</v>
      </c>
      <c r="BF34" s="53" t="str">
        <f>IF(ISBLANK([1]fixtures!$L253),"",IF(BC34&gt;BE34,"W",IF(BC34=BE34,"D","L")))</f>
        <v>D</v>
      </c>
      <c r="BG34" s="53"/>
      <c r="BH34" s="53"/>
      <c r="BI34" s="51">
        <v>24</v>
      </c>
      <c r="BJ34" s="50" t="s">
        <v>39</v>
      </c>
      <c r="BK34" s="177" t="str">
        <f ca="1">IFERROR(INDIRECT("fixtures!" &amp; [1]Dashboard!J1 &amp;254) - [1]Dashboard!K1/24,"TBC")</f>
        <v>TBC</v>
      </c>
      <c r="BL34" s="50"/>
      <c r="BM34" s="50" t="s">
        <v>37</v>
      </c>
      <c r="BN34" s="50" t="s">
        <v>16</v>
      </c>
      <c r="BO34" s="51">
        <f>IF(ISBLANK([1]fixtures!$L254),"",[1]fixtures!$L254)</f>
        <v>0</v>
      </c>
      <c r="BP34" s="50" t="str">
        <f>IF(ISBLANK([1]fixtures!$L254),"",":")</f>
        <v>:</v>
      </c>
      <c r="BQ34" s="52">
        <f>IF(ISBLANK([1]fixtures!$K254),"",[1]fixtures!$K254)</f>
        <v>3</v>
      </c>
      <c r="BR34" s="50" t="str">
        <f>IF(ISBLANK([1]fixtures!$L254),"",IF(BO34&gt;BQ34,"W",IF(BO34=BQ34,"D","L")))</f>
        <v>L</v>
      </c>
      <c r="BS34" s="50"/>
      <c r="BT34" s="50"/>
      <c r="BU34" s="82" t="s">
        <v>47</v>
      </c>
      <c r="BV34" s="47"/>
      <c r="BW34" s="175"/>
      <c r="BX34" s="47"/>
      <c r="BY34" s="47"/>
      <c r="BZ34" s="47"/>
      <c r="CA34" s="48"/>
      <c r="CB34" s="47"/>
      <c r="CC34" s="49"/>
      <c r="CD34" s="47"/>
      <c r="CE34" s="47"/>
      <c r="CF34" s="47"/>
      <c r="CG34" s="45">
        <v>24</v>
      </c>
      <c r="CH34" s="44" t="s">
        <v>39</v>
      </c>
      <c r="CI34" s="173" t="str">
        <f ca="1">IFERROR(INDIRECT("fixtures!" &amp; [1]Dashboard!J1 &amp;254) - [1]Dashboard!K1/24,"TBC")</f>
        <v>TBC</v>
      </c>
      <c r="CJ34" s="44"/>
      <c r="CK34" s="44" t="s">
        <v>23</v>
      </c>
      <c r="CL34" s="44" t="s">
        <v>21</v>
      </c>
      <c r="CM34" s="45">
        <f>IF(ISBLANK([1]fixtures!$K254),"",[1]fixtures!$K254)</f>
        <v>3</v>
      </c>
      <c r="CN34" s="44" t="str">
        <f>IF(ISBLANK([1]fixtures!$L254),"",":")</f>
        <v>:</v>
      </c>
      <c r="CO34" s="46">
        <f>IF(ISBLANK([1]fixtures!$L254),"",[1]fixtures!$L254)</f>
        <v>0</v>
      </c>
      <c r="CP34" s="44" t="str">
        <f>IF(ISBLANK([1]fixtures!$L254),"",IF(CM34&gt;CO34,"W",IF(CM34=CO34,"D","L")))</f>
        <v>W</v>
      </c>
      <c r="CQ34" s="44"/>
      <c r="CR34" s="44"/>
      <c r="CS34" s="42">
        <v>24</v>
      </c>
      <c r="CT34" s="41" t="s">
        <v>39</v>
      </c>
      <c r="CU34" s="171" t="str">
        <f ca="1">IFERROR(INDIRECT("fixtures!" &amp; [1]Dashboard!J1 &amp;253) - [1]Dashboard!K1/24,"TBC")</f>
        <v>TBC</v>
      </c>
      <c r="CV34" s="41"/>
      <c r="CW34" s="41" t="s">
        <v>25</v>
      </c>
      <c r="CX34" s="41" t="s">
        <v>16</v>
      </c>
      <c r="CY34" s="42">
        <f>IF(ISBLANK([1]fixtures!$L253),"",[1]fixtures!$L253)</f>
        <v>1</v>
      </c>
      <c r="CZ34" s="41" t="str">
        <f>IF(ISBLANK([1]fixtures!$L253),"",":")</f>
        <v>:</v>
      </c>
      <c r="DA34" s="43">
        <f>IF(ISBLANK([1]fixtures!$K253),"",[1]fixtures!$K253)</f>
        <v>1</v>
      </c>
      <c r="DB34" s="41" t="str">
        <f>IF(ISBLANK([1]fixtures!$L253),"",IF(CY34&gt;DA34,"W",IF(CY34=DA34,"D","L")))</f>
        <v>D</v>
      </c>
      <c r="DC34" s="41"/>
      <c r="DD34" s="41"/>
      <c r="DE34" s="39">
        <v>24</v>
      </c>
      <c r="DF34" s="38" t="s">
        <v>39</v>
      </c>
      <c r="DG34" s="169" t="str">
        <f ca="1">IFERROR(INDIRECT("fixtures!" &amp; [1]Dashboard!J1 &amp;255) - [1]Dashboard!K1/24,"TBC")</f>
        <v>TBC</v>
      </c>
      <c r="DH34" s="38"/>
      <c r="DI34" s="38" t="s">
        <v>34</v>
      </c>
      <c r="DJ34" s="38" t="s">
        <v>16</v>
      </c>
      <c r="DK34" s="39">
        <f>IF(ISBLANK([1]fixtures!$L255),"",[1]fixtures!$L255)</f>
        <v>2</v>
      </c>
      <c r="DL34" s="38" t="str">
        <f>IF(ISBLANK([1]fixtures!$L255),"",":")</f>
        <v>:</v>
      </c>
      <c r="DM34" s="40">
        <f>IF(ISBLANK([1]fixtures!$K255),"",[1]fixtures!$K255)</f>
        <v>1</v>
      </c>
      <c r="DN34" s="38" t="str">
        <f>IF(ISBLANK([1]fixtures!$L255),"",IF(DK34&gt;DM34,"W",IF(DK34=DM34,"D","L")))</f>
        <v>W</v>
      </c>
      <c r="DO34" s="38"/>
      <c r="DP34" s="38"/>
      <c r="DQ34" s="36">
        <v>21</v>
      </c>
      <c r="DR34" s="35" t="s">
        <v>41</v>
      </c>
      <c r="DS34" s="167" t="str">
        <f ca="1">IFERROR(INDIRECT("fixtures!" &amp; [1]Dashboard!J1 &amp;251) - [1]Dashboard!K1/24,"TBC")</f>
        <v>TBC</v>
      </c>
      <c r="DT34" s="35"/>
      <c r="DU34" s="35" t="s">
        <v>29</v>
      </c>
      <c r="DV34" s="35" t="s">
        <v>21</v>
      </c>
      <c r="DW34" s="36">
        <f>IF(ISBLANK([1]fixtures!$K251),"",[1]fixtures!$K251)</f>
        <v>4</v>
      </c>
      <c r="DX34" s="35" t="str">
        <f>IF(ISBLANK([1]fixtures!$L251),"",":")</f>
        <v>:</v>
      </c>
      <c r="DY34" s="37">
        <f>IF(ISBLANK([1]fixtures!$L251),"",[1]fixtures!$L251)</f>
        <v>1</v>
      </c>
      <c r="DZ34" s="35" t="str">
        <f>IF(ISBLANK([1]fixtures!$L251),"",IF(DW34&gt;DY34,"W",IF(DW34=DY34,"D","L")))</f>
        <v>W</v>
      </c>
      <c r="EA34" s="35"/>
      <c r="EB34" s="35"/>
      <c r="EC34" s="99" t="s">
        <v>47</v>
      </c>
      <c r="ED34" s="32"/>
      <c r="EE34" s="190"/>
      <c r="EF34" s="32"/>
      <c r="EG34" s="32"/>
      <c r="EH34" s="32"/>
      <c r="EI34" s="33"/>
      <c r="EJ34" s="32"/>
      <c r="EK34" s="34"/>
      <c r="EL34" s="32"/>
      <c r="EM34" s="32"/>
      <c r="EN34" s="32"/>
      <c r="EO34" s="30">
        <v>24</v>
      </c>
      <c r="EP34" s="29" t="s">
        <v>39</v>
      </c>
      <c r="EQ34" s="164" t="str">
        <f ca="1">IFERROR(INDIRECT("fixtures!" &amp; [1]Dashboard!J1 &amp;256) - [1]Dashboard!K1/24,"TBC")</f>
        <v>TBC</v>
      </c>
      <c r="ER34" s="29"/>
      <c r="ES34" s="29" t="s">
        <v>32</v>
      </c>
      <c r="ET34" s="29" t="s">
        <v>16</v>
      </c>
      <c r="EU34" s="30">
        <f>IF(ISBLANK([1]fixtures!$L256),"",[1]fixtures!$L256)</f>
        <v>1</v>
      </c>
      <c r="EV34" s="29" t="str">
        <f>IF(ISBLANK([1]fixtures!$L256),"",":")</f>
        <v>:</v>
      </c>
      <c r="EW34" s="31">
        <f>IF(ISBLANK([1]fixtures!$K256),"",[1]fixtures!$K256)</f>
        <v>0</v>
      </c>
      <c r="EX34" s="29" t="str">
        <f>IF(ISBLANK([1]fixtures!$L256),"",IF(EU34&gt;EW34,"W",IF(EU34=EW34,"D","L")))</f>
        <v>W</v>
      </c>
      <c r="EY34" s="29"/>
      <c r="EZ34" s="29"/>
      <c r="FA34" s="27">
        <v>24</v>
      </c>
      <c r="FB34" s="26" t="s">
        <v>39</v>
      </c>
      <c r="FC34" s="189" t="str">
        <f ca="1">IFERROR(INDIRECT("fixtures!" &amp; [1]Dashboard!J1 &amp;255) - [1]Dashboard!K1/24,"TBC")</f>
        <v>TBC</v>
      </c>
      <c r="FD34" s="26"/>
      <c r="FE34" s="26" t="s">
        <v>27</v>
      </c>
      <c r="FF34" s="26" t="s">
        <v>21</v>
      </c>
      <c r="FG34" s="27">
        <f>IF(ISBLANK([1]fixtures!$K255),"",[1]fixtures!$K255)</f>
        <v>1</v>
      </c>
      <c r="FH34" s="26" t="str">
        <f>IF(ISBLANK([1]fixtures!$L255),"",":")</f>
        <v>:</v>
      </c>
      <c r="FI34" s="28">
        <f>IF(ISBLANK([1]fixtures!$L255),"",[1]fixtures!$L255)</f>
        <v>2</v>
      </c>
      <c r="FJ34" s="26" t="str">
        <f>IF(ISBLANK([1]fixtures!$L255),"",IF(FG34&gt;FI34,"W",IF(FG34=FI34,"D","L")))</f>
        <v>L</v>
      </c>
      <c r="FK34" s="26"/>
      <c r="FL34" s="26"/>
      <c r="FM34" s="24">
        <v>24</v>
      </c>
      <c r="FN34" s="23" t="s">
        <v>39</v>
      </c>
      <c r="FO34" s="161" t="str">
        <f ca="1">IFERROR(INDIRECT("fixtures!" &amp; [1]Dashboard!J1 &amp;257) - [1]Dashboard!K1/24,"TBC")</f>
        <v>TBC</v>
      </c>
      <c r="FP34" s="23"/>
      <c r="FQ34" s="23" t="s">
        <v>30</v>
      </c>
      <c r="FR34" s="23" t="s">
        <v>16</v>
      </c>
      <c r="FS34" s="24">
        <f>IF(ISBLANK([1]fixtures!$L257),"",[1]fixtures!$L257)</f>
        <v>1</v>
      </c>
      <c r="FT34" s="23" t="str">
        <f>IF(ISBLANK([1]fixtures!$L257),"",":")</f>
        <v>:</v>
      </c>
      <c r="FU34" s="25">
        <f>IF(ISBLANK([1]fixtures!$K257),"",[1]fixtures!$K257)</f>
        <v>4</v>
      </c>
      <c r="FV34" s="23" t="str">
        <f>IF(ISBLANK([1]fixtures!$L257),"",IF(FS34&gt;FU34,"W",IF(FS34=FU34,"D","L")))</f>
        <v>L</v>
      </c>
      <c r="FW34" s="23"/>
      <c r="FX34" s="23"/>
      <c r="FY34" s="21">
        <v>24</v>
      </c>
      <c r="FZ34" s="20" t="s">
        <v>39</v>
      </c>
      <c r="GA34" s="159" t="str">
        <f ca="1">IFERROR(INDIRECT("fixtures!" &amp; [1]Dashboard!J1 &amp;252) - [1]Dashboard!K1/24,"TBC")</f>
        <v>TBC</v>
      </c>
      <c r="GB34" s="20"/>
      <c r="GC34" s="20" t="s">
        <v>31</v>
      </c>
      <c r="GD34" s="20" t="s">
        <v>16</v>
      </c>
      <c r="GE34" s="21">
        <f>IF(ISBLANK([1]fixtures!$L252),"",[1]fixtures!$L252)</f>
        <v>2</v>
      </c>
      <c r="GF34" s="20" t="str">
        <f>IF(ISBLANK([1]fixtures!$L252),"",":")</f>
        <v>:</v>
      </c>
      <c r="GG34" s="22">
        <f>IF(ISBLANK([1]fixtures!$K252),"",[1]fixtures!$K252)</f>
        <v>4</v>
      </c>
      <c r="GH34" s="20" t="str">
        <f>IF(ISBLANK([1]fixtures!$L252),"",IF(GE34&gt;GG34,"W",IF(GE34=GG34,"D","L")))</f>
        <v>L</v>
      </c>
      <c r="GI34" s="20"/>
      <c r="GJ34" s="20"/>
      <c r="GK34" s="18">
        <v>25</v>
      </c>
      <c r="GL34" s="17" t="s">
        <v>18</v>
      </c>
      <c r="GM34" s="157" t="str">
        <f ca="1">IFERROR(INDIRECT("fixtures!" &amp; [1]Dashboard!J1 &amp;258) - [1]Dashboard!K1/24,"TBC")</f>
        <v>TBC</v>
      </c>
      <c r="GN34" s="17"/>
      <c r="GO34" s="17" t="s">
        <v>28</v>
      </c>
      <c r="GP34" s="17" t="s">
        <v>16</v>
      </c>
      <c r="GQ34" s="18">
        <f>IF(ISBLANK([1]fixtures!$L258),"",[1]fixtures!$L258)</f>
        <v>0</v>
      </c>
      <c r="GR34" s="17" t="str">
        <f>IF(ISBLANK([1]fixtures!$L258),"",":")</f>
        <v>:</v>
      </c>
      <c r="GS34" s="19">
        <f>IF(ISBLANK([1]fixtures!$K258),"",[1]fixtures!$K258)</f>
        <v>1</v>
      </c>
      <c r="GT34" s="17" t="str">
        <f>IF(ISBLANK([1]fixtures!$L258),"",IF(GQ34&gt;GS34,"W",IF(GQ34=GS34,"D","L")))</f>
        <v>L</v>
      </c>
      <c r="GU34" s="17"/>
      <c r="GV34" s="17"/>
      <c r="GW34" s="93" t="s">
        <v>47</v>
      </c>
      <c r="GX34" s="14"/>
      <c r="GY34" s="155"/>
      <c r="GZ34" s="14"/>
      <c r="HA34" s="14"/>
      <c r="HB34" s="14"/>
      <c r="HC34" s="15"/>
      <c r="HD34" s="14"/>
      <c r="HE34" s="16"/>
      <c r="HF34" s="14"/>
      <c r="HG34" s="14"/>
      <c r="HH34" s="14"/>
      <c r="HI34" s="12">
        <v>26</v>
      </c>
      <c r="HJ34" s="11" t="s">
        <v>42</v>
      </c>
      <c r="HK34" s="153" t="str">
        <f ca="1">IFERROR(INDIRECT("fixtures!" &amp; [1]Dashboard!J1 &amp;259) - [1]Dashboard!K1/24,"TBC")</f>
        <v>TBC</v>
      </c>
      <c r="HL34" s="11"/>
      <c r="HM34" s="11" t="s">
        <v>24</v>
      </c>
      <c r="HN34" s="11" t="s">
        <v>21</v>
      </c>
      <c r="HO34" s="12">
        <f>IF(ISBLANK([1]fixtures!$K259),"",[1]fixtures!$K259)</f>
        <v>4</v>
      </c>
      <c r="HP34" s="11" t="str">
        <f>IF(ISBLANK([1]fixtures!$L259),"",":")</f>
        <v>:</v>
      </c>
      <c r="HQ34" s="13">
        <f>IF(ISBLANK([1]fixtures!$L259),"",[1]fixtures!$L259)</f>
        <v>2</v>
      </c>
      <c r="HR34" s="11" t="str">
        <f>IF(ISBLANK([1]fixtures!$L259),"",IF(HO34&gt;HQ34,"W",IF(HO34=HQ34,"D","L")))</f>
        <v>W</v>
      </c>
      <c r="HS34" s="11"/>
      <c r="HT34" s="11"/>
      <c r="HU34" s="9">
        <v>25</v>
      </c>
      <c r="HV34" s="8" t="s">
        <v>18</v>
      </c>
      <c r="HW34" s="151" t="str">
        <f ca="1">IFERROR(INDIRECT("fixtures!" &amp; [1]Dashboard!J1 &amp;258) - [1]Dashboard!K1/24,"TBC")</f>
        <v>TBC</v>
      </c>
      <c r="HX34" s="8"/>
      <c r="HY34" s="8" t="s">
        <v>20</v>
      </c>
      <c r="HZ34" s="8" t="s">
        <v>21</v>
      </c>
      <c r="IA34" s="9">
        <f>IF(ISBLANK([1]fixtures!$K258),"",[1]fixtures!$K258)</f>
        <v>1</v>
      </c>
      <c r="IB34" s="8" t="str">
        <f>IF(ISBLANK([1]fixtures!$L258),"",":")</f>
        <v>:</v>
      </c>
      <c r="IC34" s="10">
        <f>IF(ISBLANK([1]fixtures!$L258),"",[1]fixtures!$L258)</f>
        <v>0</v>
      </c>
      <c r="ID34" s="8" t="str">
        <f>IF(ISBLANK([1]fixtures!$L258),"",IF(IA34&gt;IC34,"W",IF(IA34=IC34,"D","L")))</f>
        <v>W</v>
      </c>
      <c r="IE34" s="8"/>
      <c r="IF34" s="8"/>
      <c r="II34" s="7"/>
    </row>
    <row r="35" spans="1:252" x14ac:dyDescent="0.25">
      <c r="A35" s="90" t="s">
        <v>47</v>
      </c>
      <c r="B35" s="68"/>
      <c r="C35" s="187"/>
      <c r="D35" s="66"/>
      <c r="E35" s="66"/>
      <c r="F35" s="66"/>
      <c r="G35" s="67"/>
      <c r="H35" s="66"/>
      <c r="I35" s="68"/>
      <c r="J35" s="66"/>
      <c r="K35" s="66"/>
      <c r="L35" s="66"/>
      <c r="M35" s="87" t="s">
        <v>47</v>
      </c>
      <c r="N35" s="62"/>
      <c r="O35" s="185"/>
      <c r="P35" s="62"/>
      <c r="Q35" s="62"/>
      <c r="R35" s="62"/>
      <c r="S35" s="63"/>
      <c r="T35" s="62"/>
      <c r="U35" s="64"/>
      <c r="V35" s="62"/>
      <c r="W35" s="62"/>
      <c r="X35" s="62"/>
      <c r="Y35" s="60">
        <v>3</v>
      </c>
      <c r="Z35" s="59" t="s">
        <v>18</v>
      </c>
      <c r="AA35" s="183" t="str">
        <f ca="1">IFERROR(INDIRECT("fixtures!" &amp; [1]Dashboard!J1 &amp;267) - [1]Dashboard!K1/24,"TBC")</f>
        <v>TBC</v>
      </c>
      <c r="AB35" s="59"/>
      <c r="AC35" s="59" t="s">
        <v>23</v>
      </c>
      <c r="AD35" s="59" t="s">
        <v>16</v>
      </c>
      <c r="AE35" s="60">
        <f>IF(ISBLANK([1]fixtures!$L267),"",[1]fixtures!$L267)</f>
        <v>2</v>
      </c>
      <c r="AF35" s="59" t="str">
        <f>IF(ISBLANK([1]fixtures!$L267),"",":")</f>
        <v>:</v>
      </c>
      <c r="AG35" s="61">
        <f>IF(ISBLANK([1]fixtures!$K267),"",[1]fixtures!$K267)</f>
        <v>0</v>
      </c>
      <c r="AH35" s="59" t="str">
        <f>IF(ISBLANK([1]fixtures!$L267),"",IF(AE35&gt;AG35,"W",IF(AE35=AG35,"D","L")))</f>
        <v>W</v>
      </c>
      <c r="AI35" s="59"/>
      <c r="AJ35" s="59"/>
      <c r="AK35" s="85" t="s">
        <v>47</v>
      </c>
      <c r="AL35" s="56"/>
      <c r="AM35" s="181"/>
      <c r="AN35" s="56"/>
      <c r="AO35" s="56"/>
      <c r="AP35" s="56"/>
      <c r="AQ35" s="57"/>
      <c r="AR35" s="56"/>
      <c r="AS35" s="58"/>
      <c r="AT35" s="56"/>
      <c r="AU35" s="56"/>
      <c r="AV35" s="56"/>
      <c r="AW35" s="106" t="s">
        <v>47</v>
      </c>
      <c r="AX35" s="53"/>
      <c r="AY35" s="179"/>
      <c r="AZ35" s="53"/>
      <c r="BA35" s="53"/>
      <c r="BB35" s="53"/>
      <c r="BC35" s="54"/>
      <c r="BD35" s="53"/>
      <c r="BE35" s="55"/>
      <c r="BF35" s="53"/>
      <c r="BG35" s="53"/>
      <c r="BH35" s="53"/>
      <c r="BI35" s="83" t="s">
        <v>47</v>
      </c>
      <c r="BJ35" s="50"/>
      <c r="BK35" s="177"/>
      <c r="BL35" s="50"/>
      <c r="BM35" s="50"/>
      <c r="BN35" s="50"/>
      <c r="BO35" s="51"/>
      <c r="BP35" s="50"/>
      <c r="BQ35" s="52"/>
      <c r="BR35" s="50"/>
      <c r="BS35" s="50"/>
      <c r="BT35" s="50"/>
      <c r="BU35" s="48">
        <v>2</v>
      </c>
      <c r="BV35" s="47" t="s">
        <v>39</v>
      </c>
      <c r="BW35" s="175" t="str">
        <f ca="1">IFERROR(INDIRECT("fixtures!" &amp; [1]Dashboard!J1 &amp;260) - [1]Dashboard!K1/24,"TBC")</f>
        <v>TBC</v>
      </c>
      <c r="BX35" s="47"/>
      <c r="BY35" s="47" t="s">
        <v>24</v>
      </c>
      <c r="BZ35" s="47" t="s">
        <v>16</v>
      </c>
      <c r="CA35" s="48">
        <f>IF(ISBLANK([1]fixtures!$L260),"",[1]fixtures!$L260)</f>
        <v>2</v>
      </c>
      <c r="CB35" s="47" t="str">
        <f>IF(ISBLANK([1]fixtures!$L260),"",":")</f>
        <v>:</v>
      </c>
      <c r="CC35" s="49">
        <f>IF(ISBLANK([1]fixtures!$K260),"",[1]fixtures!$K260)</f>
        <v>2</v>
      </c>
      <c r="CD35" s="47" t="str">
        <f>IF(ISBLANK([1]fixtures!$L260),"",IF(CA35&gt;CC35,"W",IF(CA35=CC35,"D","L")))</f>
        <v>D</v>
      </c>
      <c r="CE35" s="47"/>
      <c r="CF35" s="47"/>
      <c r="CG35" s="81" t="s">
        <v>47</v>
      </c>
      <c r="CH35" s="44"/>
      <c r="CI35" s="173"/>
      <c r="CJ35" s="44"/>
      <c r="CK35" s="44"/>
      <c r="CL35" s="44"/>
      <c r="CM35" s="45"/>
      <c r="CN35" s="44"/>
      <c r="CO35" s="46"/>
      <c r="CP35" s="44"/>
      <c r="CQ35" s="44"/>
      <c r="CR35" s="44"/>
      <c r="CS35" s="102" t="s">
        <v>47</v>
      </c>
      <c r="CT35" s="41"/>
      <c r="CU35" s="171"/>
      <c r="CV35" s="41"/>
      <c r="CW35" s="41"/>
      <c r="CX35" s="41"/>
      <c r="CY35" s="42"/>
      <c r="CZ35" s="41"/>
      <c r="DA35" s="43"/>
      <c r="DB35" s="41"/>
      <c r="DC35" s="41"/>
      <c r="DD35" s="41"/>
      <c r="DE35" s="79" t="s">
        <v>47</v>
      </c>
      <c r="DF35" s="38"/>
      <c r="DG35" s="169"/>
      <c r="DH35" s="38"/>
      <c r="DI35" s="38"/>
      <c r="DJ35" s="38"/>
      <c r="DK35" s="39"/>
      <c r="DL35" s="38"/>
      <c r="DM35" s="40"/>
      <c r="DN35" s="38"/>
      <c r="DO35" s="38"/>
      <c r="DP35" s="38"/>
      <c r="DQ35" s="78" t="s">
        <v>47</v>
      </c>
      <c r="DR35" s="35"/>
      <c r="DS35" s="167"/>
      <c r="DT35" s="35"/>
      <c r="DU35" s="35"/>
      <c r="DV35" s="35"/>
      <c r="DW35" s="36"/>
      <c r="DX35" s="35"/>
      <c r="DY35" s="37"/>
      <c r="DZ35" s="35"/>
      <c r="EA35" s="35"/>
      <c r="EB35" s="35"/>
      <c r="EC35" s="33">
        <v>2</v>
      </c>
      <c r="ED35" s="32" t="s">
        <v>39</v>
      </c>
      <c r="EE35" s="190" t="str">
        <f ca="1">IFERROR(INDIRECT("fixtures!" &amp; [1]Dashboard!J1 &amp;266) - [1]Dashboard!K1/24,"TBC")</f>
        <v>TBC</v>
      </c>
      <c r="EF35" s="32"/>
      <c r="EG35" s="32" t="s">
        <v>31</v>
      </c>
      <c r="EH35" s="32" t="s">
        <v>21</v>
      </c>
      <c r="EI35" s="33">
        <f>IF(ISBLANK([1]fixtures!$K266),"",[1]fixtures!$K266)</f>
        <v>2</v>
      </c>
      <c r="EJ35" s="32" t="str">
        <f>IF(ISBLANK([1]fixtures!$L266),"",":")</f>
        <v>:</v>
      </c>
      <c r="EK35" s="34">
        <f>IF(ISBLANK([1]fixtures!$L266),"",[1]fixtures!$L266)</f>
        <v>3</v>
      </c>
      <c r="EL35" s="32" t="str">
        <f>IF(ISBLANK([1]fixtures!$L266),"",IF(EI35&gt;EK35,"W",IF(EI35=EK35,"D","L")))</f>
        <v>L</v>
      </c>
      <c r="EM35" s="32"/>
      <c r="EN35" s="32"/>
      <c r="EO35" s="98" t="s">
        <v>47</v>
      </c>
      <c r="EP35" s="29"/>
      <c r="EQ35" s="164"/>
      <c r="ER35" s="29"/>
      <c r="ES35" s="29"/>
      <c r="ET35" s="29"/>
      <c r="EU35" s="30"/>
      <c r="EV35" s="29"/>
      <c r="EW35" s="31"/>
      <c r="EX35" s="29"/>
      <c r="EY35" s="29"/>
      <c r="EZ35" s="29"/>
      <c r="FA35" s="75" t="s">
        <v>47</v>
      </c>
      <c r="FB35" s="26"/>
      <c r="FC35" s="189"/>
      <c r="FD35" s="26"/>
      <c r="FE35" s="26"/>
      <c r="FF35" s="26"/>
      <c r="FG35" s="27"/>
      <c r="FH35" s="26"/>
      <c r="FI35" s="28"/>
      <c r="FJ35" s="26"/>
      <c r="FK35" s="26"/>
      <c r="FL35" s="26"/>
      <c r="FM35" s="96" t="s">
        <v>47</v>
      </c>
      <c r="FN35" s="23"/>
      <c r="FO35" s="161"/>
      <c r="FP35" s="23"/>
      <c r="FQ35" s="23"/>
      <c r="FR35" s="23"/>
      <c r="FS35" s="24"/>
      <c r="FT35" s="23"/>
      <c r="FU35" s="25"/>
      <c r="FV35" s="23"/>
      <c r="FW35" s="23"/>
      <c r="FX35" s="23"/>
      <c r="FY35" s="95" t="s">
        <v>47</v>
      </c>
      <c r="FZ35" s="20"/>
      <c r="GA35" s="159"/>
      <c r="GB35" s="20"/>
      <c r="GC35" s="20"/>
      <c r="GD35" s="20"/>
      <c r="GE35" s="21"/>
      <c r="GF35" s="20"/>
      <c r="GG35" s="22"/>
      <c r="GH35" s="20"/>
      <c r="GI35" s="20"/>
      <c r="GJ35" s="20"/>
      <c r="GK35" s="72" t="s">
        <v>47</v>
      </c>
      <c r="GL35" s="17"/>
      <c r="GM35" s="157"/>
      <c r="GN35" s="17"/>
      <c r="GO35" s="17"/>
      <c r="GP35" s="17"/>
      <c r="GQ35" s="18"/>
      <c r="GR35" s="17"/>
      <c r="GS35" s="19"/>
      <c r="GT35" s="17"/>
      <c r="GU35" s="17"/>
      <c r="GV35" s="17"/>
      <c r="GW35" s="15">
        <v>2</v>
      </c>
      <c r="GX35" s="14" t="s">
        <v>39</v>
      </c>
      <c r="GY35" s="155" t="str">
        <f ca="1">IFERROR(INDIRECT("fixtures!" &amp; [1]Dashboard!J1 &amp;265) - [1]Dashboard!K1/24,"TBC")</f>
        <v>TBC</v>
      </c>
      <c r="GZ35" s="14"/>
      <c r="HA35" s="14" t="s">
        <v>37</v>
      </c>
      <c r="HB35" s="14" t="s">
        <v>21</v>
      </c>
      <c r="HC35" s="15">
        <f>IF(ISBLANK([1]fixtures!$K265),"",[1]fixtures!$K265)</f>
        <v>3</v>
      </c>
      <c r="HD35" s="14" t="str">
        <f>IF(ISBLANK([1]fixtures!$L265),"",":")</f>
        <v>:</v>
      </c>
      <c r="HE35" s="16">
        <f>IF(ISBLANK([1]fixtures!$L265),"",[1]fixtures!$L265)</f>
        <v>1</v>
      </c>
      <c r="HF35" s="14" t="str">
        <f>IF(ISBLANK([1]fixtures!$L265),"",IF(HC35&gt;HE35,"W",IF(HC35=HE35,"D","L")))</f>
        <v>W</v>
      </c>
      <c r="HG35" s="14"/>
      <c r="HH35" s="14"/>
      <c r="HI35" s="92" t="s">
        <v>47</v>
      </c>
      <c r="HJ35" s="11"/>
      <c r="HK35" s="153"/>
      <c r="HL35" s="11"/>
      <c r="HM35" s="11"/>
      <c r="HN35" s="11"/>
      <c r="HO35" s="12"/>
      <c r="HP35" s="11"/>
      <c r="HQ35" s="13"/>
      <c r="HR35" s="11"/>
      <c r="HS35" s="11"/>
      <c r="HT35" s="11"/>
      <c r="HU35" s="91" t="s">
        <v>47</v>
      </c>
      <c r="HV35" s="8"/>
      <c r="HW35" s="151"/>
      <c r="HX35" s="8"/>
      <c r="HY35" s="8"/>
      <c r="HZ35" s="8"/>
      <c r="IA35" s="9"/>
      <c r="IB35" s="8"/>
      <c r="IC35" s="10"/>
      <c r="ID35" s="8"/>
      <c r="IE35" s="8"/>
      <c r="IF35" s="8"/>
      <c r="II35" s="7"/>
    </row>
    <row r="36" spans="1:252" x14ac:dyDescent="0.25">
      <c r="A36" s="67">
        <v>4</v>
      </c>
      <c r="B36" s="66" t="s">
        <v>42</v>
      </c>
      <c r="C36" s="187" t="str">
        <f ca="1">IFERROR(INDIRECT("fixtures!" &amp; [1]Dashboard!J1 &amp;269) - [1]Dashboard!K1/24,"TBC")</f>
        <v>TBC</v>
      </c>
      <c r="D36" s="66"/>
      <c r="E36" s="66" t="s">
        <v>20</v>
      </c>
      <c r="F36" s="66" t="s">
        <v>16</v>
      </c>
      <c r="G36" s="67">
        <f>IF(ISBLANK([1]fixtures!$L269),"",[1]fixtures!$L269)</f>
        <v>6</v>
      </c>
      <c r="H36" s="66" t="str">
        <f>IF(ISBLANK([1]fixtures!$L269),"",":")</f>
        <v>:</v>
      </c>
      <c r="I36" s="68">
        <f>IF(ISBLANK([1]fixtures!$K269),"",[1]fixtures!$K269)</f>
        <v>0</v>
      </c>
      <c r="J36" s="66" t="str">
        <f>IF(ISBLANK([1]fixtures!$L269),"",IF(G36&gt;I36,"W",IF(G36=I36,"D","L")))</f>
        <v>W</v>
      </c>
      <c r="K36" s="66"/>
      <c r="L36" s="66"/>
      <c r="M36" s="63">
        <v>2</v>
      </c>
      <c r="N36" s="62" t="s">
        <v>39</v>
      </c>
      <c r="O36" s="185" t="str">
        <f ca="1">IFERROR(INDIRECT("fixtures!" &amp; [1]Dashboard!J1 &amp;266) - [1]Dashboard!K1/24,"TBC")</f>
        <v>TBC</v>
      </c>
      <c r="P36" s="62"/>
      <c r="Q36" s="62" t="s">
        <v>29</v>
      </c>
      <c r="R36" s="62" t="s">
        <v>16</v>
      </c>
      <c r="S36" s="63">
        <f>IF(ISBLANK([1]fixtures!$L266),"",[1]fixtures!$L266)</f>
        <v>3</v>
      </c>
      <c r="T36" s="62" t="str">
        <f>IF(ISBLANK([1]fixtures!$L266),"",":")</f>
        <v>:</v>
      </c>
      <c r="U36" s="64">
        <f>IF(ISBLANK([1]fixtures!$K266),"",[1]fixtures!$K266)</f>
        <v>2</v>
      </c>
      <c r="V36" s="62" t="str">
        <f>IF(ISBLANK([1]fixtures!$L266),"",IF(S36&gt;U36,"W",IF(S36=U36,"D","L")))</f>
        <v>W</v>
      </c>
      <c r="W36" s="62"/>
      <c r="X36" s="62"/>
      <c r="Y36" s="60">
        <v>9</v>
      </c>
      <c r="Z36" s="59" t="s">
        <v>39</v>
      </c>
      <c r="AA36" s="183" t="str">
        <f ca="1">IFERROR(INDIRECT("fixtures!" &amp; [1]Dashboard!J1 &amp;271) - [1]Dashboard!K1/24,"TBC")</f>
        <v>TBC</v>
      </c>
      <c r="AB36" s="59"/>
      <c r="AC36" s="59" t="s">
        <v>20</v>
      </c>
      <c r="AD36" s="59" t="s">
        <v>21</v>
      </c>
      <c r="AE36" s="60">
        <f>IF(ISBLANK([1]fixtures!$K271),"",[1]fixtures!$K271)</f>
        <v>2</v>
      </c>
      <c r="AF36" s="59" t="str">
        <f>IF(ISBLANK([1]fixtures!$L271),"",":")</f>
        <v>:</v>
      </c>
      <c r="AG36" s="61">
        <f>IF(ISBLANK([1]fixtures!$L271),"",[1]fixtures!$L271)</f>
        <v>2</v>
      </c>
      <c r="AH36" s="59" t="str">
        <f>IF(ISBLANK([1]fixtures!$L271),"",IF(AE36&gt;AG36,"W",IF(AE36=AG36,"D","L")))</f>
        <v>D</v>
      </c>
      <c r="AI36" s="59"/>
      <c r="AJ36" s="59"/>
      <c r="AK36" s="57">
        <v>2</v>
      </c>
      <c r="AL36" s="58" t="s">
        <v>39</v>
      </c>
      <c r="AM36" s="181" t="str">
        <f ca="1">IFERROR(INDIRECT("fixtures!" &amp; [1]Dashboard!J1 &amp;260) - [1]Dashboard!K1/24,"TBC")</f>
        <v>TBC</v>
      </c>
      <c r="AN36" s="56"/>
      <c r="AO36" s="56" t="s">
        <v>36</v>
      </c>
      <c r="AP36" s="56" t="s">
        <v>21</v>
      </c>
      <c r="AQ36" s="57">
        <f>IF(ISBLANK([1]fixtures!$K260),"",[1]fixtures!$K260)</f>
        <v>2</v>
      </c>
      <c r="AR36" s="56" t="str">
        <f>IF(ISBLANK([1]fixtures!$L260),"",":")</f>
        <v>:</v>
      </c>
      <c r="AS36" s="58">
        <f>IF(ISBLANK([1]fixtures!$L260),"",[1]fixtures!$L260)</f>
        <v>2</v>
      </c>
      <c r="AT36" s="56" t="str">
        <f>IF(ISBLANK([1]fixtures!$L260),"",IF(AQ36&gt;AS36,"W",IF(AQ36=AS36,"D","L")))</f>
        <v>D</v>
      </c>
      <c r="AU36" s="56"/>
      <c r="AV36" s="56"/>
      <c r="AW36" s="54">
        <v>2</v>
      </c>
      <c r="AX36" s="53" t="s">
        <v>39</v>
      </c>
      <c r="AY36" s="179" t="str">
        <f ca="1">IFERROR(INDIRECT("fixtures!" &amp; [1]Dashboard!J1 &amp;262) - [1]Dashboard!K1/24,"TBC")</f>
        <v>TBC</v>
      </c>
      <c r="AZ36" s="53"/>
      <c r="BA36" s="53" t="s">
        <v>27</v>
      </c>
      <c r="BB36" s="53" t="s">
        <v>16</v>
      </c>
      <c r="BC36" s="54">
        <f>IF(ISBLANK([1]fixtures!$L262),"",[1]fixtures!$L262)</f>
        <v>0</v>
      </c>
      <c r="BD36" s="53" t="str">
        <f>IF(ISBLANK([1]fixtures!$L262),"",":")</f>
        <v>:</v>
      </c>
      <c r="BE36" s="55">
        <f>IF(ISBLANK([1]fixtures!$K262),"",[1]fixtures!$K262)</f>
        <v>3</v>
      </c>
      <c r="BF36" s="53" t="str">
        <f>IF(ISBLANK([1]fixtures!$L262),"",IF(BC36&gt;BE36,"W",IF(BC36=BE36,"D","L")))</f>
        <v>L</v>
      </c>
      <c r="BG36" s="53"/>
      <c r="BH36" s="53"/>
      <c r="BI36" s="51">
        <v>3</v>
      </c>
      <c r="BJ36" s="50" t="s">
        <v>18</v>
      </c>
      <c r="BK36" s="177" t="str">
        <f ca="1">IFERROR(INDIRECT("fixtures!" &amp; [1]Dashboard!J1 &amp;267) - [1]Dashboard!K1/24,"TBC")</f>
        <v>TBC</v>
      </c>
      <c r="BL36" s="50"/>
      <c r="BM36" s="50" t="s">
        <v>32</v>
      </c>
      <c r="BN36" s="50" t="s">
        <v>21</v>
      </c>
      <c r="BO36" s="51">
        <f>IF(ISBLANK([1]fixtures!$K267),"",[1]fixtures!$K267)</f>
        <v>0</v>
      </c>
      <c r="BP36" s="50" t="str">
        <f>IF(ISBLANK([1]fixtures!$L267),"",":")</f>
        <v>:</v>
      </c>
      <c r="BQ36" s="52">
        <f>IF(ISBLANK([1]fixtures!$L267),"",[1]fixtures!$L267)</f>
        <v>2</v>
      </c>
      <c r="BR36" s="50" t="str">
        <f>IF(ISBLANK([1]fixtures!$L267),"",IF(BO36&gt;BQ36,"W",IF(BO36=BQ36,"D","L")))</f>
        <v>L</v>
      </c>
      <c r="BS36" s="50"/>
      <c r="BT36" s="50"/>
      <c r="BU36" s="48">
        <v>11</v>
      </c>
      <c r="BV36" s="47" t="s">
        <v>42</v>
      </c>
      <c r="BW36" s="175" t="str">
        <f ca="1">IFERROR(INDIRECT("fixtures!" &amp; [1]Dashboard!J1 &amp;279) - [1]Dashboard!K1/24,"TBC")</f>
        <v>TBC</v>
      </c>
      <c r="BX36" s="47"/>
      <c r="BY36" s="47" t="s">
        <v>35</v>
      </c>
      <c r="BZ36" s="47" t="s">
        <v>21</v>
      </c>
      <c r="CA36" s="48">
        <f>IF(ISBLANK([1]fixtures!$K279),"",[1]fixtures!$K279)</f>
        <v>3</v>
      </c>
      <c r="CB36" s="47" t="str">
        <f>IF(ISBLANK([1]fixtures!$L279),"",":")</f>
        <v>:</v>
      </c>
      <c r="CC36" s="49">
        <f>IF(ISBLANK([1]fixtures!$L279),"",[1]fixtures!$L279)</f>
        <v>2</v>
      </c>
      <c r="CD36" s="47" t="str">
        <f>IF(ISBLANK([1]fixtures!$L279),"",IF(CA36&gt;CC36,"W",IF(CA36=CC36,"D","L")))</f>
        <v>W</v>
      </c>
      <c r="CE36" s="47"/>
      <c r="CF36" s="47"/>
      <c r="CG36" s="45">
        <v>2</v>
      </c>
      <c r="CH36" s="44" t="s">
        <v>39</v>
      </c>
      <c r="CI36" s="173" t="str">
        <f ca="1">IFERROR(INDIRECT("fixtures!" &amp; [1]Dashboard!J1 &amp;265) - [1]Dashboard!K1/24,"TBC")</f>
        <v>TBC</v>
      </c>
      <c r="CJ36" s="44"/>
      <c r="CK36" s="44" t="s">
        <v>22</v>
      </c>
      <c r="CL36" s="44" t="s">
        <v>16</v>
      </c>
      <c r="CM36" s="45">
        <f>IF(ISBLANK([1]fixtures!$L265),"",[1]fixtures!$L265)</f>
        <v>1</v>
      </c>
      <c r="CN36" s="44" t="str">
        <f>IF(ISBLANK([1]fixtures!$L265),"",":")</f>
        <v>:</v>
      </c>
      <c r="CO36" s="46">
        <f>IF(ISBLANK([1]fixtures!$K265),"",[1]fixtures!$K265)</f>
        <v>3</v>
      </c>
      <c r="CP36" s="44" t="str">
        <f>IF(ISBLANK([1]fixtures!$L265),"",IF(CM36&gt;CO36,"W",IF(CM36=CO36,"D","L")))</f>
        <v>L</v>
      </c>
      <c r="CQ36" s="44"/>
      <c r="CR36" s="44"/>
      <c r="CS36" s="42">
        <v>2</v>
      </c>
      <c r="CT36" s="41" t="s">
        <v>39</v>
      </c>
      <c r="CU36" s="171" t="str">
        <f ca="1">IFERROR(INDIRECT("fixtures!" &amp; [1]Dashboard!J1 &amp;261) - [1]Dashboard!K1/24,"TBC")</f>
        <v>TBC</v>
      </c>
      <c r="CV36" s="41"/>
      <c r="CW36" s="41" t="s">
        <v>26</v>
      </c>
      <c r="CX36" s="41" t="s">
        <v>21</v>
      </c>
      <c r="CY36" s="42">
        <f>IF(ISBLANK([1]fixtures!$K261),"",[1]fixtures!$K261)</f>
        <v>1</v>
      </c>
      <c r="CZ36" s="41" t="str">
        <f>IF(ISBLANK([1]fixtures!$L261),"",":")</f>
        <v>:</v>
      </c>
      <c r="DA36" s="43">
        <f>IF(ISBLANK([1]fixtures!$L261),"",[1]fixtures!$L261)</f>
        <v>3</v>
      </c>
      <c r="DB36" s="41" t="str">
        <f>IF(ISBLANK([1]fixtures!$L261),"",IF(CY36&gt;DA36,"W",IF(CY36=DA36,"D","L")))</f>
        <v>L</v>
      </c>
      <c r="DC36" s="41"/>
      <c r="DD36" s="41"/>
      <c r="DE36" s="39">
        <v>2</v>
      </c>
      <c r="DF36" s="38" t="s">
        <v>39</v>
      </c>
      <c r="DG36" s="169" t="str">
        <f ca="1">IFERROR(INDIRECT("fixtures!" &amp; [1]Dashboard!J1 &amp;262) - [1]Dashboard!K1/24,"TBC")</f>
        <v>TBC</v>
      </c>
      <c r="DH36" s="38"/>
      <c r="DI36" s="38" t="s">
        <v>25</v>
      </c>
      <c r="DJ36" s="38" t="s">
        <v>21</v>
      </c>
      <c r="DK36" s="39">
        <f>IF(ISBLANK([1]fixtures!$K262),"",[1]fixtures!$K262)</f>
        <v>3</v>
      </c>
      <c r="DL36" s="38" t="str">
        <f>IF(ISBLANK([1]fixtures!$L262),"",":")</f>
        <v>:</v>
      </c>
      <c r="DM36" s="40">
        <f>IF(ISBLANK([1]fixtures!$L262),"",[1]fixtures!$L262)</f>
        <v>0</v>
      </c>
      <c r="DN36" s="38" t="str">
        <f>IF(ISBLANK([1]fixtures!$L262),"",IF(DK36&gt;DM36,"W",IF(DK36=DM36,"D","L")))</f>
        <v>W</v>
      </c>
      <c r="DO36" s="38"/>
      <c r="DP36" s="38"/>
      <c r="DQ36" s="36">
        <v>2</v>
      </c>
      <c r="DR36" s="35" t="s">
        <v>39</v>
      </c>
      <c r="DS36" s="167" t="str">
        <f ca="1">IFERROR(INDIRECT("fixtures!" &amp; [1]Dashboard!J1 &amp;264) - [1]Dashboard!K1/24,"TBC")</f>
        <v>TBC</v>
      </c>
      <c r="DT36" s="35"/>
      <c r="DU36" s="35" t="s">
        <v>33</v>
      </c>
      <c r="DV36" s="35" t="s">
        <v>16</v>
      </c>
      <c r="DW36" s="36">
        <f>IF(ISBLANK([1]fixtures!$L264),"",[1]fixtures!$L264)</f>
        <v>1</v>
      </c>
      <c r="DX36" s="35" t="str">
        <f>IF(ISBLANK([1]fixtures!$L264),"",":")</f>
        <v>:</v>
      </c>
      <c r="DY36" s="37">
        <f>IF(ISBLANK([1]fixtures!$K264),"",[1]fixtures!$K264)</f>
        <v>0</v>
      </c>
      <c r="DZ36" s="35" t="str">
        <f>IF(ISBLANK([1]fixtures!$L264),"",IF(DW36&gt;DY36,"W",IF(DW36=DY36,"D","L")))</f>
        <v>W</v>
      </c>
      <c r="EA36" s="35"/>
      <c r="EB36" s="35"/>
      <c r="EC36" s="33">
        <v>9</v>
      </c>
      <c r="ED36" s="32" t="s">
        <v>39</v>
      </c>
      <c r="EE36" s="190" t="str">
        <f ca="1">IFERROR(INDIRECT("fixtures!" &amp; [1]Dashboard!J1 &amp;272) - [1]Dashboard!K1/24,"TBC")</f>
        <v>TBC</v>
      </c>
      <c r="EF36" s="32"/>
      <c r="EG36" s="32" t="s">
        <v>37</v>
      </c>
      <c r="EH36" s="32" t="s">
        <v>16</v>
      </c>
      <c r="EI36" s="33">
        <f>IF(ISBLANK([1]fixtures!$L272),"",[1]fixtures!$L272)</f>
        <v>1</v>
      </c>
      <c r="EJ36" s="32" t="str">
        <f>IF(ISBLANK([1]fixtures!$L272),"",":")</f>
        <v>:</v>
      </c>
      <c r="EK36" s="34">
        <f>IF(ISBLANK([1]fixtures!$K272),"",[1]fixtures!$K272)</f>
        <v>1</v>
      </c>
      <c r="EL36" s="32" t="str">
        <f>IF(ISBLANK([1]fixtures!$L272),"",IF(EI36&gt;EK36,"W",IF(EI36=EK36,"D","L")))</f>
        <v>D</v>
      </c>
      <c r="EM36" s="32"/>
      <c r="EN36" s="32"/>
      <c r="EO36" s="30">
        <v>3</v>
      </c>
      <c r="EP36" s="29" t="s">
        <v>18</v>
      </c>
      <c r="EQ36" s="164" t="str">
        <f ca="1">IFERROR(INDIRECT("fixtures!" &amp; [1]Dashboard!J1 &amp;268) - [1]Dashboard!K1/24,"TBC")</f>
        <v>TBC</v>
      </c>
      <c r="ER36" s="29"/>
      <c r="ES36" s="29" t="s">
        <v>34</v>
      </c>
      <c r="ET36" s="29" t="s">
        <v>21</v>
      </c>
      <c r="EU36" s="30">
        <f>IF(ISBLANK([1]fixtures!$K268),"",[1]fixtures!$K268)</f>
        <v>3</v>
      </c>
      <c r="EV36" s="29" t="str">
        <f>IF(ISBLANK([1]fixtures!$L268),"",":")</f>
        <v>:</v>
      </c>
      <c r="EW36" s="31">
        <f>IF(ISBLANK([1]fixtures!$L268),"",[1]fixtures!$L268)</f>
        <v>1</v>
      </c>
      <c r="EX36" s="29" t="str">
        <f>IF(ISBLANK([1]fixtures!$L268),"",IF(EU36&gt;EW36,"W",IF(EU36=EW36,"D","L")))</f>
        <v>W</v>
      </c>
      <c r="EY36" s="29"/>
      <c r="EZ36" s="29"/>
      <c r="FA36" s="27">
        <v>3</v>
      </c>
      <c r="FB36" s="26" t="s">
        <v>18</v>
      </c>
      <c r="FC36" s="189" t="str">
        <f ca="1">IFERROR(INDIRECT("fixtures!" &amp; [1]Dashboard!J1 &amp;268) - [1]Dashboard!K1/24,"TBC")</f>
        <v>TBC</v>
      </c>
      <c r="FD36" s="26"/>
      <c r="FE36" s="26" t="s">
        <v>19</v>
      </c>
      <c r="FF36" s="26" t="s">
        <v>16</v>
      </c>
      <c r="FG36" s="27">
        <f>IF(ISBLANK([1]fixtures!$L268),"",[1]fixtures!$L268)</f>
        <v>1</v>
      </c>
      <c r="FH36" s="26" t="str">
        <f>IF(ISBLANK([1]fixtures!$L268),"",":")</f>
        <v>:</v>
      </c>
      <c r="FI36" s="28">
        <f>IF(ISBLANK([1]fixtures!$K268),"",[1]fixtures!$K268)</f>
        <v>3</v>
      </c>
      <c r="FJ36" s="26" t="str">
        <f>IF(ISBLANK([1]fixtures!$L268),"",IF(FG36&gt;FI36,"W",IF(FG36=FI36,"D","L")))</f>
        <v>L</v>
      </c>
      <c r="FK36" s="26"/>
      <c r="FL36" s="26"/>
      <c r="FM36" s="24">
        <v>2</v>
      </c>
      <c r="FN36" s="23" t="s">
        <v>39</v>
      </c>
      <c r="FO36" s="161" t="str">
        <f ca="1">IFERROR(INDIRECT("fixtures!" &amp; [1]Dashboard!J1 &amp;263) - [1]Dashboard!K1/24,"TBC")</f>
        <v>TBC</v>
      </c>
      <c r="FP36" s="23"/>
      <c r="FQ36" s="23" t="s">
        <v>28</v>
      </c>
      <c r="FR36" s="23" t="s">
        <v>21</v>
      </c>
      <c r="FS36" s="24">
        <f>IF(ISBLANK([1]fixtures!$K263),"",[1]fixtures!$K263)</f>
        <v>3</v>
      </c>
      <c r="FT36" s="23" t="str">
        <f>IF(ISBLANK([1]fixtures!$L263),"",":")</f>
        <v>:</v>
      </c>
      <c r="FU36" s="25">
        <f>IF(ISBLANK([1]fixtures!$L263),"",[1]fixtures!$L263)</f>
        <v>0</v>
      </c>
      <c r="FV36" s="23" t="str">
        <f>IF(ISBLANK([1]fixtures!$L263),"",IF(FS36&gt;FU36,"W",IF(FS36=FU36,"D","L")))</f>
        <v>W</v>
      </c>
      <c r="FW36" s="23"/>
      <c r="FX36" s="23"/>
      <c r="FY36" s="21">
        <v>2</v>
      </c>
      <c r="FZ36" s="20" t="s">
        <v>39</v>
      </c>
      <c r="GA36" s="159" t="str">
        <f ca="1">IFERROR(INDIRECT("fixtures!" &amp; [1]Dashboard!J1 &amp;264) - [1]Dashboard!K1/24,"TBC")</f>
        <v>TBC</v>
      </c>
      <c r="GB36" s="20"/>
      <c r="GC36" s="20" t="s">
        <v>17</v>
      </c>
      <c r="GD36" s="20" t="s">
        <v>21</v>
      </c>
      <c r="GE36" s="21">
        <f>IF(ISBLANK([1]fixtures!$K264),"",[1]fixtures!$K264)</f>
        <v>0</v>
      </c>
      <c r="GF36" s="20" t="str">
        <f>IF(ISBLANK([1]fixtures!$L264),"",":")</f>
        <v>:</v>
      </c>
      <c r="GG36" s="22">
        <f>IF(ISBLANK([1]fixtures!$L264),"",[1]fixtures!$L264)</f>
        <v>1</v>
      </c>
      <c r="GH36" s="20" t="str">
        <f>IF(ISBLANK([1]fixtures!$L264),"",IF(GE36&gt;GG36,"W",IF(GE36=GG36,"D","L")))</f>
        <v>L</v>
      </c>
      <c r="GI36" s="20"/>
      <c r="GJ36" s="20"/>
      <c r="GK36" s="18">
        <v>4</v>
      </c>
      <c r="GL36" s="17" t="s">
        <v>42</v>
      </c>
      <c r="GM36" s="157" t="str">
        <f ca="1">IFERROR(INDIRECT("fixtures!" &amp; [1]Dashboard!J1 &amp;269) - [1]Dashboard!K1/24,"TBC")</f>
        <v>TBC</v>
      </c>
      <c r="GN36" s="17"/>
      <c r="GO36" s="17" t="s">
        <v>30</v>
      </c>
      <c r="GP36" s="17" t="s">
        <v>21</v>
      </c>
      <c r="GQ36" s="18">
        <f>IF(ISBLANK([1]fixtures!$K269),"",[1]fixtures!$K269)</f>
        <v>0</v>
      </c>
      <c r="GR36" s="17" t="str">
        <f>IF(ISBLANK([1]fixtures!$L269),"",":")</f>
        <v>:</v>
      </c>
      <c r="GS36" s="19">
        <f>IF(ISBLANK([1]fixtures!$L269),"",[1]fixtures!$L269)</f>
        <v>6</v>
      </c>
      <c r="GT36" s="17" t="str">
        <f>IF(ISBLANK([1]fixtures!$L269),"",IF(GQ36&gt;GS36,"W",IF(GQ36=GS36,"D","L")))</f>
        <v>L</v>
      </c>
      <c r="GU36" s="17"/>
      <c r="GV36" s="17"/>
      <c r="GW36" s="15">
        <v>10</v>
      </c>
      <c r="GX36" s="14" t="s">
        <v>18</v>
      </c>
      <c r="GY36" s="155" t="str">
        <f ca="1">IFERROR(INDIRECT("fixtures!" &amp; [1]Dashboard!J1 &amp;275) - [1]Dashboard!K1/24,"TBC")</f>
        <v>TBC</v>
      </c>
      <c r="GZ36" s="14"/>
      <c r="HA36" s="14" t="s">
        <v>31</v>
      </c>
      <c r="HB36" s="14" t="s">
        <v>16</v>
      </c>
      <c r="HC36" s="15">
        <f>IF(ISBLANK([1]fixtures!$L275),"",[1]fixtures!$L275)</f>
        <v>4</v>
      </c>
      <c r="HD36" s="14" t="str">
        <f>IF(ISBLANK([1]fixtures!$L275),"",":")</f>
        <v>:</v>
      </c>
      <c r="HE36" s="16">
        <f>IF(ISBLANK([1]fixtures!$K275),"",[1]fixtures!$K275)</f>
        <v>0</v>
      </c>
      <c r="HF36" s="14" t="str">
        <f>IF(ISBLANK([1]fixtures!$L275),"",IF(HC36&gt;HE36,"W",IF(HC36=HE36,"D","L")))</f>
        <v>W</v>
      </c>
      <c r="HG36" s="14"/>
      <c r="HH36" s="14"/>
      <c r="HI36" s="12">
        <v>2</v>
      </c>
      <c r="HJ36" s="11" t="s">
        <v>39</v>
      </c>
      <c r="HK36" s="153" t="str">
        <f ca="1">IFERROR(INDIRECT("fixtures!" &amp; [1]Dashboard!J1 &amp;261) - [1]Dashboard!K1/24,"TBC")</f>
        <v>TBC</v>
      </c>
      <c r="HL36" s="11"/>
      <c r="HM36" s="11" t="s">
        <v>38</v>
      </c>
      <c r="HN36" s="11" t="s">
        <v>16</v>
      </c>
      <c r="HO36" s="12">
        <f>IF(ISBLANK([1]fixtures!$L261),"",[1]fixtures!$L261)</f>
        <v>3</v>
      </c>
      <c r="HP36" s="11" t="str">
        <f>IF(ISBLANK([1]fixtures!$L261),"",":")</f>
        <v>:</v>
      </c>
      <c r="HQ36" s="13">
        <f>IF(ISBLANK([1]fixtures!$K261),"",[1]fixtures!$K261)</f>
        <v>1</v>
      </c>
      <c r="HR36" s="11" t="str">
        <f>IF(ISBLANK([1]fixtures!$L261),"",IF(HO36&gt;HQ36,"W",IF(HO36=HQ36,"D","L")))</f>
        <v>W</v>
      </c>
      <c r="HS36" s="11"/>
      <c r="HT36" s="11"/>
      <c r="HU36" s="9">
        <v>2</v>
      </c>
      <c r="HV36" s="8" t="s">
        <v>39</v>
      </c>
      <c r="HW36" s="151" t="str">
        <f ca="1">IFERROR(INDIRECT("fixtures!" &amp; [1]Dashboard!J1 &amp;263) - [1]Dashboard!K1/24,"TBC")</f>
        <v>TBC</v>
      </c>
      <c r="HX36" s="8"/>
      <c r="HY36" s="8" t="s">
        <v>35</v>
      </c>
      <c r="HZ36" s="8" t="s">
        <v>16</v>
      </c>
      <c r="IA36" s="9">
        <f>IF(ISBLANK([1]fixtures!$L263),"",[1]fixtures!$L263)</f>
        <v>0</v>
      </c>
      <c r="IB36" s="8" t="str">
        <f>IF(ISBLANK([1]fixtures!$L263),"",":")</f>
        <v>:</v>
      </c>
      <c r="IC36" s="10">
        <f>IF(ISBLANK([1]fixtures!$K263),"",[1]fixtures!$K263)</f>
        <v>3</v>
      </c>
      <c r="ID36" s="8" t="str">
        <f>IF(ISBLANK([1]fixtures!$L263),"",IF(IA36&gt;IC36,"W",IF(IA36=IC36,"D","L")))</f>
        <v>L</v>
      </c>
      <c r="IE36" s="8"/>
      <c r="IF36" s="8"/>
      <c r="II36" s="7"/>
      <c r="IQ36" s="191"/>
      <c r="IR36" s="191"/>
    </row>
    <row r="37" spans="1:252" x14ac:dyDescent="0.25">
      <c r="A37" s="67">
        <v>9</v>
      </c>
      <c r="B37" s="66" t="s">
        <v>39</v>
      </c>
      <c r="C37" s="187" t="str">
        <f ca="1">IFERROR(INDIRECT("fixtures!" &amp; [1]Dashboard!J1 &amp;274) - [1]Dashboard!K1/24,"TBC")</f>
        <v>TBC</v>
      </c>
      <c r="D37" s="66"/>
      <c r="E37" s="66" t="s">
        <v>24</v>
      </c>
      <c r="F37" s="66" t="s">
        <v>21</v>
      </c>
      <c r="G37" s="67">
        <f>IF(ISBLANK([1]fixtures!$K274),"",[1]fixtures!$K274)</f>
        <v>2</v>
      </c>
      <c r="H37" s="66" t="str">
        <f>IF(ISBLANK([1]fixtures!$L274),"",":")</f>
        <v>:</v>
      </c>
      <c r="I37" s="68">
        <f>IF(ISBLANK([1]fixtures!$L274),"",[1]fixtures!$L274)</f>
        <v>1</v>
      </c>
      <c r="J37" s="66" t="str">
        <f>IF(ISBLANK([1]fixtures!$L274),"",IF(G37&gt;I37,"W",IF(G37=I37,"D","L")))</f>
        <v>W</v>
      </c>
      <c r="K37" s="66"/>
      <c r="L37" s="66"/>
      <c r="M37" s="63">
        <v>10</v>
      </c>
      <c r="N37" s="62" t="s">
        <v>18</v>
      </c>
      <c r="O37" s="185" t="str">
        <f ca="1">IFERROR(INDIRECT("fixtures!" &amp; [1]Dashboard!J1 &amp;275) - [1]Dashboard!K1/24,"TBC")</f>
        <v>TBC</v>
      </c>
      <c r="P37" s="62"/>
      <c r="Q37" s="62" t="s">
        <v>22</v>
      </c>
      <c r="R37" s="62" t="s">
        <v>21</v>
      </c>
      <c r="S37" s="63">
        <f>IF(ISBLANK([1]fixtures!$K275),"",[1]fixtures!$K275)</f>
        <v>0</v>
      </c>
      <c r="T37" s="62" t="str">
        <f>IF(ISBLANK([1]fixtures!$L275),"",":")</f>
        <v>:</v>
      </c>
      <c r="U37" s="64">
        <f>IF(ISBLANK([1]fixtures!$L275),"",[1]fixtures!$L275)</f>
        <v>4</v>
      </c>
      <c r="V37" s="62" t="str">
        <f>IF(ISBLANK([1]fixtures!$L275),"",IF(S37&gt;U37,"W",IF(S37=U37,"D","L")))</f>
        <v>L</v>
      </c>
      <c r="W37" s="62"/>
      <c r="X37" s="62"/>
      <c r="Y37" s="60">
        <v>13</v>
      </c>
      <c r="Z37" s="59" t="s">
        <v>41</v>
      </c>
      <c r="AA37" s="183" t="str">
        <f ca="1">IFERROR(INDIRECT("fixtures!" &amp; [1]Dashboard!J1 &amp;280) - [1]Dashboard!K1/24,"TBC")</f>
        <v>TBC</v>
      </c>
      <c r="AB37" s="59"/>
      <c r="AC37" s="59" t="s">
        <v>29</v>
      </c>
      <c r="AD37" s="59" t="s">
        <v>21</v>
      </c>
      <c r="AE37" s="60">
        <f>IF(ISBLANK([1]fixtures!$K280),"",[1]fixtures!$K280)</f>
        <v>4</v>
      </c>
      <c r="AF37" s="59" t="str">
        <f>IF(ISBLANK([1]fixtures!$L280),"",":")</f>
        <v>:</v>
      </c>
      <c r="AG37" s="61">
        <f>IF(ISBLANK([1]fixtures!$L280),"",[1]fixtures!$L280)</f>
        <v>3</v>
      </c>
      <c r="AH37" s="59" t="str">
        <f>IF(ISBLANK([1]fixtures!$L280),"",IF(AE37&gt;AG37,"W",IF(AE37=AG37,"D","L")))</f>
        <v>W</v>
      </c>
      <c r="AI37" s="59"/>
      <c r="AJ37" s="59"/>
      <c r="AK37" s="57">
        <v>9</v>
      </c>
      <c r="AL37" s="56" t="s">
        <v>39</v>
      </c>
      <c r="AM37" s="181" t="str">
        <f ca="1">IFERROR(INDIRECT("fixtures!" &amp; [1]Dashboard!J1 &amp;274) - [1]Dashboard!K1/24,"TBC")</f>
        <v>TBC</v>
      </c>
      <c r="AN37" s="56"/>
      <c r="AO37" s="56" t="s">
        <v>30</v>
      </c>
      <c r="AP37" s="56" t="s">
        <v>16</v>
      </c>
      <c r="AQ37" s="57">
        <f>IF(ISBLANK([1]fixtures!$L274),"",[1]fixtures!$L274)</f>
        <v>1</v>
      </c>
      <c r="AR37" s="56" t="str">
        <f>IF(ISBLANK([1]fixtures!$L274),"",":")</f>
        <v>:</v>
      </c>
      <c r="AS37" s="58">
        <f>IF(ISBLANK([1]fixtures!$K274),"",[1]fixtures!$K274)</f>
        <v>2</v>
      </c>
      <c r="AT37" s="56" t="str">
        <f>IF(ISBLANK([1]fixtures!$L274),"",IF(AQ37&gt;AS37,"W",IF(AQ37=AS37,"D","L")))</f>
        <v>L</v>
      </c>
      <c r="AU37" s="56"/>
      <c r="AV37" s="56"/>
      <c r="AW37" s="54">
        <v>10</v>
      </c>
      <c r="AX37" s="53" t="s">
        <v>18</v>
      </c>
      <c r="AY37" s="179" t="str">
        <f ca="1">IFERROR(INDIRECT("fixtures!" &amp; [1]Dashboard!J1 &amp;276) - [1]Dashboard!K1/24,"TBC")</f>
        <v>TBC</v>
      </c>
      <c r="AZ37" s="53"/>
      <c r="BA37" s="53" t="s">
        <v>33</v>
      </c>
      <c r="BB37" s="53" t="s">
        <v>21</v>
      </c>
      <c r="BC37" s="54">
        <f>IF(ISBLANK([1]fixtures!$K276),"",[1]fixtures!$K276)</f>
        <v>1</v>
      </c>
      <c r="BD37" s="53" t="str">
        <f>IF(ISBLANK([1]fixtures!$L276),"",":")</f>
        <v>:</v>
      </c>
      <c r="BE37" s="55">
        <f>IF(ISBLANK([1]fixtures!$L276),"",[1]fixtures!$L276)</f>
        <v>0</v>
      </c>
      <c r="BF37" s="53" t="str">
        <f>IF(ISBLANK([1]fixtures!$L276),"",IF(BC37&gt;BE37,"W",IF(BC37=BE37,"D","L")))</f>
        <v>W</v>
      </c>
      <c r="BG37" s="53"/>
      <c r="BH37" s="53"/>
      <c r="BI37" s="51">
        <v>10</v>
      </c>
      <c r="BJ37" s="52" t="s">
        <v>18</v>
      </c>
      <c r="BK37" s="177" t="str">
        <f ca="1">IFERROR(INDIRECT("fixtures!" &amp; [1]Dashboard!J1 &amp;277) - [1]Dashboard!K1/24,"TBC")</f>
        <v>TBC</v>
      </c>
      <c r="BL37" s="50"/>
      <c r="BM37" s="50" t="s">
        <v>26</v>
      </c>
      <c r="BN37" s="50" t="s">
        <v>16</v>
      </c>
      <c r="BO37" s="51">
        <f>IF(ISBLANK([1]fixtures!$L277),"",[1]fixtures!$L277)</f>
        <v>2</v>
      </c>
      <c r="BP37" s="50" t="str">
        <f>IF(ISBLANK([1]fixtures!$L277),"",":")</f>
        <v>:</v>
      </c>
      <c r="BQ37" s="52">
        <f>IF(ISBLANK([1]fixtures!$K277),"",[1]fixtures!$K277)</f>
        <v>2</v>
      </c>
      <c r="BR37" s="50" t="str">
        <f>IF(ISBLANK([1]fixtures!$L277),"",IF(BO37&gt;BQ37,"W",IF(BO37=BQ37,"D","L")))</f>
        <v>D</v>
      </c>
      <c r="BS37" s="50"/>
      <c r="BT37" s="50"/>
      <c r="BU37" s="48">
        <v>30</v>
      </c>
      <c r="BV37" s="47" t="s">
        <v>39</v>
      </c>
      <c r="BW37" s="175" t="str">
        <f ca="1">IFERROR(INDIRECT("fixtures!" &amp; [1]Dashboard!J1 &amp;287) - [1]Dashboard!K1/24,"TBC")</f>
        <v>TBC</v>
      </c>
      <c r="BX37" s="47"/>
      <c r="BY37" s="47" t="s">
        <v>23</v>
      </c>
      <c r="BZ37" s="47" t="s">
        <v>21</v>
      </c>
      <c r="CA37" s="48">
        <f>IF(ISBLANK([1]fixtures!$K287),"",[1]fixtures!$K287)</f>
        <v>2</v>
      </c>
      <c r="CB37" s="47" t="str">
        <f>IF(ISBLANK([1]fixtures!$L287),"",":")</f>
        <v>:</v>
      </c>
      <c r="CC37" s="49">
        <f>IF(ISBLANK([1]fixtures!$L287),"",[1]fixtures!$L287)</f>
        <v>2</v>
      </c>
      <c r="CD37" s="47" t="str">
        <f>IF(ISBLANK([1]fixtures!$L287),"",IF(CA37&gt;CC37,"W",IF(CA37=CC37,"D","L")))</f>
        <v>D</v>
      </c>
      <c r="CE37" s="47"/>
      <c r="CF37" s="47"/>
      <c r="CG37" s="45">
        <v>9</v>
      </c>
      <c r="CH37" s="44" t="s">
        <v>39</v>
      </c>
      <c r="CI37" s="173" t="str">
        <f ca="1">IFERROR(INDIRECT("fixtures!" &amp; [1]Dashboard!J1 &amp;272) - [1]Dashboard!K1/24,"TBC")</f>
        <v>TBC</v>
      </c>
      <c r="CJ37" s="44"/>
      <c r="CK37" s="44" t="s">
        <v>29</v>
      </c>
      <c r="CL37" s="44" t="s">
        <v>21</v>
      </c>
      <c r="CM37" s="45">
        <f>IF(ISBLANK([1]fixtures!$K272),"",[1]fixtures!$K272)</f>
        <v>1</v>
      </c>
      <c r="CN37" s="44" t="str">
        <f>IF(ISBLANK([1]fixtures!$L272),"",":")</f>
        <v>:</v>
      </c>
      <c r="CO37" s="46">
        <f>IF(ISBLANK([1]fixtures!$L272),"",[1]fixtures!$L272)</f>
        <v>1</v>
      </c>
      <c r="CP37" s="44" t="str">
        <f>IF(ISBLANK([1]fixtures!$L272),"",IF(CM37&gt;CO37,"W",IF(CM37=CO37,"D","L")))</f>
        <v>D</v>
      </c>
      <c r="CQ37" s="44"/>
      <c r="CR37" s="44"/>
      <c r="CS37" s="42">
        <v>9</v>
      </c>
      <c r="CT37" s="41" t="s">
        <v>39</v>
      </c>
      <c r="CU37" s="171" t="str">
        <f ca="1">IFERROR(INDIRECT("fixtures!" &amp; [1]Dashboard!J1 &amp;270) - [1]Dashboard!K1/24,"TBC")</f>
        <v>TBC</v>
      </c>
      <c r="CV37" s="41"/>
      <c r="CW37" s="41" t="s">
        <v>34</v>
      </c>
      <c r="CX37" s="41" t="s">
        <v>16</v>
      </c>
      <c r="CY37" s="42">
        <f>IF(ISBLANK([1]fixtures!$L270),"",[1]fixtures!$L270)</f>
        <v>0</v>
      </c>
      <c r="CZ37" s="41" t="str">
        <f>IF(ISBLANK([1]fixtures!$L270),"",":")</f>
        <v>:</v>
      </c>
      <c r="DA37" s="43">
        <f>IF(ISBLANK([1]fixtures!$K270),"",[1]fixtures!$K270)</f>
        <v>2</v>
      </c>
      <c r="DB37" s="41" t="str">
        <f>IF(ISBLANK([1]fixtures!$L270),"",IF(CY37&gt;DA37,"W",IF(CY37=DA37,"D","L")))</f>
        <v>L</v>
      </c>
      <c r="DC37" s="41"/>
      <c r="DD37" s="41"/>
      <c r="DE37" s="39">
        <v>9</v>
      </c>
      <c r="DF37" s="38" t="s">
        <v>39</v>
      </c>
      <c r="DG37" s="169" t="str">
        <f ca="1">IFERROR(INDIRECT("fixtures!" &amp; [1]Dashboard!J1 &amp;273) - [1]Dashboard!K1/24,"TBC")</f>
        <v>TBC</v>
      </c>
      <c r="DH37" s="38"/>
      <c r="DI37" s="38" t="s">
        <v>28</v>
      </c>
      <c r="DJ37" s="38" t="s">
        <v>16</v>
      </c>
      <c r="DK37" s="39">
        <f>IF(ISBLANK([1]fixtures!$L273),"",[1]fixtures!$L273)</f>
        <v>1</v>
      </c>
      <c r="DL37" s="38" t="str">
        <f>IF(ISBLANK([1]fixtures!$L273),"",":")</f>
        <v>:</v>
      </c>
      <c r="DM37" s="40">
        <f>IF(ISBLANK([1]fixtures!$K273),"",[1]fixtures!$K273)</f>
        <v>2</v>
      </c>
      <c r="DN37" s="38" t="str">
        <f>IF(ISBLANK([1]fixtures!$L273),"",IF(DK37&gt;DM37,"W",IF(DK37=DM37,"D","L")))</f>
        <v>L</v>
      </c>
      <c r="DO37" s="38"/>
      <c r="DP37" s="38"/>
      <c r="DQ37" s="36">
        <v>10</v>
      </c>
      <c r="DR37" s="35" t="s">
        <v>18</v>
      </c>
      <c r="DS37" s="167" t="str">
        <f ca="1">IFERROR(INDIRECT("fixtures!" &amp; [1]Dashboard!J1 &amp;278) - [1]Dashboard!K1/24,"TBC")</f>
        <v>TBC</v>
      </c>
      <c r="DT37" s="35"/>
      <c r="DU37" s="35" t="s">
        <v>19</v>
      </c>
      <c r="DV37" s="35" t="s">
        <v>21</v>
      </c>
      <c r="DW37" s="36">
        <f>IF(ISBLANK([1]fixtures!$K278),"",[1]fixtures!$K278)</f>
        <v>1</v>
      </c>
      <c r="DX37" s="35" t="str">
        <f>IF(ISBLANK([1]fixtures!$L278),"",":")</f>
        <v>:</v>
      </c>
      <c r="DY37" s="37">
        <f>IF(ISBLANK([1]fixtures!$L278),"",[1]fixtures!$L278)</f>
        <v>1</v>
      </c>
      <c r="DZ37" s="35" t="str">
        <f>IF(ISBLANK([1]fixtures!$L278),"",IF(DW37&gt;DY37,"W",IF(DW37=DY37,"D","L")))</f>
        <v>D</v>
      </c>
      <c r="EA37" s="35"/>
      <c r="EB37" s="35"/>
      <c r="EC37" s="33">
        <v>13</v>
      </c>
      <c r="ED37" s="32" t="s">
        <v>41</v>
      </c>
      <c r="EE37" s="190" t="str">
        <f ca="1">IFERROR(INDIRECT("fixtures!" &amp; [1]Dashboard!J1 &amp;280) - [1]Dashboard!K1/24,"TBC")</f>
        <v>TBC</v>
      </c>
      <c r="EF37" s="32"/>
      <c r="EG37" s="32" t="s">
        <v>32</v>
      </c>
      <c r="EH37" s="32" t="s">
        <v>16</v>
      </c>
      <c r="EI37" s="33">
        <f>IF(ISBLANK([1]fixtures!$L280),"",[1]fixtures!$L280)</f>
        <v>3</v>
      </c>
      <c r="EJ37" s="32" t="str">
        <f>IF(ISBLANK([1]fixtures!$L280),"",":")</f>
        <v>:</v>
      </c>
      <c r="EK37" s="34">
        <f>IF(ISBLANK([1]fixtures!$K280),"",[1]fixtures!$K280)</f>
        <v>4</v>
      </c>
      <c r="EL37" s="32" t="str">
        <f>IF(ISBLANK([1]fixtures!$L280),"",IF(EI37&gt;EK37,"W",IF(EI37=EK37,"D","L")))</f>
        <v>L</v>
      </c>
      <c r="EM37" s="32"/>
      <c r="EN37" s="32"/>
      <c r="EO37" s="30">
        <v>10</v>
      </c>
      <c r="EP37" s="29" t="s">
        <v>18</v>
      </c>
      <c r="EQ37" s="164" t="str">
        <f ca="1">IFERROR(INDIRECT("fixtures!" &amp; [1]Dashboard!J1 &amp;278) - [1]Dashboard!K1/24,"TBC")</f>
        <v>TBC</v>
      </c>
      <c r="ER37" s="29"/>
      <c r="ES37" s="29" t="s">
        <v>17</v>
      </c>
      <c r="ET37" s="29" t="s">
        <v>16</v>
      </c>
      <c r="EU37" s="30">
        <f>IF(ISBLANK([1]fixtures!$L278),"",[1]fixtures!$L278)</f>
        <v>1</v>
      </c>
      <c r="EV37" s="29" t="str">
        <f>IF(ISBLANK([1]fixtures!$L278),"",":")</f>
        <v>:</v>
      </c>
      <c r="EW37" s="31">
        <f>IF(ISBLANK([1]fixtures!$K278),"",[1]fixtures!$K278)</f>
        <v>1</v>
      </c>
      <c r="EX37" s="29" t="str">
        <f>IF(ISBLANK([1]fixtures!$L278),"",IF(EU37&gt;EW37,"W",IF(EU37=EW37,"D","L")))</f>
        <v>D</v>
      </c>
      <c r="EY37" s="29"/>
      <c r="EZ37" s="29"/>
      <c r="FA37" s="27">
        <v>9</v>
      </c>
      <c r="FB37" s="26" t="s">
        <v>39</v>
      </c>
      <c r="FC37" s="189" t="str">
        <f ca="1">IFERROR(INDIRECT("fixtures!" &amp; [1]Dashboard!J1 &amp;270) - [1]Dashboard!K1/24,"TBC")</f>
        <v>TBC</v>
      </c>
      <c r="FD37" s="26"/>
      <c r="FE37" s="26" t="s">
        <v>38</v>
      </c>
      <c r="FF37" s="26" t="s">
        <v>21</v>
      </c>
      <c r="FG37" s="27">
        <f>IF(ISBLANK([1]fixtures!$K270),"",[1]fixtures!$K270)</f>
        <v>2</v>
      </c>
      <c r="FH37" s="26" t="str">
        <f>IF(ISBLANK([1]fixtures!$L270),"",":")</f>
        <v>:</v>
      </c>
      <c r="FI37" s="28">
        <f>IF(ISBLANK([1]fixtures!$L270),"",[1]fixtures!$L270)</f>
        <v>0</v>
      </c>
      <c r="FJ37" s="26" t="str">
        <f>IF(ISBLANK([1]fixtures!$L270),"",IF(FG37&gt;FI37,"W",IF(FG37=FI37,"D","L")))</f>
        <v>W</v>
      </c>
      <c r="FK37" s="26"/>
      <c r="FL37" s="26"/>
      <c r="FM37" s="24">
        <v>11</v>
      </c>
      <c r="FN37" s="23" t="s">
        <v>42</v>
      </c>
      <c r="FO37" s="161" t="str">
        <f ca="1">IFERROR(INDIRECT("fixtures!" &amp; [1]Dashboard!J1 &amp;279) - [1]Dashboard!K1/24,"TBC")</f>
        <v>TBC</v>
      </c>
      <c r="FP37" s="23"/>
      <c r="FQ37" s="23" t="s">
        <v>36</v>
      </c>
      <c r="FR37" s="23" t="s">
        <v>16</v>
      </c>
      <c r="FS37" s="24">
        <f>IF(ISBLANK([1]fixtures!$L279),"",[1]fixtures!$L279)</f>
        <v>2</v>
      </c>
      <c r="FT37" s="23" t="str">
        <f>IF(ISBLANK([1]fixtures!$L279),"",":")</f>
        <v>:</v>
      </c>
      <c r="FU37" s="25">
        <f>IF(ISBLANK([1]fixtures!$K279),"",[1]fixtures!$K279)</f>
        <v>3</v>
      </c>
      <c r="FV37" s="23" t="str">
        <f>IF(ISBLANK([1]fixtures!$L279),"",IF(FS37&gt;FU37,"W",IF(FS37=FU37,"D","L")))</f>
        <v>L</v>
      </c>
      <c r="FW37" s="23"/>
      <c r="FX37" s="23"/>
      <c r="FY37" s="21">
        <v>10</v>
      </c>
      <c r="FZ37" s="20" t="s">
        <v>18</v>
      </c>
      <c r="GA37" s="159" t="str">
        <f ca="1">IFERROR(INDIRECT("fixtures!" &amp; [1]Dashboard!J1 &amp;276) - [1]Dashboard!K1/24,"TBC")</f>
        <v>TBC</v>
      </c>
      <c r="GB37" s="20"/>
      <c r="GC37" s="20" t="s">
        <v>25</v>
      </c>
      <c r="GD37" s="20" t="s">
        <v>16</v>
      </c>
      <c r="GE37" s="21">
        <f>IF(ISBLANK([1]fixtures!$L276),"",[1]fixtures!$L276)</f>
        <v>0</v>
      </c>
      <c r="GF37" s="20" t="str">
        <f>IF(ISBLANK([1]fixtures!$L276),"",":")</f>
        <v>:</v>
      </c>
      <c r="GG37" s="22">
        <f>IF(ISBLANK([1]fixtures!$K276),"",[1]fixtures!$K276)</f>
        <v>1</v>
      </c>
      <c r="GH37" s="20" t="str">
        <f>IF(ISBLANK([1]fixtures!$L276),"",IF(GE37&gt;GG37,"W",IF(GE37=GG37,"D","L")))</f>
        <v>L</v>
      </c>
      <c r="GI37" s="20"/>
      <c r="GJ37" s="20"/>
      <c r="GK37" s="18">
        <v>9</v>
      </c>
      <c r="GL37" s="17" t="s">
        <v>39</v>
      </c>
      <c r="GM37" s="157" t="str">
        <f ca="1">IFERROR(INDIRECT("fixtures!" &amp; [1]Dashboard!J1 &amp;271) - [1]Dashboard!K1/24,"TBC")</f>
        <v>TBC</v>
      </c>
      <c r="GN37" s="17"/>
      <c r="GO37" s="17" t="s">
        <v>32</v>
      </c>
      <c r="GP37" s="17" t="s">
        <v>16</v>
      </c>
      <c r="GQ37" s="18">
        <f>IF(ISBLANK([1]fixtures!$L271),"",[1]fixtures!$L271)</f>
        <v>2</v>
      </c>
      <c r="GR37" s="17" t="str">
        <f>IF(ISBLANK([1]fixtures!$L271),"",":")</f>
        <v>:</v>
      </c>
      <c r="GS37" s="19">
        <f>IF(ISBLANK([1]fixtures!$K271),"",[1]fixtures!$K271)</f>
        <v>2</v>
      </c>
      <c r="GT37" s="17" t="str">
        <f>IF(ISBLANK([1]fixtures!$L271),"",IF(GQ37&gt;GS37,"W",IF(GQ37=GS37,"D","L")))</f>
        <v>D</v>
      </c>
      <c r="GU37" s="17"/>
      <c r="GV37" s="17"/>
      <c r="GW37" s="15">
        <v>16</v>
      </c>
      <c r="GX37" s="14" t="s">
        <v>39</v>
      </c>
      <c r="GY37" s="155" t="str">
        <f ca="1">IFERROR(INDIRECT("fixtures!" &amp; [1]Dashboard!J1 &amp;283) - [1]Dashboard!K1/24,"TBC")</f>
        <v>TBC</v>
      </c>
      <c r="GZ37" s="14"/>
      <c r="HA37" s="14" t="s">
        <v>27</v>
      </c>
      <c r="HB37" s="14" t="s">
        <v>16</v>
      </c>
      <c r="HC37" s="15">
        <f>IF(ISBLANK([1]fixtures!$L283),"",[1]fixtures!$L283)</f>
        <v>0</v>
      </c>
      <c r="HD37" s="14" t="str">
        <f>IF(ISBLANK([1]fixtures!$L283),"",":")</f>
        <v>:</v>
      </c>
      <c r="HE37" s="16">
        <f>IF(ISBLANK([1]fixtures!$K283),"",[1]fixtures!$K283)</f>
        <v>3</v>
      </c>
      <c r="HF37" s="14" t="str">
        <f>IF(ISBLANK([1]fixtures!$L283),"",IF(HC37&gt;HE37,"W",IF(HC37=HE37,"D","L")))</f>
        <v>L</v>
      </c>
      <c r="HG37" s="14"/>
      <c r="HH37" s="14"/>
      <c r="HI37" s="12">
        <v>10</v>
      </c>
      <c r="HJ37" s="11" t="s">
        <v>18</v>
      </c>
      <c r="HK37" s="153" t="str">
        <f ca="1">IFERROR(INDIRECT("fixtures!" &amp; [1]Dashboard!J1 &amp;277) - [1]Dashboard!K1/24,"TBC")</f>
        <v>TBC</v>
      </c>
      <c r="HL37" s="11"/>
      <c r="HM37" s="11" t="s">
        <v>23</v>
      </c>
      <c r="HN37" s="11" t="s">
        <v>21</v>
      </c>
      <c r="HO37" s="12">
        <f>IF(ISBLANK([1]fixtures!$K277),"",[1]fixtures!$K277)</f>
        <v>2</v>
      </c>
      <c r="HP37" s="11" t="str">
        <f>IF(ISBLANK([1]fixtures!$L277),"",":")</f>
        <v>:</v>
      </c>
      <c r="HQ37" s="13">
        <f>IF(ISBLANK([1]fixtures!$L277),"",[1]fixtures!$L277)</f>
        <v>2</v>
      </c>
      <c r="HR37" s="11" t="str">
        <f>IF(ISBLANK([1]fixtures!$L277),"",IF(HO37&gt;HQ37,"W",IF(HO37=HQ37,"D","L")))</f>
        <v>D</v>
      </c>
      <c r="HS37" s="11"/>
      <c r="HT37" s="11"/>
      <c r="HU37" s="9">
        <v>9</v>
      </c>
      <c r="HV37" s="8" t="s">
        <v>39</v>
      </c>
      <c r="HW37" s="151" t="str">
        <f ca="1">IFERROR(INDIRECT("fixtures!" &amp; [1]Dashboard!J1 &amp;273) - [1]Dashboard!K1/24,"TBC")</f>
        <v>TBC</v>
      </c>
      <c r="HX37" s="8"/>
      <c r="HY37" s="8" t="s">
        <v>27</v>
      </c>
      <c r="HZ37" s="8" t="s">
        <v>21</v>
      </c>
      <c r="IA37" s="9">
        <f>IF(ISBLANK([1]fixtures!$K273),"",[1]fixtures!$K273)</f>
        <v>2</v>
      </c>
      <c r="IB37" s="8" t="str">
        <f>IF(ISBLANK([1]fixtures!$L273),"",":")</f>
        <v>:</v>
      </c>
      <c r="IC37" s="10">
        <f>IF(ISBLANK([1]fixtures!$L273),"",[1]fixtures!$L273)</f>
        <v>1</v>
      </c>
      <c r="ID37" s="8" t="str">
        <f>IF(ISBLANK([1]fixtures!$L273),"",IF(IA37&gt;IC37,"W",IF(IA37=IC37,"D","L")))</f>
        <v>W</v>
      </c>
      <c r="IE37" s="8"/>
      <c r="IF37" s="8"/>
      <c r="II37" s="7"/>
      <c r="IQ37" s="191"/>
      <c r="IR37" s="191"/>
    </row>
    <row r="38" spans="1:252" x14ac:dyDescent="0.25">
      <c r="A38" s="67">
        <v>31</v>
      </c>
      <c r="B38" s="66" t="s">
        <v>18</v>
      </c>
      <c r="C38" s="187" t="str">
        <f ca="1">IFERROR(INDIRECT("fixtures!" &amp; [1]Dashboard!J1 &amp;294) - [1]Dashboard!K1/24,"TBC")</f>
        <v>TBC</v>
      </c>
      <c r="D38" s="66"/>
      <c r="E38" s="66" t="s">
        <v>19</v>
      </c>
      <c r="F38" s="66" t="s">
        <v>16</v>
      </c>
      <c r="G38" s="67">
        <f>IF(ISBLANK([1]fixtures!$L294),"",[1]fixtures!$L294)</f>
        <v>0</v>
      </c>
      <c r="H38" s="66" t="str">
        <f>IF(ISBLANK([1]fixtures!$L294),"",":")</f>
        <v>:</v>
      </c>
      <c r="I38" s="68">
        <f>IF(ISBLANK([1]fixtures!$K294),"",[1]fixtures!$K294)</f>
        <v>0</v>
      </c>
      <c r="J38" s="66" t="str">
        <f>IF(ISBLANK([1]fixtures!$L294),"",IF(G38&gt;I38,"W",IF(G38=I38,"D","L")))</f>
        <v>D</v>
      </c>
      <c r="K38" s="66"/>
      <c r="L38" s="66"/>
      <c r="M38" s="63">
        <v>17</v>
      </c>
      <c r="N38" s="62" t="s">
        <v>18</v>
      </c>
      <c r="O38" s="185" t="str">
        <f ca="1">IFERROR(INDIRECT("fixtures!" &amp; [1]Dashboard!J1 &amp;284) - [1]Dashboard!K1/24,"TBC")</f>
        <v>TBC</v>
      </c>
      <c r="P38" s="62"/>
      <c r="Q38" s="62" t="s">
        <v>26</v>
      </c>
      <c r="R38" s="62" t="s">
        <v>16</v>
      </c>
      <c r="S38" s="63">
        <f>IF(ISBLANK([1]fixtures!$L284),"",[1]fixtures!$L284)</f>
        <v>1</v>
      </c>
      <c r="T38" s="62" t="str">
        <f>IF(ISBLANK([1]fixtures!$L284),"",":")</f>
        <v>:</v>
      </c>
      <c r="U38" s="64">
        <f>IF(ISBLANK([1]fixtures!$K284),"",[1]fixtures!$K284)</f>
        <v>1</v>
      </c>
      <c r="V38" s="62" t="str">
        <f>IF(ISBLANK([1]fixtures!$L284),"",IF(S38&gt;U38,"W",IF(S38=U38,"D","L")))</f>
        <v>D</v>
      </c>
      <c r="W38" s="62"/>
      <c r="X38" s="62"/>
      <c r="Y38" s="60">
        <v>30</v>
      </c>
      <c r="Z38" s="59" t="s">
        <v>39</v>
      </c>
      <c r="AA38" s="183" t="str">
        <f ca="1">IFERROR(INDIRECT("fixtures!" &amp; [1]Dashboard!J1 &amp;286) - [1]Dashboard!K1/24,"TBC")</f>
        <v>TBC</v>
      </c>
      <c r="AB38" s="59"/>
      <c r="AC38" s="59" t="s">
        <v>38</v>
      </c>
      <c r="AD38" s="59" t="s">
        <v>21</v>
      </c>
      <c r="AE38" s="60">
        <f>IF(ISBLANK([1]fixtures!$K286),"",[1]fixtures!$K286)</f>
        <v>2</v>
      </c>
      <c r="AF38" s="59" t="str">
        <f>IF(ISBLANK([1]fixtures!$L286),"",":")</f>
        <v>:</v>
      </c>
      <c r="AG38" s="61">
        <f>IF(ISBLANK([1]fixtures!$L286),"",[1]fixtures!$L286)</f>
        <v>1</v>
      </c>
      <c r="AH38" s="59" t="str">
        <f>IF(ISBLANK([1]fixtures!$L286),"",IF(AE38&gt;AG38,"W",IF(AE38=AG38,"D","L")))</f>
        <v>W</v>
      </c>
      <c r="AI38" s="59"/>
      <c r="AJ38" s="59"/>
      <c r="AK38" s="57">
        <v>16</v>
      </c>
      <c r="AL38" s="56" t="s">
        <v>39</v>
      </c>
      <c r="AM38" s="181" t="str">
        <f ca="1">IFERROR(INDIRECT("fixtures!" &amp; [1]Dashboard!J1 &amp;281) - [1]Dashboard!K1/24,"TBC")</f>
        <v>TBC</v>
      </c>
      <c r="AN38" s="56"/>
      <c r="AO38" s="56" t="s">
        <v>23</v>
      </c>
      <c r="AP38" s="56" t="s">
        <v>16</v>
      </c>
      <c r="AQ38" s="57">
        <f>IF(ISBLANK([1]fixtures!$L281),"",[1]fixtures!$L281)</f>
        <v>1</v>
      </c>
      <c r="AR38" s="56" t="str">
        <f>IF(ISBLANK([1]fixtures!$L281),"",":")</f>
        <v>:</v>
      </c>
      <c r="AS38" s="58">
        <f>IF(ISBLANK([1]fixtures!$K281),"",[1]fixtures!$K281)</f>
        <v>2</v>
      </c>
      <c r="AT38" s="56" t="str">
        <f>IF(ISBLANK([1]fixtures!$L281),"",IF(AQ38&gt;AS38,"W",IF(AQ38=AS38,"D","L")))</f>
        <v>L</v>
      </c>
      <c r="AU38" s="56"/>
      <c r="AV38" s="56"/>
      <c r="AW38" s="54">
        <v>31</v>
      </c>
      <c r="AX38" s="53" t="s">
        <v>18</v>
      </c>
      <c r="AY38" s="179" t="str">
        <f ca="1">IFERROR(INDIRECT("fixtures!" &amp; [1]Dashboard!J1 &amp;293) - [1]Dashboard!K1/24,"TBC")</f>
        <v>TBC</v>
      </c>
      <c r="AZ38" s="53"/>
      <c r="BA38" s="53" t="s">
        <v>17</v>
      </c>
      <c r="BB38" s="53" t="s">
        <v>16</v>
      </c>
      <c r="BC38" s="54">
        <f>IF(ISBLANK([1]fixtures!$L293),"",[1]fixtures!$L293)</f>
        <v>1</v>
      </c>
      <c r="BD38" s="53" t="str">
        <f>IF(ISBLANK([1]fixtures!$L293),"",":")</f>
        <v>:</v>
      </c>
      <c r="BE38" s="55">
        <f>IF(ISBLANK([1]fixtures!$K293),"",[1]fixtures!$K293)</f>
        <v>2</v>
      </c>
      <c r="BF38" s="53" t="str">
        <f>IF(ISBLANK([1]fixtures!$L293),"",IF(BC38&gt;BE38,"W",IF(BC38=BE38,"D","L")))</f>
        <v>L</v>
      </c>
      <c r="BG38" s="53"/>
      <c r="BH38" s="53"/>
      <c r="BI38" s="51">
        <v>16</v>
      </c>
      <c r="BJ38" s="50" t="s">
        <v>39</v>
      </c>
      <c r="BK38" s="177" t="str">
        <f ca="1">IFERROR(INDIRECT("fixtures!" &amp; [1]Dashboard!J1 &amp;281) - [1]Dashboard!K1/24,"TBC")</f>
        <v>TBC</v>
      </c>
      <c r="BL38" s="50"/>
      <c r="BM38" s="50" t="s">
        <v>24</v>
      </c>
      <c r="BN38" s="50" t="s">
        <v>21</v>
      </c>
      <c r="BO38" s="51">
        <f>IF(ISBLANK([1]fixtures!$K281),"",[1]fixtures!$K281)</f>
        <v>2</v>
      </c>
      <c r="BP38" s="50" t="str">
        <f>IF(ISBLANK([1]fixtures!$L281),"",":")</f>
        <v>:</v>
      </c>
      <c r="BQ38" s="52">
        <f>IF(ISBLANK([1]fixtures!$L281),"",[1]fixtures!$L281)</f>
        <v>1</v>
      </c>
      <c r="BR38" s="50" t="str">
        <f>IF(ISBLANK([1]fixtures!$L281),"",IF(BO38&gt;BQ38,"W",IF(BO38=BQ38,"D","L")))</f>
        <v>W</v>
      </c>
      <c r="BS38" s="50"/>
      <c r="BT38" s="50"/>
      <c r="BU38" s="82" t="s">
        <v>46</v>
      </c>
      <c r="BV38" s="47"/>
      <c r="BW38" s="175"/>
      <c r="BX38" s="47"/>
      <c r="BY38" s="47"/>
      <c r="BZ38" s="47"/>
      <c r="CA38" s="48"/>
      <c r="CB38" s="47"/>
      <c r="CC38" s="49"/>
      <c r="CD38" s="47"/>
      <c r="CE38" s="47"/>
      <c r="CF38" s="47"/>
      <c r="CG38" s="45">
        <v>30</v>
      </c>
      <c r="CH38" s="44" t="s">
        <v>39</v>
      </c>
      <c r="CI38" s="173" t="str">
        <f ca="1">IFERROR(INDIRECT("fixtures!" &amp; [1]Dashboard!J1 &amp;288) - [1]Dashboard!K1/24,"TBC")</f>
        <v>TBC</v>
      </c>
      <c r="CJ38" s="44"/>
      <c r="CK38" s="44" t="s">
        <v>33</v>
      </c>
      <c r="CL38" s="44" t="s">
        <v>16</v>
      </c>
      <c r="CM38" s="45">
        <f>IF(ISBLANK([1]fixtures!$L288),"",[1]fixtures!$L288)</f>
        <v>1</v>
      </c>
      <c r="CN38" s="44" t="str">
        <f>IF(ISBLANK([1]fixtures!$L288),"",":")</f>
        <v>:</v>
      </c>
      <c r="CO38" s="46">
        <f>IF(ISBLANK([1]fixtures!$K288),"",[1]fixtures!$K288)</f>
        <v>1</v>
      </c>
      <c r="CP38" s="44" t="str">
        <f>IF(ISBLANK([1]fixtures!$L288),"",IF(CM38&gt;CO38,"W",IF(CM38=CO38,"D","L")))</f>
        <v>D</v>
      </c>
      <c r="CQ38" s="44"/>
      <c r="CR38" s="44"/>
      <c r="CS38" s="42">
        <v>30</v>
      </c>
      <c r="CT38" s="41" t="s">
        <v>39</v>
      </c>
      <c r="CU38" s="171" t="str">
        <f ca="1">IFERROR(INDIRECT("fixtures!" &amp; [1]Dashboard!J1 &amp;286) - [1]Dashboard!K1/24,"TBC")</f>
        <v>TBC</v>
      </c>
      <c r="CV38" s="41"/>
      <c r="CW38" s="41" t="s">
        <v>32</v>
      </c>
      <c r="CX38" s="41" t="s">
        <v>16</v>
      </c>
      <c r="CY38" s="42">
        <f>IF(ISBLANK([1]fixtures!$L286),"",[1]fixtures!$L286)</f>
        <v>1</v>
      </c>
      <c r="CZ38" s="41" t="str">
        <f>IF(ISBLANK([1]fixtures!$L286),"",":")</f>
        <v>:</v>
      </c>
      <c r="DA38" s="43">
        <f>IF(ISBLANK([1]fixtures!$K286),"",[1]fixtures!$K286)</f>
        <v>2</v>
      </c>
      <c r="DB38" s="41" t="str">
        <f>IF(ISBLANK([1]fixtures!$L286),"",IF(CY38&gt;DA38,"W",IF(CY38=DA38,"D","L")))</f>
        <v>L</v>
      </c>
      <c r="DC38" s="41"/>
      <c r="DD38" s="41"/>
      <c r="DE38" s="39">
        <v>16</v>
      </c>
      <c r="DF38" s="38" t="s">
        <v>39</v>
      </c>
      <c r="DG38" s="169" t="str">
        <f ca="1">IFERROR(INDIRECT("fixtures!" &amp; [1]Dashboard!J1 &amp;283) - [1]Dashboard!K1/24,"TBC")</f>
        <v>TBC</v>
      </c>
      <c r="DH38" s="38"/>
      <c r="DI38" s="38" t="s">
        <v>22</v>
      </c>
      <c r="DJ38" s="38" t="s">
        <v>21</v>
      </c>
      <c r="DK38" s="39">
        <f>IF(ISBLANK([1]fixtures!$K283),"",[1]fixtures!$K283)</f>
        <v>3</v>
      </c>
      <c r="DL38" s="38" t="str">
        <f>IF(ISBLANK([1]fixtures!$L283),"",":")</f>
        <v>:</v>
      </c>
      <c r="DM38" s="40">
        <f>IF(ISBLANK([1]fixtures!$L283),"",[1]fixtures!$L283)</f>
        <v>0</v>
      </c>
      <c r="DN38" s="38" t="str">
        <f>IF(ISBLANK([1]fixtures!$L283),"",IF(DK38&gt;DM38,"W",IF(DK38=DM38,"D","L")))</f>
        <v>W</v>
      </c>
      <c r="DO38" s="38"/>
      <c r="DP38" s="38"/>
      <c r="DQ38" s="36">
        <v>31</v>
      </c>
      <c r="DR38" s="37" t="s">
        <v>18</v>
      </c>
      <c r="DS38" s="167" t="str">
        <f ca="1">IFERROR(INDIRECT("fixtures!" &amp; [1]Dashboard!J1 &amp;293) - [1]Dashboard!K1/24,"TBC")</f>
        <v>TBC</v>
      </c>
      <c r="DT38" s="35"/>
      <c r="DU38" s="35" t="s">
        <v>25</v>
      </c>
      <c r="DV38" s="35" t="s">
        <v>21</v>
      </c>
      <c r="DW38" s="36">
        <f>IF(ISBLANK([1]fixtures!$K293),"",[1]fixtures!$K293)</f>
        <v>2</v>
      </c>
      <c r="DX38" s="35" t="str">
        <f>IF(ISBLANK([1]fixtures!$L293),"",":")</f>
        <v>:</v>
      </c>
      <c r="DY38" s="37">
        <f>IF(ISBLANK([1]fixtures!$L293),"",[1]fixtures!$L293)</f>
        <v>1</v>
      </c>
      <c r="DZ38" s="35" t="str">
        <f>IF(ISBLANK([1]fixtures!$L293),"",IF(DW38&gt;DY38,"W",IF(DW38=DY38,"D","L")))</f>
        <v>W</v>
      </c>
      <c r="EA38" s="35"/>
      <c r="EB38" s="35"/>
      <c r="EC38" s="33">
        <v>16</v>
      </c>
      <c r="ED38" s="32" t="s">
        <v>39</v>
      </c>
      <c r="EE38" s="190" t="str">
        <f ca="1">IFERROR(INDIRECT("fixtures!" &amp; [1]Dashboard!J1 &amp;282) - [1]Dashboard!K1/24,"TBC")</f>
        <v>TBC</v>
      </c>
      <c r="EF38" s="32"/>
      <c r="EG38" s="32" t="s">
        <v>33</v>
      </c>
      <c r="EH38" s="32" t="s">
        <v>21</v>
      </c>
      <c r="EI38" s="33">
        <f>IF(ISBLANK([1]fixtures!$K282),"",[1]fixtures!$K282)</f>
        <v>1</v>
      </c>
      <c r="EJ38" s="32" t="str">
        <f>IF(ISBLANK([1]fixtures!$L282),"",":")</f>
        <v>:</v>
      </c>
      <c r="EK38" s="34">
        <f>IF(ISBLANK([1]fixtures!$L282),"",[1]fixtures!$L282)</f>
        <v>1</v>
      </c>
      <c r="EL38" s="32" t="str">
        <f>IF(ISBLANK([1]fixtures!$L282),"",IF(EI38&gt;EK38,"W",IF(EI38=EK38,"D","L")))</f>
        <v>D</v>
      </c>
      <c r="EM38" s="32"/>
      <c r="EN38" s="32"/>
      <c r="EO38" s="30">
        <v>31</v>
      </c>
      <c r="EP38" s="29" t="s">
        <v>18</v>
      </c>
      <c r="EQ38" s="164" t="str">
        <f ca="1">IFERROR(INDIRECT("fixtures!" &amp; [1]Dashboard!J1 &amp;294) - [1]Dashboard!K1/24,"TBC")</f>
        <v>TBC</v>
      </c>
      <c r="ER38" s="29"/>
      <c r="ES38" s="29" t="s">
        <v>30</v>
      </c>
      <c r="ET38" s="29" t="s">
        <v>21</v>
      </c>
      <c r="EU38" s="30">
        <f>IF(ISBLANK([1]fixtures!$K294),"",[1]fixtures!$K294)</f>
        <v>0</v>
      </c>
      <c r="EV38" s="29" t="str">
        <f>IF(ISBLANK([1]fixtures!$L294),"",":")</f>
        <v>:</v>
      </c>
      <c r="EW38" s="31">
        <f>IF(ISBLANK([1]fixtures!$L294),"",[1]fixtures!$L294)</f>
        <v>0</v>
      </c>
      <c r="EX38" s="29" t="str">
        <f>IF(ISBLANK([1]fixtures!$L294),"",IF(EU38&gt;EW38,"W",IF(EU38=EW38,"D","L")))</f>
        <v>D</v>
      </c>
      <c r="EY38" s="29"/>
      <c r="EZ38" s="29"/>
      <c r="FA38" s="27">
        <v>30</v>
      </c>
      <c r="FB38" s="26" t="s">
        <v>39</v>
      </c>
      <c r="FC38" s="189" t="str">
        <f ca="1">IFERROR(INDIRECT("fixtures!" &amp; [1]Dashboard!J1 &amp;292) - [1]Dashboard!K1/24,"TBC")</f>
        <v>TBC</v>
      </c>
      <c r="FD38" s="26"/>
      <c r="FE38" s="26" t="s">
        <v>24</v>
      </c>
      <c r="FF38" s="26" t="s">
        <v>16</v>
      </c>
      <c r="FG38" s="27">
        <f>IF(ISBLANK([1]fixtures!$L292),"",[1]fixtures!$L292)</f>
        <v>1</v>
      </c>
      <c r="FH38" s="26" t="str">
        <f>IF(ISBLANK([1]fixtures!$L292),"",":")</f>
        <v>:</v>
      </c>
      <c r="FI38" s="28">
        <f>IF(ISBLANK([1]fixtures!$K292),"",[1]fixtures!$K292)</f>
        <v>1</v>
      </c>
      <c r="FJ38" s="26" t="str">
        <f>IF(ISBLANK([1]fixtures!$L292),"",IF(FG38&gt;FI38,"W",IF(FG38=FI38,"D","L")))</f>
        <v>D</v>
      </c>
      <c r="FK38" s="26"/>
      <c r="FL38" s="26"/>
      <c r="FM38" s="24">
        <v>30</v>
      </c>
      <c r="FN38" s="23" t="s">
        <v>39</v>
      </c>
      <c r="FO38" s="161" t="str">
        <f ca="1">IFERROR(INDIRECT("fixtures!" &amp; [1]Dashboard!J1 &amp;285) - [1]Dashboard!K1/24,"TBC")</f>
        <v>TBC</v>
      </c>
      <c r="FP38" s="23"/>
      <c r="FQ38" s="23" t="s">
        <v>26</v>
      </c>
      <c r="FR38" s="23" t="s">
        <v>21</v>
      </c>
      <c r="FS38" s="24">
        <f>IF(ISBLANK([1]fixtures!$K285),"",[1]fixtures!$K285)</f>
        <v>4</v>
      </c>
      <c r="FT38" s="23" t="str">
        <f>IF(ISBLANK([1]fixtures!$L285),"",":")</f>
        <v>:</v>
      </c>
      <c r="FU38" s="25">
        <f>IF(ISBLANK([1]fixtures!$L285),"",[1]fixtures!$L285)</f>
        <v>3</v>
      </c>
      <c r="FV38" s="23" t="str">
        <f>IF(ISBLANK([1]fixtures!$L285),"",IF(FS38&gt;FU38,"W",IF(FS38=FU38,"D","L")))</f>
        <v>W</v>
      </c>
      <c r="FW38" s="23"/>
      <c r="FX38" s="23"/>
      <c r="FY38" s="21">
        <v>16</v>
      </c>
      <c r="FZ38" s="20" t="s">
        <v>39</v>
      </c>
      <c r="GA38" s="159" t="str">
        <f ca="1">IFERROR(INDIRECT("fixtures!" &amp; [1]Dashboard!J1 &amp;282) - [1]Dashboard!K1/24,"TBC")</f>
        <v>TBC</v>
      </c>
      <c r="GB38" s="20"/>
      <c r="GC38" s="20" t="s">
        <v>29</v>
      </c>
      <c r="GD38" s="20" t="s">
        <v>16</v>
      </c>
      <c r="GE38" s="21">
        <f>IF(ISBLANK([1]fixtures!$L282),"",[1]fixtures!$L282)</f>
        <v>1</v>
      </c>
      <c r="GF38" s="20" t="str">
        <f>IF(ISBLANK([1]fixtures!$L282),"",":")</f>
        <v>:</v>
      </c>
      <c r="GG38" s="22">
        <f>IF(ISBLANK([1]fixtures!$K282),"",[1]fixtures!$K282)</f>
        <v>1</v>
      </c>
      <c r="GH38" s="20" t="str">
        <f>IF(ISBLANK([1]fixtures!$L282),"",IF(GE38&gt;GG38,"W",IF(GE38=GG38,"D","L")))</f>
        <v>D</v>
      </c>
      <c r="GI38" s="20"/>
      <c r="GJ38" s="20"/>
      <c r="GK38" s="18">
        <v>30</v>
      </c>
      <c r="GL38" s="17" t="s">
        <v>39</v>
      </c>
      <c r="GM38" s="157" t="str">
        <f ca="1">IFERROR(INDIRECT("fixtures!" &amp; [1]Dashboard!J1 &amp;289) - [1]Dashboard!K1/24,"TBC")</f>
        <v>TBC</v>
      </c>
      <c r="GN38" s="17"/>
      <c r="GO38" s="17" t="s">
        <v>27</v>
      </c>
      <c r="GP38" s="17" t="s">
        <v>21</v>
      </c>
      <c r="GQ38" s="18">
        <f>IF(ISBLANK([1]fixtures!$K289),"",[1]fixtures!$K289)</f>
        <v>3</v>
      </c>
      <c r="GR38" s="17" t="str">
        <f>IF(ISBLANK([1]fixtures!$L289),"",":")</f>
        <v>:</v>
      </c>
      <c r="GS38" s="19">
        <f>IF(ISBLANK([1]fixtures!$L289),"",[1]fixtures!$L289)</f>
        <v>3</v>
      </c>
      <c r="GT38" s="17" t="str">
        <f>IF(ISBLANK([1]fixtures!$L289),"",IF(GQ38&gt;GS38,"W",IF(GQ38=GS38,"D","L")))</f>
        <v>D</v>
      </c>
      <c r="GU38" s="17"/>
      <c r="GV38" s="17"/>
      <c r="GW38" s="15">
        <v>30</v>
      </c>
      <c r="GX38" s="14" t="s">
        <v>39</v>
      </c>
      <c r="GY38" s="155" t="str">
        <f ca="1">IFERROR(INDIRECT("fixtures!" &amp; [1]Dashboard!J1 &amp;290) - [1]Dashboard!K1/24,"TBC")</f>
        <v>TBC</v>
      </c>
      <c r="GZ38" s="14"/>
      <c r="HA38" s="14" t="s">
        <v>29</v>
      </c>
      <c r="HB38" s="14" t="s">
        <v>21</v>
      </c>
      <c r="HC38" s="15">
        <f>IF(ISBLANK([1]fixtures!$K290),"",[1]fixtures!$K290)</f>
        <v>2</v>
      </c>
      <c r="HD38" s="14" t="str">
        <f>IF(ISBLANK([1]fixtures!$L290),"",":")</f>
        <v>:</v>
      </c>
      <c r="HE38" s="16">
        <f>IF(ISBLANK([1]fixtures!$L290),"",[1]fixtures!$L290)</f>
        <v>1</v>
      </c>
      <c r="HF38" s="14" t="str">
        <f>IF(ISBLANK([1]fixtures!$L290),"",IF(HC38&gt;HE38,"W",IF(HC38=HE38,"D","L")))</f>
        <v>W</v>
      </c>
      <c r="HG38" s="14"/>
      <c r="HH38" s="14"/>
      <c r="HI38" s="12">
        <v>17</v>
      </c>
      <c r="HJ38" s="11" t="s">
        <v>18</v>
      </c>
      <c r="HK38" s="153" t="str">
        <f ca="1">IFERROR(INDIRECT("fixtures!" &amp; [1]Dashboard!J1 &amp;284) - [1]Dashboard!K1/24,"TBC")</f>
        <v>TBC</v>
      </c>
      <c r="HL38" s="11"/>
      <c r="HM38" s="11" t="s">
        <v>31</v>
      </c>
      <c r="HN38" s="11" t="s">
        <v>21</v>
      </c>
      <c r="HO38" s="12">
        <f>IF(ISBLANK([1]fixtures!$K284),"",[1]fixtures!$K284)</f>
        <v>1</v>
      </c>
      <c r="HP38" s="11" t="str">
        <f>IF(ISBLANK([1]fixtures!$L284),"",":")</f>
        <v>:</v>
      </c>
      <c r="HQ38" s="13">
        <f>IF(ISBLANK([1]fixtures!$L284),"",[1]fixtures!$L284)</f>
        <v>1</v>
      </c>
      <c r="HR38" s="11" t="str">
        <f>IF(ISBLANK([1]fixtures!$L284),"",IF(HO38&gt;HQ38,"W",IF(HO38=HQ38,"D","L")))</f>
        <v>D</v>
      </c>
      <c r="HS38" s="11"/>
      <c r="HT38" s="11"/>
      <c r="HU38" s="9">
        <v>30</v>
      </c>
      <c r="HV38" s="8" t="s">
        <v>39</v>
      </c>
      <c r="HW38" s="151" t="str">
        <f ca="1">IFERROR(INDIRECT("fixtures!" &amp; [1]Dashboard!J1 &amp;291) - [1]Dashboard!K1/24,"TBC")</f>
        <v>TBC</v>
      </c>
      <c r="HX38" s="8"/>
      <c r="HY38" s="8" t="s">
        <v>31</v>
      </c>
      <c r="HZ38" s="8" t="s">
        <v>16</v>
      </c>
      <c r="IA38" s="9">
        <f>IF(ISBLANK([1]fixtures!$L291),"",[1]fixtures!$L291)</f>
        <v>0</v>
      </c>
      <c r="IB38" s="8" t="str">
        <f>IF(ISBLANK([1]fixtures!$L291),"",":")</f>
        <v>:</v>
      </c>
      <c r="IC38" s="10">
        <f>IF(ISBLANK([1]fixtures!$K291),"",[1]fixtures!$K291)</f>
        <v>2</v>
      </c>
      <c r="ID38" s="8" t="str">
        <f>IF(ISBLANK([1]fixtures!$L291),"",IF(IA38&gt;IC38,"W",IF(IA38=IC38,"D","L")))</f>
        <v>L</v>
      </c>
      <c r="IE38" s="8"/>
      <c r="IF38" s="8"/>
      <c r="IQ38" s="191"/>
      <c r="IR38" s="191"/>
    </row>
    <row r="39" spans="1:252" x14ac:dyDescent="0.25">
      <c r="A39" s="90" t="s">
        <v>46</v>
      </c>
      <c r="B39" s="68"/>
      <c r="C39" s="187"/>
      <c r="D39" s="66"/>
      <c r="E39" s="66"/>
      <c r="F39" s="66"/>
      <c r="G39" s="67"/>
      <c r="H39" s="66"/>
      <c r="I39" s="68"/>
      <c r="J39" s="66"/>
      <c r="K39" s="66"/>
      <c r="L39" s="66"/>
      <c r="M39" s="63">
        <v>30</v>
      </c>
      <c r="N39" s="62" t="s">
        <v>39</v>
      </c>
      <c r="O39" s="185" t="str">
        <f ca="1">IFERROR(INDIRECT("fixtures!" &amp; [1]Dashboard!J1 &amp;291) - [1]Dashboard!K1/24,"TBC")</f>
        <v>TBC</v>
      </c>
      <c r="P39" s="62"/>
      <c r="Q39" s="62" t="s">
        <v>28</v>
      </c>
      <c r="R39" s="62" t="s">
        <v>21</v>
      </c>
      <c r="S39" s="63">
        <f>IF(ISBLANK([1]fixtures!$K291),"",[1]fixtures!$K291)</f>
        <v>2</v>
      </c>
      <c r="T39" s="62" t="str">
        <f>IF(ISBLANK([1]fixtures!$L291),"",":")</f>
        <v>:</v>
      </c>
      <c r="U39" s="64">
        <f>IF(ISBLANK([1]fixtures!$L291),"",[1]fixtures!$L291)</f>
        <v>0</v>
      </c>
      <c r="V39" s="62" t="str">
        <f>IF(ISBLANK([1]fixtures!$L291),"",IF(S39&gt;U39,"W",IF(S39=U39,"D","L")))</f>
        <v>W</v>
      </c>
      <c r="W39" s="62"/>
      <c r="X39" s="62"/>
      <c r="Y39" s="108" t="s">
        <v>46</v>
      </c>
      <c r="Z39" s="59"/>
      <c r="AA39" s="183"/>
      <c r="AB39" s="59"/>
      <c r="AC39" s="59"/>
      <c r="AD39" s="59"/>
      <c r="AE39" s="60"/>
      <c r="AF39" s="59"/>
      <c r="AG39" s="61"/>
      <c r="AH39" s="59"/>
      <c r="AI39" s="59"/>
      <c r="AJ39" s="59"/>
      <c r="AK39" s="57">
        <v>30</v>
      </c>
      <c r="AL39" s="56" t="s">
        <v>39</v>
      </c>
      <c r="AM39" s="181" t="str">
        <f ca="1">IFERROR(INDIRECT("fixtures!" &amp; [1]Dashboard!J1 &amp;292) - [1]Dashboard!K1/24,"TBC")</f>
        <v>TBC</v>
      </c>
      <c r="AN39" s="56"/>
      <c r="AO39" s="56" t="s">
        <v>34</v>
      </c>
      <c r="AP39" s="56" t="s">
        <v>21</v>
      </c>
      <c r="AQ39" s="57">
        <f>IF(ISBLANK([1]fixtures!$K292),"",[1]fixtures!$K292)</f>
        <v>1</v>
      </c>
      <c r="AR39" s="56" t="str">
        <f>IF(ISBLANK([1]fixtures!$L292),"",":")</f>
        <v>:</v>
      </c>
      <c r="AS39" s="58">
        <f>IF(ISBLANK([1]fixtures!$L292),"",[1]fixtures!$L292)</f>
        <v>1</v>
      </c>
      <c r="AT39" s="56" t="str">
        <f>IF(ISBLANK([1]fixtures!$L292),"",IF(AQ39&gt;AS39,"W",IF(AQ39=AS39,"D","L")))</f>
        <v>D</v>
      </c>
      <c r="AU39" s="56"/>
      <c r="AV39" s="56"/>
      <c r="AW39" s="106" t="s">
        <v>46</v>
      </c>
      <c r="AX39" s="53"/>
      <c r="AY39" s="179"/>
      <c r="AZ39" s="53"/>
      <c r="BA39" s="53"/>
      <c r="BB39" s="53"/>
      <c r="BC39" s="54"/>
      <c r="BD39" s="53"/>
      <c r="BE39" s="55"/>
      <c r="BF39" s="53"/>
      <c r="BG39" s="53"/>
      <c r="BH39" s="53"/>
      <c r="BI39" s="51">
        <v>30</v>
      </c>
      <c r="BJ39" s="50" t="s">
        <v>39</v>
      </c>
      <c r="BK39" s="177" t="str">
        <f ca="1">IFERROR(INDIRECT("fixtures!" &amp; [1]Dashboard!J1 &amp;287) - [1]Dashboard!K1/24,"TBC")</f>
        <v>TBC</v>
      </c>
      <c r="BL39" s="50"/>
      <c r="BM39" s="50" t="s">
        <v>36</v>
      </c>
      <c r="BN39" s="50" t="s">
        <v>16</v>
      </c>
      <c r="BO39" s="51">
        <f>IF(ISBLANK([1]fixtures!$L287),"",[1]fixtures!$L287)</f>
        <v>2</v>
      </c>
      <c r="BP39" s="50" t="str">
        <f>IF(ISBLANK([1]fixtures!$L287),"",":")</f>
        <v>:</v>
      </c>
      <c r="BQ39" s="52">
        <f>IF(ISBLANK([1]fixtures!$K287),"",[1]fixtures!$K287)</f>
        <v>2</v>
      </c>
      <c r="BR39" s="50" t="str">
        <f>IF(ISBLANK([1]fixtures!$L287),"",IF(BO39&gt;BQ39,"W",IF(BO39=BQ39,"D","L")))</f>
        <v>D</v>
      </c>
      <c r="BS39" s="50"/>
      <c r="BT39" s="50"/>
      <c r="BU39" s="48">
        <v>4</v>
      </c>
      <c r="BV39" s="47" t="s">
        <v>45</v>
      </c>
      <c r="BW39" s="175" t="str">
        <f ca="1">IFERROR(INDIRECT("fixtures!" &amp; [1]Dashboard!J1 &amp;304) - [1]Dashboard!K1/24,"TBC")</f>
        <v>TBC</v>
      </c>
      <c r="BX39" s="47"/>
      <c r="BY39" s="47" t="s">
        <v>34</v>
      </c>
      <c r="BZ39" s="47" t="s">
        <v>21</v>
      </c>
      <c r="CA39" s="48">
        <f>IF(ISBLANK([1]fixtures!$K304),"",[1]fixtures!$K304)</f>
        <v>4</v>
      </c>
      <c r="CB39" s="47" t="str">
        <f>IF(ISBLANK([1]fixtures!$L304),"",":")</f>
        <v>:</v>
      </c>
      <c r="CC39" s="49">
        <f>IF(ISBLANK([1]fixtures!$L304),"",[1]fixtures!$L304)</f>
        <v>3</v>
      </c>
      <c r="CD39" s="47" t="str">
        <f>IF(ISBLANK([1]fixtures!$L304),"",IF(CA39&gt;CC39,"W",IF(CA39=CC39,"D","L")))</f>
        <v>W</v>
      </c>
      <c r="CE39" s="47"/>
      <c r="CF39" s="47"/>
      <c r="CG39" s="81" t="s">
        <v>46</v>
      </c>
      <c r="CH39" s="44"/>
      <c r="CI39" s="173"/>
      <c r="CJ39" s="44"/>
      <c r="CK39" s="44"/>
      <c r="CL39" s="44"/>
      <c r="CM39" s="45"/>
      <c r="CN39" s="44"/>
      <c r="CO39" s="46"/>
      <c r="CP39" s="44"/>
      <c r="CQ39" s="44"/>
      <c r="CR39" s="44"/>
      <c r="CS39" s="102" t="s">
        <v>46</v>
      </c>
      <c r="CT39" s="41"/>
      <c r="CU39" s="171"/>
      <c r="CV39" s="41"/>
      <c r="CW39" s="41"/>
      <c r="CX39" s="41"/>
      <c r="CY39" s="42"/>
      <c r="CZ39" s="41"/>
      <c r="DA39" s="43"/>
      <c r="DB39" s="41"/>
      <c r="DC39" s="41"/>
      <c r="DD39" s="41"/>
      <c r="DE39" s="39">
        <v>30</v>
      </c>
      <c r="DF39" s="38" t="s">
        <v>39</v>
      </c>
      <c r="DG39" s="169" t="str">
        <f ca="1">IFERROR(INDIRECT("fixtures!" &amp; [1]Dashboard!J1 &amp;289) - [1]Dashboard!K1/24,"TBC")</f>
        <v>TBC</v>
      </c>
      <c r="DH39" s="38"/>
      <c r="DI39" s="38" t="s">
        <v>20</v>
      </c>
      <c r="DJ39" s="38" t="s">
        <v>16</v>
      </c>
      <c r="DK39" s="39">
        <f>IF(ISBLANK([1]fixtures!$L289),"",[1]fixtures!$L289)</f>
        <v>3</v>
      </c>
      <c r="DL39" s="38" t="str">
        <f>IF(ISBLANK([1]fixtures!$L289),"",":")</f>
        <v>:</v>
      </c>
      <c r="DM39" s="40">
        <f>IF(ISBLANK([1]fixtures!$K289),"",[1]fixtures!$K289)</f>
        <v>3</v>
      </c>
      <c r="DN39" s="38" t="str">
        <f>IF(ISBLANK([1]fixtures!$L289),"",IF(DK39&gt;DM39,"W",IF(DK39=DM39,"D","L")))</f>
        <v>D</v>
      </c>
      <c r="DO39" s="38"/>
      <c r="DP39" s="38"/>
      <c r="DQ39" s="78" t="s">
        <v>46</v>
      </c>
      <c r="DR39" s="35"/>
      <c r="DS39" s="167"/>
      <c r="DT39" s="35"/>
      <c r="DU39" s="35"/>
      <c r="DV39" s="35"/>
      <c r="DW39" s="36"/>
      <c r="DX39" s="35"/>
      <c r="DY39" s="37"/>
      <c r="DZ39" s="35"/>
      <c r="EA39" s="35"/>
      <c r="EB39" s="35"/>
      <c r="EC39" s="33">
        <v>30</v>
      </c>
      <c r="ED39" s="32" t="s">
        <v>39</v>
      </c>
      <c r="EE39" s="190" t="str">
        <f ca="1">IFERROR(INDIRECT("fixtures!" &amp; [1]Dashboard!J1 &amp;290) - [1]Dashboard!K1/24,"TBC")</f>
        <v>TBC</v>
      </c>
      <c r="EF39" s="32"/>
      <c r="EG39" s="32" t="s">
        <v>22</v>
      </c>
      <c r="EH39" s="32" t="s">
        <v>16</v>
      </c>
      <c r="EI39" s="33">
        <f>IF(ISBLANK([1]fixtures!$L290),"",[1]fixtures!$L290)</f>
        <v>1</v>
      </c>
      <c r="EJ39" s="32" t="str">
        <f>IF(ISBLANK([1]fixtures!$L290),"",":")</f>
        <v>:</v>
      </c>
      <c r="EK39" s="34">
        <f>IF(ISBLANK([1]fixtures!$K290),"",[1]fixtures!$K290)</f>
        <v>2</v>
      </c>
      <c r="EL39" s="32" t="str">
        <f>IF(ISBLANK([1]fixtures!$L290),"",IF(EI39&gt;EK39,"W",IF(EI39=EK39,"D","L")))</f>
        <v>L</v>
      </c>
      <c r="EM39" s="32"/>
      <c r="EN39" s="32"/>
      <c r="EO39" s="98" t="s">
        <v>46</v>
      </c>
      <c r="EP39" s="29"/>
      <c r="EQ39" s="164"/>
      <c r="ER39" s="29"/>
      <c r="ES39" s="29"/>
      <c r="ET39" s="29"/>
      <c r="EU39" s="30"/>
      <c r="EV39" s="29"/>
      <c r="EW39" s="31"/>
      <c r="EX39" s="29"/>
      <c r="EY39" s="29"/>
      <c r="EZ39" s="29"/>
      <c r="FA39" s="75" t="s">
        <v>46</v>
      </c>
      <c r="FB39" s="26"/>
      <c r="FC39" s="189"/>
      <c r="FD39" s="26"/>
      <c r="FE39" s="26"/>
      <c r="FF39" s="26"/>
      <c r="FG39" s="27"/>
      <c r="FH39" s="26"/>
      <c r="FI39" s="28"/>
      <c r="FJ39" s="26"/>
      <c r="FK39" s="26"/>
      <c r="FL39" s="26"/>
      <c r="FM39" s="96" t="s">
        <v>46</v>
      </c>
      <c r="FN39" s="23"/>
      <c r="FO39" s="161"/>
      <c r="FP39" s="23"/>
      <c r="FQ39" s="23"/>
      <c r="FR39" s="23"/>
      <c r="FS39" s="24"/>
      <c r="FT39" s="23"/>
      <c r="FU39" s="25"/>
      <c r="FV39" s="23"/>
      <c r="FW39" s="23"/>
      <c r="FX39" s="23"/>
      <c r="FY39" s="21">
        <v>30</v>
      </c>
      <c r="FZ39" s="20" t="s">
        <v>39</v>
      </c>
      <c r="GA39" s="159" t="str">
        <f ca="1">IFERROR(INDIRECT("fixtures!" &amp; [1]Dashboard!J1 &amp;288) - [1]Dashboard!K1/24,"TBC")</f>
        <v>TBC</v>
      </c>
      <c r="GB39" s="20"/>
      <c r="GC39" s="20" t="s">
        <v>37</v>
      </c>
      <c r="GD39" s="20" t="s">
        <v>21</v>
      </c>
      <c r="GE39" s="21">
        <f>IF(ISBLANK([1]fixtures!$K288),"",[1]fixtures!$K288)</f>
        <v>1</v>
      </c>
      <c r="GF39" s="20" t="str">
        <f>IF(ISBLANK([1]fixtures!$L288),"",":")</f>
        <v>:</v>
      </c>
      <c r="GG39" s="22">
        <f>IF(ISBLANK([1]fixtures!$L288),"",[1]fixtures!$L288)</f>
        <v>1</v>
      </c>
      <c r="GH39" s="20" t="str">
        <f>IF(ISBLANK([1]fixtures!$L288),"",IF(GE39&gt;GG39,"W",IF(GE39=GG39,"D","L")))</f>
        <v>D</v>
      </c>
      <c r="GI39" s="20"/>
      <c r="GJ39" s="20"/>
      <c r="GK39" s="72" t="s">
        <v>46</v>
      </c>
      <c r="GL39" s="17"/>
      <c r="GM39" s="157"/>
      <c r="GN39" s="17"/>
      <c r="GO39" s="17"/>
      <c r="GP39" s="17"/>
      <c r="GQ39" s="18"/>
      <c r="GR39" s="17"/>
      <c r="GS39" s="19"/>
      <c r="GT39" s="17"/>
      <c r="GU39" s="17"/>
      <c r="GV39" s="17"/>
      <c r="GW39" s="93" t="s">
        <v>46</v>
      </c>
      <c r="GX39" s="14"/>
      <c r="GY39" s="155"/>
      <c r="GZ39" s="14"/>
      <c r="HA39" s="14"/>
      <c r="HB39" s="14"/>
      <c r="HC39" s="15"/>
      <c r="HD39" s="14"/>
      <c r="HE39" s="16"/>
      <c r="HF39" s="14"/>
      <c r="HG39" s="14"/>
      <c r="HH39" s="14"/>
      <c r="HI39" s="12">
        <v>30</v>
      </c>
      <c r="HJ39" s="11" t="s">
        <v>39</v>
      </c>
      <c r="HK39" s="153" t="str">
        <f ca="1">IFERROR(INDIRECT("fixtures!" &amp; [1]Dashboard!J1 &amp;285) - [1]Dashboard!K1/24,"TBC")</f>
        <v>TBC</v>
      </c>
      <c r="HL39" s="11"/>
      <c r="HM39" s="11" t="s">
        <v>35</v>
      </c>
      <c r="HN39" s="11" t="s">
        <v>16</v>
      </c>
      <c r="HO39" s="12">
        <f>IF(ISBLANK([1]fixtures!$L285),"",[1]fixtures!$L285)</f>
        <v>3</v>
      </c>
      <c r="HP39" s="11" t="str">
        <f>IF(ISBLANK([1]fixtures!$L285),"",":")</f>
        <v>:</v>
      </c>
      <c r="HQ39" s="13">
        <f>IF(ISBLANK([1]fixtures!$K285),"",[1]fixtures!$K285)</f>
        <v>4</v>
      </c>
      <c r="HR39" s="11" t="str">
        <f>IF(ISBLANK([1]fixtures!$L285),"",IF(HO39&gt;HQ39,"W",IF(HO39=HQ39,"D","L")))</f>
        <v>L</v>
      </c>
      <c r="HS39" s="11"/>
      <c r="HT39" s="11"/>
      <c r="HU39" s="91" t="s">
        <v>46</v>
      </c>
      <c r="HV39" s="8"/>
      <c r="HW39" s="151"/>
      <c r="HX39" s="8"/>
      <c r="HY39" s="8"/>
      <c r="HZ39" s="8"/>
      <c r="IA39" s="9"/>
      <c r="IB39" s="8"/>
      <c r="IC39" s="10"/>
      <c r="ID39" s="8"/>
      <c r="IE39" s="8"/>
      <c r="IF39" s="8"/>
      <c r="II39" s="7"/>
      <c r="IQ39" s="192"/>
      <c r="IR39" s="192"/>
    </row>
    <row r="40" spans="1:252" x14ac:dyDescent="0.25">
      <c r="A40" s="67">
        <v>3</v>
      </c>
      <c r="B40" s="66" t="s">
        <v>41</v>
      </c>
      <c r="C40" s="187" t="str">
        <f ca="1">IFERROR(INDIRECT("fixtures!" &amp; [1]Dashboard!J1 &amp;300) - [1]Dashboard!K1/24,"TBC")</f>
        <v>TBC</v>
      </c>
      <c r="D40" s="66"/>
      <c r="E40" s="66" t="s">
        <v>29</v>
      </c>
      <c r="F40" s="66" t="s">
        <v>21</v>
      </c>
      <c r="G40" s="67">
        <f>IF(ISBLANK([1]fixtures!$K300),"",[1]fixtures!$K300)</f>
        <v>2</v>
      </c>
      <c r="H40" s="66" t="str">
        <f>IF(ISBLANK([1]fixtures!$L300),"",":")</f>
        <v>:</v>
      </c>
      <c r="I40" s="68">
        <f>IF(ISBLANK([1]fixtures!$L300),"",[1]fixtures!$L300)</f>
        <v>0</v>
      </c>
      <c r="J40" s="66" t="str">
        <f>IF(ISBLANK([1]fixtures!$L300),"",IF(G40&gt;I40,"W",IF(G40=I40,"D","L")))</f>
        <v>W</v>
      </c>
      <c r="K40" s="66"/>
      <c r="L40" s="66"/>
      <c r="M40" s="87" t="s">
        <v>46</v>
      </c>
      <c r="N40" s="62"/>
      <c r="O40" s="185"/>
      <c r="P40" s="62"/>
      <c r="Q40" s="62"/>
      <c r="R40" s="62"/>
      <c r="S40" s="63"/>
      <c r="T40" s="62"/>
      <c r="U40" s="64"/>
      <c r="V40" s="62"/>
      <c r="W40" s="62"/>
      <c r="X40" s="62"/>
      <c r="Y40" s="60">
        <v>2</v>
      </c>
      <c r="Z40" s="59" t="s">
        <v>40</v>
      </c>
      <c r="AA40" s="183" t="str">
        <f ca="1">IFERROR(INDIRECT("fixtures!" &amp; [1]Dashboard!J1 &amp;297) - [1]Dashboard!K1/24,"TBC")</f>
        <v>TBC</v>
      </c>
      <c r="AB40" s="59"/>
      <c r="AC40" s="59" t="s">
        <v>37</v>
      </c>
      <c r="AD40" s="59" t="s">
        <v>21</v>
      </c>
      <c r="AE40" s="60">
        <f>IF(ISBLANK([1]fixtures!$K297),"",[1]fixtures!$K297)</f>
        <v>1</v>
      </c>
      <c r="AF40" s="59" t="str">
        <f>IF(ISBLANK([1]fixtures!$L297),"",":")</f>
        <v>:</v>
      </c>
      <c r="AG40" s="61">
        <f>IF(ISBLANK([1]fixtures!$L297),"",[1]fixtures!$L297)</f>
        <v>0</v>
      </c>
      <c r="AH40" s="59" t="str">
        <f>IF(ISBLANK([1]fixtures!$L297),"",IF(AE40&gt;AG40,"W",IF(AE40=AG40,"D","L")))</f>
        <v>W</v>
      </c>
      <c r="AI40" s="59"/>
      <c r="AJ40" s="59"/>
      <c r="AK40" s="85" t="s">
        <v>46</v>
      </c>
      <c r="AL40" s="56"/>
      <c r="AM40" s="181"/>
      <c r="AN40" s="56"/>
      <c r="AO40" s="56"/>
      <c r="AP40" s="56"/>
      <c r="AQ40" s="57"/>
      <c r="AR40" s="56"/>
      <c r="AS40" s="58"/>
      <c r="AT40" s="56"/>
      <c r="AU40" s="56"/>
      <c r="AV40" s="56"/>
      <c r="AW40" s="54">
        <v>3</v>
      </c>
      <c r="AX40" s="53" t="s">
        <v>41</v>
      </c>
      <c r="AY40" s="179" t="str">
        <f ca="1">IFERROR(INDIRECT("fixtures!" &amp; [1]Dashboard!J1 &amp;301) - [1]Dashboard!K1/24,"TBC")</f>
        <v>TBC</v>
      </c>
      <c r="AZ40" s="53"/>
      <c r="BA40" s="53" t="s">
        <v>24</v>
      </c>
      <c r="BB40" s="53" t="s">
        <v>16</v>
      </c>
      <c r="BC40" s="54">
        <f>IF(ISBLANK([1]fixtures!$L301),"",[1]fixtures!$L301)</f>
        <v>0</v>
      </c>
      <c r="BD40" s="53" t="str">
        <f>IF(ISBLANK([1]fixtures!$L301),"",":")</f>
        <v>:</v>
      </c>
      <c r="BE40" s="55">
        <f>IF(ISBLANK([1]fixtures!$K301),"",[1]fixtures!$K301)</f>
        <v>0</v>
      </c>
      <c r="BF40" s="53" t="str">
        <f>IF(ISBLANK([1]fixtures!$L301),"",IF(BC40&gt;BE40,"W",IF(BC40=BE40,"D","L")))</f>
        <v>D</v>
      </c>
      <c r="BG40" s="53"/>
      <c r="BH40" s="53"/>
      <c r="BI40" s="83" t="s">
        <v>46</v>
      </c>
      <c r="BJ40" s="50"/>
      <c r="BK40" s="177"/>
      <c r="BL40" s="50"/>
      <c r="BM40" s="50"/>
      <c r="BN40" s="50"/>
      <c r="BO40" s="51"/>
      <c r="BP40" s="50"/>
      <c r="BQ40" s="52"/>
      <c r="BR40" s="50"/>
      <c r="BS40" s="50"/>
      <c r="BT40" s="50"/>
      <c r="BU40" s="48">
        <v>7</v>
      </c>
      <c r="BV40" s="47" t="s">
        <v>18</v>
      </c>
      <c r="BW40" s="175" t="str">
        <f ca="1">IFERROR(INDIRECT("fixtures!" &amp; [1]Dashboard!J1 &amp;313) - [1]Dashboard!K1/24,"TBC")</f>
        <v>TBC</v>
      </c>
      <c r="BX40" s="47"/>
      <c r="BY40" s="47" t="s">
        <v>20</v>
      </c>
      <c r="BZ40" s="47" t="s">
        <v>16</v>
      </c>
      <c r="CA40" s="48">
        <f>IF(ISBLANK([1]fixtures!$L313),"",[1]fixtures!$L313)</f>
        <v>2</v>
      </c>
      <c r="CB40" s="47" t="str">
        <f>IF(ISBLANK([1]fixtures!$L313),"",":")</f>
        <v>:</v>
      </c>
      <c r="CC40" s="49">
        <f>IF(ISBLANK([1]fixtures!$K313),"",[1]fixtures!$K313)</f>
        <v>2</v>
      </c>
      <c r="CD40" s="47" t="str">
        <f>IF(ISBLANK([1]fixtures!$L313),"",IF(CA40&gt;CC40,"W",IF(CA40=CC40,"D","L")))</f>
        <v>D</v>
      </c>
      <c r="CE40" s="47"/>
      <c r="CF40" s="47"/>
      <c r="CG40" s="45">
        <v>2</v>
      </c>
      <c r="CH40" s="44" t="s">
        <v>40</v>
      </c>
      <c r="CI40" s="173" t="str">
        <f ca="1">IFERROR(INDIRECT("fixtures!" &amp; [1]Dashboard!J1 &amp;297) - [1]Dashboard!K1/24,"TBC")</f>
        <v>TBC</v>
      </c>
      <c r="CJ40" s="44"/>
      <c r="CK40" s="44" t="s">
        <v>32</v>
      </c>
      <c r="CL40" s="44" t="s">
        <v>16</v>
      </c>
      <c r="CM40" s="45">
        <f>IF(ISBLANK([1]fixtures!$L297),"",[1]fixtures!$L297)</f>
        <v>0</v>
      </c>
      <c r="CN40" s="44" t="str">
        <f>IF(ISBLANK([1]fixtures!$L297),"",":")</f>
        <v>:</v>
      </c>
      <c r="CO40" s="46">
        <f>IF(ISBLANK([1]fixtures!$K297),"",[1]fixtures!$K297)</f>
        <v>1</v>
      </c>
      <c r="CP40" s="44" t="str">
        <f>IF(ISBLANK([1]fixtures!$L297),"",IF(CM40&gt;CO40,"W",IF(CM40=CO40,"D","L")))</f>
        <v>L</v>
      </c>
      <c r="CQ40" s="44"/>
      <c r="CR40" s="44"/>
      <c r="CS40" s="42">
        <v>2</v>
      </c>
      <c r="CT40" s="41" t="s">
        <v>40</v>
      </c>
      <c r="CU40" s="171" t="str">
        <f ca="1">IFERROR(INDIRECT("fixtures!" &amp; [1]Dashboard!J1 &amp;295) - [1]Dashboard!K1/24,"TBC")</f>
        <v>TBC</v>
      </c>
      <c r="CV40" s="41"/>
      <c r="CW40" s="41" t="s">
        <v>35</v>
      </c>
      <c r="CX40" s="41" t="s">
        <v>16</v>
      </c>
      <c r="CY40" s="42">
        <f>IF(ISBLANK([1]fixtures!$L295),"",[1]fixtures!$L295)</f>
        <v>1</v>
      </c>
      <c r="CZ40" s="41" t="str">
        <f>IF(ISBLANK([1]fixtures!$L295),"",":")</f>
        <v>:</v>
      </c>
      <c r="DA40" s="43">
        <f>IF(ISBLANK([1]fixtures!$K295),"",[1]fixtures!$K295)</f>
        <v>1</v>
      </c>
      <c r="DB40" s="41" t="str">
        <f>IF(ISBLANK([1]fixtures!$L295),"",IF(CY40&gt;DA40,"W",IF(CY40=DA40,"D","L")))</f>
        <v>D</v>
      </c>
      <c r="DC40" s="41"/>
      <c r="DD40" s="41"/>
      <c r="DE40" s="79" t="s">
        <v>46</v>
      </c>
      <c r="DF40" s="40"/>
      <c r="DG40" s="169"/>
      <c r="DH40" s="38"/>
      <c r="DI40" s="38"/>
      <c r="DJ40" s="38"/>
      <c r="DK40" s="39"/>
      <c r="DL40" s="38"/>
      <c r="DM40" s="40"/>
      <c r="DN40" s="38"/>
      <c r="DO40" s="38"/>
      <c r="DP40" s="38"/>
      <c r="DQ40" s="36">
        <v>4</v>
      </c>
      <c r="DR40" s="35" t="s">
        <v>45</v>
      </c>
      <c r="DS40" s="167" t="str">
        <f ca="1">IFERROR(INDIRECT("fixtures!" &amp; [1]Dashboard!J1 &amp;303) - [1]Dashboard!K1/24,"TBC")</f>
        <v>TBC</v>
      </c>
      <c r="DT40" s="35"/>
      <c r="DU40" s="35" t="s">
        <v>20</v>
      </c>
      <c r="DV40" s="35" t="s">
        <v>21</v>
      </c>
      <c r="DW40" s="36">
        <f>IF(ISBLANK([1]fixtures!$K303),"",[1]fixtures!$K303)</f>
        <v>3</v>
      </c>
      <c r="DX40" s="35" t="str">
        <f>IF(ISBLANK([1]fixtures!$L303),"",":")</f>
        <v>:</v>
      </c>
      <c r="DY40" s="37">
        <f>IF(ISBLANK([1]fixtures!$L303),"",[1]fixtures!$L303)</f>
        <v>1</v>
      </c>
      <c r="DZ40" s="35" t="str">
        <f>IF(ISBLANK([1]fixtures!$L303),"",IF(DW40&gt;DY40,"W",IF(DW40=DY40,"D","L")))</f>
        <v>W</v>
      </c>
      <c r="EA40" s="35"/>
      <c r="EB40" s="35"/>
      <c r="EC40" s="99" t="s">
        <v>46</v>
      </c>
      <c r="ED40" s="32"/>
      <c r="EE40" s="190"/>
      <c r="EF40" s="32"/>
      <c r="EG40" s="32"/>
      <c r="EH40" s="32"/>
      <c r="EI40" s="33"/>
      <c r="EJ40" s="32"/>
      <c r="EK40" s="34"/>
      <c r="EL40" s="32"/>
      <c r="EM40" s="32"/>
      <c r="EN40" s="32"/>
      <c r="EO40" s="30">
        <v>3</v>
      </c>
      <c r="EP40" s="29" t="s">
        <v>41</v>
      </c>
      <c r="EQ40" s="164" t="str">
        <f ca="1">IFERROR(INDIRECT("fixtures!" &amp; [1]Dashboard!J1 &amp;302) - [1]Dashboard!K1/24,"TBC")</f>
        <v>TBC</v>
      </c>
      <c r="ER40" s="29"/>
      <c r="ES40" s="29" t="s">
        <v>31</v>
      </c>
      <c r="ET40" s="29" t="s">
        <v>21</v>
      </c>
      <c r="EU40" s="30">
        <f>IF(ISBLANK([1]fixtures!$K302),"",[1]fixtures!$K302)</f>
        <v>4</v>
      </c>
      <c r="EV40" s="29" t="str">
        <f>IF(ISBLANK([1]fixtures!$L302),"",":")</f>
        <v>:</v>
      </c>
      <c r="EW40" s="31">
        <f>IF(ISBLANK([1]fixtures!$L302),"",[1]fixtures!$L302)</f>
        <v>1</v>
      </c>
      <c r="EX40" s="29" t="str">
        <f>IF(ISBLANK([1]fixtures!$L302),"",IF(EU40&gt;EW40,"W",IF(EU40=EW40,"D","L")))</f>
        <v>W</v>
      </c>
      <c r="EY40" s="29"/>
      <c r="EZ40" s="29"/>
      <c r="FA40" s="27">
        <v>4</v>
      </c>
      <c r="FB40" s="26" t="s">
        <v>45</v>
      </c>
      <c r="FC40" s="189" t="str">
        <f ca="1">IFERROR(INDIRECT("fixtures!" &amp; [1]Dashboard!J1 &amp;304) - [1]Dashboard!K1/24,"TBC")</f>
        <v>TBC</v>
      </c>
      <c r="FD40" s="26"/>
      <c r="FE40" s="26" t="s">
        <v>36</v>
      </c>
      <c r="FF40" s="26" t="s">
        <v>16</v>
      </c>
      <c r="FG40" s="27">
        <f>IF(ISBLANK([1]fixtures!$L304),"",[1]fixtures!$L304)</f>
        <v>3</v>
      </c>
      <c r="FH40" s="26" t="str">
        <f>IF(ISBLANK([1]fixtures!$L304),"",":")</f>
        <v>:</v>
      </c>
      <c r="FI40" s="28">
        <f>IF(ISBLANK([1]fixtures!$K304),"",[1]fixtures!$K304)</f>
        <v>4</v>
      </c>
      <c r="FJ40" s="26" t="str">
        <f>IF(ISBLANK([1]fixtures!$L304),"",IF(FG40&gt;FI40,"W",IF(FG40=FI40,"D","L")))</f>
        <v>L</v>
      </c>
      <c r="FK40" s="26"/>
      <c r="FL40" s="26"/>
      <c r="FM40" s="24">
        <v>2</v>
      </c>
      <c r="FN40" s="23" t="s">
        <v>40</v>
      </c>
      <c r="FO40" s="161" t="str">
        <f ca="1">IFERROR(INDIRECT("fixtures!" &amp; [1]Dashboard!J1 &amp;295) - [1]Dashboard!K1/24,"TBC")</f>
        <v>TBC</v>
      </c>
      <c r="FP40" s="23"/>
      <c r="FQ40" s="23" t="s">
        <v>38</v>
      </c>
      <c r="FR40" s="23" t="s">
        <v>21</v>
      </c>
      <c r="FS40" s="24">
        <f>IF(ISBLANK([1]fixtures!$K295),"",[1]fixtures!$K295)</f>
        <v>1</v>
      </c>
      <c r="FT40" s="23" t="str">
        <f>IF(ISBLANK([1]fixtures!$L295),"",":")</f>
        <v>:</v>
      </c>
      <c r="FU40" s="25">
        <f>IF(ISBLANK([1]fixtures!$L295),"",[1]fixtures!$L295)</f>
        <v>1</v>
      </c>
      <c r="FV40" s="23" t="str">
        <f>IF(ISBLANK([1]fixtures!$L295),"",IF(FS40&gt;FU40,"W",IF(FS40=FU40,"D","L")))</f>
        <v>D</v>
      </c>
      <c r="FW40" s="23"/>
      <c r="FX40" s="23"/>
      <c r="FY40" s="95" t="s">
        <v>46</v>
      </c>
      <c r="FZ40" s="20"/>
      <c r="GA40" s="159"/>
      <c r="GB40" s="20"/>
      <c r="GC40" s="20"/>
      <c r="GD40" s="20"/>
      <c r="GE40" s="21"/>
      <c r="GF40" s="20"/>
      <c r="GG40" s="22"/>
      <c r="GH40" s="20"/>
      <c r="GI40" s="20"/>
      <c r="GJ40" s="20"/>
      <c r="GK40" s="18">
        <v>4</v>
      </c>
      <c r="GL40" s="17" t="s">
        <v>45</v>
      </c>
      <c r="GM40" s="157" t="str">
        <f ca="1">IFERROR(INDIRECT("fixtures!" &amp; [1]Dashboard!J1 &amp;303) - [1]Dashboard!K1/24,"TBC")</f>
        <v>TBC</v>
      </c>
      <c r="GN40" s="17"/>
      <c r="GO40" s="17" t="s">
        <v>17</v>
      </c>
      <c r="GP40" s="17" t="s">
        <v>16</v>
      </c>
      <c r="GQ40" s="18">
        <f>IF(ISBLANK([1]fixtures!$L303),"",[1]fixtures!$L303)</f>
        <v>1</v>
      </c>
      <c r="GR40" s="17" t="str">
        <f>IF(ISBLANK([1]fixtures!$L303),"",":")</f>
        <v>:</v>
      </c>
      <c r="GS40" s="19">
        <f>IF(ISBLANK([1]fixtures!$K303),"",[1]fixtures!$K303)</f>
        <v>3</v>
      </c>
      <c r="GT40" s="17" t="str">
        <f>IF(ISBLANK([1]fixtures!$L303),"",IF(GQ40&gt;GS40,"W",IF(GQ40=GS40,"D","L")))</f>
        <v>L</v>
      </c>
      <c r="GU40" s="17"/>
      <c r="GV40" s="17"/>
      <c r="GW40" s="15">
        <v>2</v>
      </c>
      <c r="GX40" s="14" t="s">
        <v>40</v>
      </c>
      <c r="GY40" s="155" t="str">
        <f ca="1">IFERROR(INDIRECT("fixtures!" &amp; [1]Dashboard!J1 &amp;299) - [1]Dashboard!K1/24,"TBC")</f>
        <v>TBC</v>
      </c>
      <c r="GZ40" s="14"/>
      <c r="HA40" s="14" t="s">
        <v>26</v>
      </c>
      <c r="HB40" s="14" t="s">
        <v>16</v>
      </c>
      <c r="HC40" s="15">
        <f>IF(ISBLANK([1]fixtures!$L299),"",[1]fixtures!$L299)</f>
        <v>1</v>
      </c>
      <c r="HD40" s="14" t="str">
        <f>IF(ISBLANK([1]fixtures!$L299),"",":")</f>
        <v>:</v>
      </c>
      <c r="HE40" s="16">
        <f>IF(ISBLANK([1]fixtures!$K299),"",[1]fixtures!$K299)</f>
        <v>1</v>
      </c>
      <c r="HF40" s="14" t="str">
        <f>IF(ISBLANK([1]fixtures!$L299),"",IF(HC40&gt;HE40,"W",IF(HC40=HE40,"D","L")))</f>
        <v>D</v>
      </c>
      <c r="HG40" s="14"/>
      <c r="HH40" s="14"/>
      <c r="HI40" s="92" t="s">
        <v>46</v>
      </c>
      <c r="HJ40" s="11"/>
      <c r="HK40" s="153"/>
      <c r="HL40" s="11"/>
      <c r="HM40" s="11"/>
      <c r="HN40" s="11"/>
      <c r="HO40" s="12"/>
      <c r="HP40" s="11"/>
      <c r="HQ40" s="13"/>
      <c r="HR40" s="11"/>
      <c r="HS40" s="11"/>
      <c r="HT40" s="11"/>
      <c r="HU40" s="9">
        <v>2</v>
      </c>
      <c r="HV40" s="8" t="s">
        <v>40</v>
      </c>
      <c r="HW40" s="151" t="str">
        <f ca="1">IFERROR(INDIRECT("fixtures!" &amp; [1]Dashboard!J1 &amp;298) - [1]Dashboard!K1/24,"TBC")</f>
        <v>TBC</v>
      </c>
      <c r="HX40" s="8"/>
      <c r="HY40" s="8" t="s">
        <v>23</v>
      </c>
      <c r="HZ40" s="8" t="s">
        <v>16</v>
      </c>
      <c r="IA40" s="9">
        <f>IF(ISBLANK([1]fixtures!$L298),"",[1]fixtures!$L298)</f>
        <v>1</v>
      </c>
      <c r="IB40" s="8" t="str">
        <f>IF(ISBLANK([1]fixtures!$L298),"",":")</f>
        <v>:</v>
      </c>
      <c r="IC40" s="10">
        <f>IF(ISBLANK([1]fixtures!$K298),"",[1]fixtures!$K298)</f>
        <v>1</v>
      </c>
      <c r="ID40" s="8" t="str">
        <f>IF(ISBLANK([1]fixtures!$L298),"",IF(IA40&gt;IC40,"W",IF(IA40=IC40,"D","L")))</f>
        <v>D</v>
      </c>
      <c r="IE40" s="8"/>
      <c r="IF40" s="8"/>
      <c r="II40" s="7"/>
      <c r="IQ40" s="191"/>
      <c r="IR40" s="191"/>
    </row>
    <row r="41" spans="1:252" x14ac:dyDescent="0.25">
      <c r="A41" s="67">
        <v>6</v>
      </c>
      <c r="B41" s="66" t="s">
        <v>39</v>
      </c>
      <c r="C41" s="187" t="str">
        <f ca="1">IFERROR(INDIRECT("fixtures!" &amp; [1]Dashboard!J1 &amp;311) - [1]Dashboard!K1/24,"TBC")</f>
        <v>TBC</v>
      </c>
      <c r="D41" s="66"/>
      <c r="E41" s="66" t="s">
        <v>25</v>
      </c>
      <c r="F41" s="66" t="s">
        <v>16</v>
      </c>
      <c r="G41" s="67">
        <f>IF(ISBLANK([1]fixtures!$L311),"",[1]fixtures!$L311)</f>
        <v>3</v>
      </c>
      <c r="H41" s="66" t="str">
        <f>IF(ISBLANK([1]fixtures!$L311),"",":")</f>
        <v>:</v>
      </c>
      <c r="I41" s="68">
        <f>IF(ISBLANK([1]fixtures!$K311),"",[1]fixtures!$K311)</f>
        <v>0</v>
      </c>
      <c r="J41" s="66" t="str">
        <f>IF(ISBLANK([1]fixtures!$L311),"",IF(G41&gt;I41,"W",IF(G41=I41,"D","L")))</f>
        <v>W</v>
      </c>
      <c r="K41" s="66"/>
      <c r="L41" s="66"/>
      <c r="M41" s="63">
        <v>3</v>
      </c>
      <c r="N41" s="62" t="s">
        <v>41</v>
      </c>
      <c r="O41" s="185" t="str">
        <f ca="1">IFERROR(INDIRECT("fixtures!" &amp; [1]Dashboard!J1 &amp;302) - [1]Dashboard!K1/24,"TBC")</f>
        <v>TBC</v>
      </c>
      <c r="P41" s="62"/>
      <c r="Q41" s="62" t="s">
        <v>19</v>
      </c>
      <c r="R41" s="62" t="s">
        <v>16</v>
      </c>
      <c r="S41" s="63">
        <f>IF(ISBLANK([1]fixtures!$L302),"",[1]fixtures!$L302)</f>
        <v>1</v>
      </c>
      <c r="T41" s="62" t="str">
        <f>IF(ISBLANK([1]fixtures!$L302),"",":")</f>
        <v>:</v>
      </c>
      <c r="U41" s="64">
        <f>IF(ISBLANK([1]fixtures!$K302),"",[1]fixtures!$K302)</f>
        <v>4</v>
      </c>
      <c r="V41" s="62" t="str">
        <f>IF(ISBLANK([1]fixtures!$L302),"",IF(S41&gt;U41,"W",IF(S41=U41,"D","L")))</f>
        <v>L</v>
      </c>
      <c r="W41" s="62"/>
      <c r="X41" s="62"/>
      <c r="Y41" s="60">
        <v>6</v>
      </c>
      <c r="Z41" s="59" t="s">
        <v>39</v>
      </c>
      <c r="AA41" s="183" t="str">
        <f ca="1">IFERROR(INDIRECT("fixtures!" &amp; [1]Dashboard!J1 &amp;309) - [1]Dashboard!K1/24,"TBC")</f>
        <v>TBC</v>
      </c>
      <c r="AB41" s="59"/>
      <c r="AC41" s="59" t="s">
        <v>29</v>
      </c>
      <c r="AD41" s="59" t="s">
        <v>16</v>
      </c>
      <c r="AE41" s="60">
        <f>IF(ISBLANK([1]fixtures!$L309),"",[1]fixtures!$L309)</f>
        <v>1</v>
      </c>
      <c r="AF41" s="59" t="str">
        <f>IF(ISBLANK([1]fixtures!$L309),"",":")</f>
        <v>:</v>
      </c>
      <c r="AG41" s="61">
        <f>IF(ISBLANK([1]fixtures!$K309),"",[1]fixtures!$K309)</f>
        <v>2</v>
      </c>
      <c r="AH41" s="59" t="str">
        <f>IF(ISBLANK([1]fixtures!$L309),"",IF(AE41&gt;AG41,"W",IF(AE41=AG41,"D","L")))</f>
        <v>L</v>
      </c>
      <c r="AI41" s="59"/>
      <c r="AJ41" s="59"/>
      <c r="AK41" s="57">
        <v>3</v>
      </c>
      <c r="AL41" s="56" t="s">
        <v>41</v>
      </c>
      <c r="AM41" s="181" t="str">
        <f ca="1">IFERROR(INDIRECT("fixtures!" &amp; [1]Dashboard!J1 &amp;301) - [1]Dashboard!K1/24,"TBC")</f>
        <v>TBC</v>
      </c>
      <c r="AN41" s="56"/>
      <c r="AO41" s="56" t="s">
        <v>25</v>
      </c>
      <c r="AP41" s="56" t="s">
        <v>21</v>
      </c>
      <c r="AQ41" s="57">
        <f>IF(ISBLANK([1]fixtures!$K301),"",[1]fixtures!$K301)</f>
        <v>0</v>
      </c>
      <c r="AR41" s="56" t="str">
        <f>IF(ISBLANK([1]fixtures!$L301),"",":")</f>
        <v>:</v>
      </c>
      <c r="AS41" s="58">
        <f>IF(ISBLANK([1]fixtures!$L301),"",[1]fixtures!$L301)</f>
        <v>0</v>
      </c>
      <c r="AT41" s="56" t="str">
        <f>IF(ISBLANK([1]fixtures!$L301),"",IF(AQ41&gt;AS41,"W",IF(AQ41=AS41,"D","L")))</f>
        <v>D</v>
      </c>
      <c r="AU41" s="56"/>
      <c r="AV41" s="56"/>
      <c r="AW41" s="54">
        <v>6</v>
      </c>
      <c r="AX41" s="53" t="s">
        <v>39</v>
      </c>
      <c r="AY41" s="179" t="str">
        <f ca="1">IFERROR(INDIRECT("fixtures!" &amp; [1]Dashboard!J1 &amp;311) - [1]Dashboard!K1/24,"TBC")</f>
        <v>TBC</v>
      </c>
      <c r="AZ41" s="53"/>
      <c r="BA41" s="53" t="s">
        <v>30</v>
      </c>
      <c r="BB41" s="53" t="s">
        <v>21</v>
      </c>
      <c r="BC41" s="54">
        <f>IF(ISBLANK([1]fixtures!$K311),"",[1]fixtures!$K311)</f>
        <v>0</v>
      </c>
      <c r="BD41" s="53" t="str">
        <f>IF(ISBLANK([1]fixtures!$L311),"",":")</f>
        <v>:</v>
      </c>
      <c r="BE41" s="55">
        <f>IF(ISBLANK([1]fixtures!$L311),"",[1]fixtures!$L311)</f>
        <v>3</v>
      </c>
      <c r="BF41" s="53" t="str">
        <f>IF(ISBLANK([1]fixtures!$L311),"",IF(BC41&gt;BE41,"W",IF(BC41=BE41,"D","L")))</f>
        <v>L</v>
      </c>
      <c r="BG41" s="53"/>
      <c r="BH41" s="53"/>
      <c r="BI41" s="51">
        <v>2</v>
      </c>
      <c r="BJ41" s="50" t="s">
        <v>40</v>
      </c>
      <c r="BK41" s="177" t="str">
        <f ca="1">IFERROR(INDIRECT("fixtures!" &amp; [1]Dashboard!J1 &amp;298) - [1]Dashboard!K1/24,"TBC")</f>
        <v>TBC</v>
      </c>
      <c r="BL41" s="50"/>
      <c r="BM41" s="50" t="s">
        <v>28</v>
      </c>
      <c r="BN41" s="50" t="s">
        <v>21</v>
      </c>
      <c r="BO41" s="51">
        <f>IF(ISBLANK([1]fixtures!$K298),"",[1]fixtures!$K298)</f>
        <v>1</v>
      </c>
      <c r="BP41" s="50" t="str">
        <f>IF(ISBLANK([1]fixtures!$L298),"",":")</f>
        <v>:</v>
      </c>
      <c r="BQ41" s="52">
        <f>IF(ISBLANK([1]fixtures!$L298),"",[1]fixtures!$L298)</f>
        <v>1</v>
      </c>
      <c r="BR41" s="50" t="str">
        <f>IF(ISBLANK([1]fixtures!$L298),"",IF(BO41&gt;BQ41,"W",IF(BO41=BQ41,"D","L")))</f>
        <v>D</v>
      </c>
      <c r="BS41" s="50"/>
      <c r="BT41" s="50"/>
      <c r="BU41" s="48">
        <v>15</v>
      </c>
      <c r="BV41" s="47" t="s">
        <v>42</v>
      </c>
      <c r="BW41" s="175" t="str">
        <f ca="1">IFERROR(INDIRECT("fixtures!" &amp; [1]Dashboard!J1 &amp;324) - [1]Dashboard!K1/24,"TBC")</f>
        <v>TBC</v>
      </c>
      <c r="BX41" s="47"/>
      <c r="BY41" s="47" t="s">
        <v>38</v>
      </c>
      <c r="BZ41" s="47" t="s">
        <v>21</v>
      </c>
      <c r="CA41" s="48">
        <f>IF(ISBLANK([1]fixtures!$K324),"",[1]fixtures!$K324)</f>
        <v>6</v>
      </c>
      <c r="CB41" s="47" t="str">
        <f>IF(ISBLANK([1]fixtures!$L324),"",":")</f>
        <v>:</v>
      </c>
      <c r="CC41" s="49">
        <f>IF(ISBLANK([1]fixtures!$L324),"",[1]fixtures!$L324)</f>
        <v>0</v>
      </c>
      <c r="CD41" s="47" t="str">
        <f>IF(ISBLANK([1]fixtures!$L324),"",IF(CA41&gt;CC41,"W",IF(CA41=CC41,"D","L")))</f>
        <v>W</v>
      </c>
      <c r="CE41" s="47"/>
      <c r="CF41" s="47"/>
      <c r="CG41" s="45">
        <v>6</v>
      </c>
      <c r="CH41" s="44" t="s">
        <v>39</v>
      </c>
      <c r="CI41" s="173" t="str">
        <f ca="1">IFERROR(INDIRECT("fixtures!" &amp; [1]Dashboard!J1 &amp;305) - [1]Dashboard!K1/24,"TBC")</f>
        <v>TBC</v>
      </c>
      <c r="CJ41" s="44"/>
      <c r="CK41" s="44" t="s">
        <v>19</v>
      </c>
      <c r="CL41" s="44" t="s">
        <v>21</v>
      </c>
      <c r="CM41" s="45">
        <f>IF(ISBLANK([1]fixtures!$K305),"",[1]fixtures!$K305)</f>
        <v>2</v>
      </c>
      <c r="CN41" s="44" t="str">
        <f>IF(ISBLANK([1]fixtures!$L305),"",":")</f>
        <v>:</v>
      </c>
      <c r="CO41" s="46">
        <f>IF(ISBLANK([1]fixtures!$L305),"",[1]fixtures!$L305)</f>
        <v>4</v>
      </c>
      <c r="CP41" s="44" t="str">
        <f>IF(ISBLANK([1]fixtures!$L305),"",IF(CM41&gt;CO41,"W",IF(CM41=CO41,"D","L")))</f>
        <v>L</v>
      </c>
      <c r="CQ41" s="44"/>
      <c r="CR41" s="44"/>
      <c r="CS41" s="42">
        <v>6</v>
      </c>
      <c r="CT41" s="41" t="s">
        <v>39</v>
      </c>
      <c r="CU41" s="171" t="str">
        <f ca="1">IFERROR(INDIRECT("fixtures!" &amp; [1]Dashboard!J1 &amp;307) - [1]Dashboard!K1/24,"TBC")</f>
        <v>TBC</v>
      </c>
      <c r="CV41" s="41"/>
      <c r="CW41" s="41" t="s">
        <v>23</v>
      </c>
      <c r="CX41" s="41" t="s">
        <v>21</v>
      </c>
      <c r="CY41" s="42">
        <f>IF(ISBLANK([1]fixtures!$K307),"",[1]fixtures!$K307)</f>
        <v>1</v>
      </c>
      <c r="CZ41" s="41" t="str">
        <f>IF(ISBLANK([1]fixtures!$L307),"",":")</f>
        <v>:</v>
      </c>
      <c r="DA41" s="43">
        <f>IF(ISBLANK([1]fixtures!$L307),"",[1]fixtures!$L307)</f>
        <v>0</v>
      </c>
      <c r="DB41" s="41" t="str">
        <f>IF(ISBLANK([1]fixtures!$L307),"",IF(CY41&gt;DA41,"W",IF(CY41=DA41,"D","L")))</f>
        <v>W</v>
      </c>
      <c r="DC41" s="41"/>
      <c r="DD41" s="41"/>
      <c r="DE41" s="39">
        <v>2</v>
      </c>
      <c r="DF41" s="38" t="s">
        <v>40</v>
      </c>
      <c r="DG41" s="169" t="str">
        <f ca="1">IFERROR(INDIRECT("fixtures!" &amp; [1]Dashboard!J1 &amp;296) - [1]Dashboard!K1/24,"TBC")</f>
        <v>TBC</v>
      </c>
      <c r="DH41" s="38"/>
      <c r="DI41" s="38" t="s">
        <v>33</v>
      </c>
      <c r="DJ41" s="38" t="s">
        <v>16</v>
      </c>
      <c r="DK41" s="39">
        <f>IF(ISBLANK([1]fixtures!$L296),"",[1]fixtures!$L296)</f>
        <v>1</v>
      </c>
      <c r="DL41" s="38" t="str">
        <f>IF(ISBLANK([1]fixtures!$L296),"",":")</f>
        <v>:</v>
      </c>
      <c r="DM41" s="40">
        <f>IF(ISBLANK([1]fixtures!$K296),"",[1]fixtures!$K296)</f>
        <v>3</v>
      </c>
      <c r="DN41" s="38" t="str">
        <f>IF(ISBLANK([1]fixtures!$L296),"",IF(DK41&gt;DM41,"W",IF(DK41=DM41,"D","L")))</f>
        <v>L</v>
      </c>
      <c r="DO41" s="38"/>
      <c r="DP41" s="38"/>
      <c r="DQ41" s="36">
        <v>7</v>
      </c>
      <c r="DR41" s="35" t="s">
        <v>18</v>
      </c>
      <c r="DS41" s="167" t="str">
        <f ca="1">IFERROR(INDIRECT("fixtures!" &amp; [1]Dashboard!J1 &amp;312) - [1]Dashboard!K1/24,"TBC")</f>
        <v>TBC</v>
      </c>
      <c r="DT41" s="35"/>
      <c r="DU41" s="35" t="s">
        <v>34</v>
      </c>
      <c r="DV41" s="35" t="s">
        <v>16</v>
      </c>
      <c r="DW41" s="36">
        <f>IF(ISBLANK([1]fixtures!$L312),"",[1]fixtures!$L312)</f>
        <v>2</v>
      </c>
      <c r="DX41" s="35" t="str">
        <f>IF(ISBLANK([1]fixtures!$L312),"",":")</f>
        <v>:</v>
      </c>
      <c r="DY41" s="37">
        <f>IF(ISBLANK([1]fixtures!$K312),"",[1]fixtures!$K312)</f>
        <v>2</v>
      </c>
      <c r="DZ41" s="35" t="str">
        <f>IF(ISBLANK([1]fixtures!$L312),"",IF(DW41&gt;DY41,"W",IF(DW41=DY41,"D","L")))</f>
        <v>D</v>
      </c>
      <c r="EA41" s="35"/>
      <c r="EB41" s="35"/>
      <c r="EC41" s="33">
        <v>3</v>
      </c>
      <c r="ED41" s="32" t="s">
        <v>41</v>
      </c>
      <c r="EE41" s="190" t="str">
        <f ca="1">IFERROR(INDIRECT("fixtures!" &amp; [1]Dashboard!J1 &amp;300) - [1]Dashboard!K1/24,"TBC")</f>
        <v>TBC</v>
      </c>
      <c r="EF41" s="32"/>
      <c r="EG41" s="32" t="s">
        <v>30</v>
      </c>
      <c r="EH41" s="32" t="s">
        <v>16</v>
      </c>
      <c r="EI41" s="33">
        <f>IF(ISBLANK([1]fixtures!$L300),"",[1]fixtures!$L300)</f>
        <v>0</v>
      </c>
      <c r="EJ41" s="32" t="str">
        <f>IF(ISBLANK([1]fixtures!$L300),"",":")</f>
        <v>:</v>
      </c>
      <c r="EK41" s="34">
        <f>IF(ISBLANK([1]fixtures!$K300),"",[1]fixtures!$K300)</f>
        <v>2</v>
      </c>
      <c r="EL41" s="32" t="str">
        <f>IF(ISBLANK([1]fixtures!$L300),"",IF(EI41&gt;EK41,"W",IF(EI41=EK41,"D","L")))</f>
        <v>L</v>
      </c>
      <c r="EM41" s="32"/>
      <c r="EN41" s="32"/>
      <c r="EO41" s="30">
        <v>6</v>
      </c>
      <c r="EP41" s="29" t="s">
        <v>39</v>
      </c>
      <c r="EQ41" s="164" t="str">
        <f ca="1">IFERROR(INDIRECT("fixtures!" &amp; [1]Dashboard!J1 &amp;305) - [1]Dashboard!K1/24,"TBC")</f>
        <v>TBC</v>
      </c>
      <c r="ER41" s="29"/>
      <c r="ES41" s="29" t="s">
        <v>37</v>
      </c>
      <c r="ET41" s="29" t="s">
        <v>16</v>
      </c>
      <c r="EU41" s="30">
        <f>IF(ISBLANK([1]fixtures!$L305),"",[1]fixtures!$L305)</f>
        <v>4</v>
      </c>
      <c r="EV41" s="29" t="str">
        <f>IF(ISBLANK([1]fixtures!$L305),"",":")</f>
        <v>:</v>
      </c>
      <c r="EW41" s="31">
        <f>IF(ISBLANK([1]fixtures!$K305),"",[1]fixtures!$K305)</f>
        <v>2</v>
      </c>
      <c r="EX41" s="29" t="str">
        <f>IF(ISBLANK([1]fixtures!$L305),"",IF(EU41&gt;EW41,"W",IF(EU41=EW41,"D","L")))</f>
        <v>W</v>
      </c>
      <c r="EY41" s="29"/>
      <c r="EZ41" s="29"/>
      <c r="FA41" s="27">
        <v>7</v>
      </c>
      <c r="FB41" s="26" t="s">
        <v>18</v>
      </c>
      <c r="FC41" s="189" t="str">
        <f ca="1">IFERROR(INDIRECT("fixtures!" &amp; [1]Dashboard!J1 &amp;312) - [1]Dashboard!K1/24,"TBC")</f>
        <v>TBC</v>
      </c>
      <c r="FD41" s="26"/>
      <c r="FE41" s="26" t="s">
        <v>17</v>
      </c>
      <c r="FF41" s="26" t="s">
        <v>21</v>
      </c>
      <c r="FG41" s="27">
        <f>IF(ISBLANK([1]fixtures!$K312),"",[1]fixtures!$K312)</f>
        <v>2</v>
      </c>
      <c r="FH41" s="26" t="str">
        <f>IF(ISBLANK([1]fixtures!$L312),"",":")</f>
        <v>:</v>
      </c>
      <c r="FI41" s="28">
        <f>IF(ISBLANK([1]fixtures!$L312),"",[1]fixtures!$L312)</f>
        <v>2</v>
      </c>
      <c r="FJ41" s="26" t="str">
        <f>IF(ISBLANK([1]fixtures!$L312),"",IF(FG41&gt;FI41,"W",IF(FG41=FI41,"D","L")))</f>
        <v>D</v>
      </c>
      <c r="FK41" s="26"/>
      <c r="FL41" s="26"/>
      <c r="FM41" s="24">
        <v>6</v>
      </c>
      <c r="FN41" s="23" t="s">
        <v>39</v>
      </c>
      <c r="FO41" s="161" t="str">
        <f ca="1">IFERROR(INDIRECT("fixtures!" &amp; [1]Dashboard!J1 &amp;308) - [1]Dashboard!K1/24,"TBC")</f>
        <v>TBC</v>
      </c>
      <c r="FP41" s="23"/>
      <c r="FQ41" s="23" t="s">
        <v>27</v>
      </c>
      <c r="FR41" s="23" t="s">
        <v>16</v>
      </c>
      <c r="FS41" s="24">
        <f>IF(ISBLANK([1]fixtures!$L308),"",[1]fixtures!$L308)</f>
        <v>1</v>
      </c>
      <c r="FT41" s="23" t="str">
        <f>IF(ISBLANK([1]fixtures!$L308),"",":")</f>
        <v>:</v>
      </c>
      <c r="FU41" s="25">
        <f>IF(ISBLANK([1]fixtures!$K308),"",[1]fixtures!$K308)</f>
        <v>0</v>
      </c>
      <c r="FV41" s="23" t="str">
        <f>IF(ISBLANK([1]fixtures!$L308),"",IF(FS41&gt;FU41,"W",IF(FS41=FU41,"D","L")))</f>
        <v>W</v>
      </c>
      <c r="FW41" s="23"/>
      <c r="FX41" s="23"/>
      <c r="FY41" s="21">
        <v>2</v>
      </c>
      <c r="FZ41" s="20" t="s">
        <v>40</v>
      </c>
      <c r="GA41" s="159" t="str">
        <f ca="1">IFERROR(INDIRECT("fixtures!" &amp; [1]Dashboard!J1 &amp;296) - [1]Dashboard!K1/24,"TBC")</f>
        <v>TBC</v>
      </c>
      <c r="GB41" s="20"/>
      <c r="GC41" s="20" t="s">
        <v>27</v>
      </c>
      <c r="GD41" s="20" t="s">
        <v>21</v>
      </c>
      <c r="GE41" s="21">
        <f>IF(ISBLANK([1]fixtures!$K296),"",[1]fixtures!$K296)</f>
        <v>3</v>
      </c>
      <c r="GF41" s="20" t="str">
        <f>IF(ISBLANK([1]fixtures!$L296),"",":")</f>
        <v>:</v>
      </c>
      <c r="GG41" s="22">
        <f>IF(ISBLANK([1]fixtures!$L296),"",[1]fixtures!$L296)</f>
        <v>1</v>
      </c>
      <c r="GH41" s="20" t="str">
        <f>IF(ISBLANK([1]fixtures!$L296),"",IF(GE41&gt;GG41,"W",IF(GE41=GG41,"D","L")))</f>
        <v>W</v>
      </c>
      <c r="GI41" s="20"/>
      <c r="GJ41" s="20"/>
      <c r="GK41" s="18">
        <v>7</v>
      </c>
      <c r="GL41" s="17" t="s">
        <v>18</v>
      </c>
      <c r="GM41" s="157" t="str">
        <f ca="1">IFERROR(INDIRECT("fixtures!" &amp; [1]Dashboard!J1 &amp;313) - [1]Dashboard!K1/24,"TBC")</f>
        <v>TBC</v>
      </c>
      <c r="GN41" s="17"/>
      <c r="GO41" s="17" t="s">
        <v>36</v>
      </c>
      <c r="GP41" s="17" t="s">
        <v>21</v>
      </c>
      <c r="GQ41" s="18">
        <f>IF(ISBLANK([1]fixtures!$K313),"",[1]fixtures!$K313)</f>
        <v>2</v>
      </c>
      <c r="GR41" s="17" t="str">
        <f>IF(ISBLANK([1]fixtures!$L313),"",":")</f>
        <v>:</v>
      </c>
      <c r="GS41" s="19">
        <f>IF(ISBLANK([1]fixtures!$L313),"",[1]fixtures!$L313)</f>
        <v>2</v>
      </c>
      <c r="GT41" s="17" t="str">
        <f>IF(ISBLANK([1]fixtures!$L313),"",IF(GQ41&gt;GS41,"W",IF(GQ41=GS41,"D","L")))</f>
        <v>D</v>
      </c>
      <c r="GU41" s="17"/>
      <c r="GV41" s="17"/>
      <c r="GW41" s="15">
        <v>7</v>
      </c>
      <c r="GX41" s="14" t="s">
        <v>18</v>
      </c>
      <c r="GY41" s="155" t="str">
        <f ca="1">IFERROR(INDIRECT("fixtures!" &amp; [1]Dashboard!J1 &amp;314) - [1]Dashboard!K1/24,"TBC")</f>
        <v>TBC</v>
      </c>
      <c r="GZ41" s="14"/>
      <c r="HA41" s="14" t="s">
        <v>33</v>
      </c>
      <c r="HB41" s="14" t="s">
        <v>21</v>
      </c>
      <c r="HC41" s="15">
        <f>IF(ISBLANK([1]fixtures!$K314),"",[1]fixtures!$K314)</f>
        <v>3</v>
      </c>
      <c r="HD41" s="14" t="str">
        <f>IF(ISBLANK([1]fixtures!$L314),"",":")</f>
        <v>:</v>
      </c>
      <c r="HE41" s="16">
        <f>IF(ISBLANK([1]fixtures!$L314),"",[1]fixtures!$L314)</f>
        <v>1</v>
      </c>
      <c r="HF41" s="14" t="str">
        <f>IF(ISBLANK([1]fixtures!$L314),"",IF(HC41&gt;HE41,"W",IF(HC41=HE41,"D","L")))</f>
        <v>W</v>
      </c>
      <c r="HG41" s="14"/>
      <c r="HH41" s="14"/>
      <c r="HI41" s="12">
        <v>2</v>
      </c>
      <c r="HJ41" s="11" t="s">
        <v>40</v>
      </c>
      <c r="HK41" s="153" t="str">
        <f ca="1">IFERROR(INDIRECT("fixtures!" &amp; [1]Dashboard!J1 &amp;299) - [1]Dashboard!K1/24,"TBC")</f>
        <v>TBC</v>
      </c>
      <c r="HL41" s="11"/>
      <c r="HM41" s="11" t="s">
        <v>22</v>
      </c>
      <c r="HN41" s="11" t="s">
        <v>21</v>
      </c>
      <c r="HO41" s="12">
        <f>IF(ISBLANK([1]fixtures!$K299),"",[1]fixtures!$K299)</f>
        <v>1</v>
      </c>
      <c r="HP41" s="11" t="str">
        <f>IF(ISBLANK([1]fixtures!$L299),"",":")</f>
        <v>:</v>
      </c>
      <c r="HQ41" s="13">
        <f>IF(ISBLANK([1]fixtures!$L299),"",[1]fixtures!$L299)</f>
        <v>1</v>
      </c>
      <c r="HR41" s="11" t="str">
        <f>IF(ISBLANK([1]fixtures!$L299),"",IF(HO41&gt;HQ41,"W",IF(HO41=HQ41,"D","L")))</f>
        <v>D</v>
      </c>
      <c r="HS41" s="11"/>
      <c r="HT41" s="11"/>
      <c r="HU41" s="9">
        <v>6</v>
      </c>
      <c r="HV41" s="8" t="s">
        <v>39</v>
      </c>
      <c r="HW41" s="151" t="str">
        <f ca="1">IFERROR(INDIRECT("fixtures!" &amp; [1]Dashboard!J1 &amp;310) - [1]Dashboard!K1/24,"TBC")</f>
        <v>TBC</v>
      </c>
      <c r="HX41" s="8"/>
      <c r="HY41" s="8" t="s">
        <v>26</v>
      </c>
      <c r="HZ41" s="8" t="s">
        <v>21</v>
      </c>
      <c r="IA41" s="9">
        <f>IF(ISBLANK([1]fixtures!$K310),"",[1]fixtures!$K310)</f>
        <v>1</v>
      </c>
      <c r="IB41" s="8" t="str">
        <f>IF(ISBLANK([1]fixtures!$L310),"",":")</f>
        <v>:</v>
      </c>
      <c r="IC41" s="10">
        <f>IF(ISBLANK([1]fixtures!$L310),"",[1]fixtures!$L310)</f>
        <v>2</v>
      </c>
      <c r="ID41" s="8" t="str">
        <f>IF(ISBLANK([1]fixtures!$L310),"",IF(IA41&gt;IC41,"W",IF(IA41=IC41,"D","L")))</f>
        <v>L</v>
      </c>
      <c r="IE41" s="8"/>
      <c r="IF41" s="8"/>
    </row>
    <row r="42" spans="1:252" x14ac:dyDescent="0.25">
      <c r="A42" s="67">
        <v>14</v>
      </c>
      <c r="B42" s="68" t="s">
        <v>18</v>
      </c>
      <c r="C42" s="187" t="str">
        <f ca="1">IFERROR(INDIRECT("fixtures!" &amp; [1]Dashboard!J1 &amp;323) - [1]Dashboard!K1/24,"TBC")</f>
        <v>TBC</v>
      </c>
      <c r="D42" s="66"/>
      <c r="E42" s="66" t="s">
        <v>31</v>
      </c>
      <c r="F42" s="66" t="s">
        <v>21</v>
      </c>
      <c r="G42" s="67">
        <f>IF(ISBLANK([1]fixtures!$K323),"",[1]fixtures!$K323)</f>
        <v>0</v>
      </c>
      <c r="H42" s="66" t="str">
        <f>IF(ISBLANK([1]fixtures!$L323),"",":")</f>
        <v>:</v>
      </c>
      <c r="I42" s="68">
        <f>IF(ISBLANK([1]fixtures!$L323),"",[1]fixtures!$L323)</f>
        <v>2</v>
      </c>
      <c r="J42" s="66" t="str">
        <f>IF(ISBLANK([1]fixtures!$L323),"",IF(G42&gt;I42,"W",IF(G42=I42,"D","L")))</f>
        <v>L</v>
      </c>
      <c r="K42" s="66"/>
      <c r="L42" s="66"/>
      <c r="M42" s="63">
        <v>6</v>
      </c>
      <c r="N42" s="64" t="s">
        <v>39</v>
      </c>
      <c r="O42" s="185" t="str">
        <f ca="1">IFERROR(INDIRECT("fixtures!" &amp; [1]Dashboard!J1 &amp;306) - [1]Dashboard!K1/24,"TBC")</f>
        <v>TBC</v>
      </c>
      <c r="P42" s="62"/>
      <c r="Q42" s="62" t="s">
        <v>24</v>
      </c>
      <c r="R42" s="62" t="s">
        <v>21</v>
      </c>
      <c r="S42" s="63">
        <f>IF(ISBLANK([1]fixtures!$K306),"",[1]fixtures!$K306)</f>
        <v>3</v>
      </c>
      <c r="T42" s="62" t="str">
        <f>IF(ISBLANK([1]fixtures!$L306),"",":")</f>
        <v>:</v>
      </c>
      <c r="U42" s="64">
        <f>IF(ISBLANK([1]fixtures!$L306),"",[1]fixtures!$L306)</f>
        <v>3</v>
      </c>
      <c r="V42" s="62" t="str">
        <f>IF(ISBLANK([1]fixtures!$L306),"",IF(S42&gt;U42,"W",IF(S42=U42,"D","L")))</f>
        <v>D</v>
      </c>
      <c r="W42" s="62"/>
      <c r="X42" s="62"/>
      <c r="Y42" s="60">
        <v>13</v>
      </c>
      <c r="Z42" s="59" t="s">
        <v>39</v>
      </c>
      <c r="AA42" s="183" t="str">
        <f ca="1">IFERROR(INDIRECT("fixtures!" &amp; [1]Dashboard!J1 &amp;320) - [1]Dashboard!K1/24,"TBC")</f>
        <v>TBC</v>
      </c>
      <c r="AB42" s="59"/>
      <c r="AC42" s="59" t="s">
        <v>34</v>
      </c>
      <c r="AD42" s="59" t="s">
        <v>21</v>
      </c>
      <c r="AE42" s="60">
        <f>IF(ISBLANK([1]fixtures!$K320),"",[1]fixtures!$K320)</f>
        <v>2</v>
      </c>
      <c r="AF42" s="59" t="str">
        <f>IF(ISBLANK([1]fixtures!$L320),"",":")</f>
        <v>:</v>
      </c>
      <c r="AG42" s="61">
        <f>IF(ISBLANK([1]fixtures!$L320),"",[1]fixtures!$L320)</f>
        <v>2</v>
      </c>
      <c r="AH42" s="59" t="str">
        <f>IF(ISBLANK([1]fixtures!$L320),"",IF(AE42&gt;AG42,"W",IF(AE42=AG42,"D","L")))</f>
        <v>D</v>
      </c>
      <c r="AI42" s="59"/>
      <c r="AJ42" s="59"/>
      <c r="AK42" s="57">
        <v>6</v>
      </c>
      <c r="AL42" s="56" t="s">
        <v>39</v>
      </c>
      <c r="AM42" s="181" t="str">
        <f ca="1">IFERROR(INDIRECT("fixtures!" &amp; [1]Dashboard!J1 &amp;306) - [1]Dashboard!K1/24,"TBC")</f>
        <v>TBC</v>
      </c>
      <c r="AN42" s="56"/>
      <c r="AO42" s="56" t="s">
        <v>31</v>
      </c>
      <c r="AP42" s="56" t="s">
        <v>16</v>
      </c>
      <c r="AQ42" s="57">
        <f>IF(ISBLANK([1]fixtures!$L306),"",[1]fixtures!$L306)</f>
        <v>3</v>
      </c>
      <c r="AR42" s="56" t="str">
        <f>IF(ISBLANK([1]fixtures!$L306),"",":")</f>
        <v>:</v>
      </c>
      <c r="AS42" s="58">
        <f>IF(ISBLANK([1]fixtures!$K306),"",[1]fixtures!$K306)</f>
        <v>3</v>
      </c>
      <c r="AT42" s="56" t="str">
        <f>IF(ISBLANK([1]fixtures!$L306),"",IF(AQ42&gt;AS42,"W",IF(AQ42=AS42,"D","L")))</f>
        <v>D</v>
      </c>
      <c r="AU42" s="56"/>
      <c r="AV42" s="56"/>
      <c r="AW42" s="54">
        <v>13</v>
      </c>
      <c r="AX42" s="53" t="s">
        <v>39</v>
      </c>
      <c r="AY42" s="179" t="str">
        <f ca="1">IFERROR(INDIRECT("fixtures!" &amp; [1]Dashboard!J1 &amp;317) - [1]Dashboard!K1/24,"TBC")</f>
        <v>TBC</v>
      </c>
      <c r="AZ42" s="53"/>
      <c r="BA42" s="53" t="s">
        <v>23</v>
      </c>
      <c r="BB42" s="53" t="s">
        <v>16</v>
      </c>
      <c r="BC42" s="54">
        <f>IF(ISBLANK([1]fixtures!$L317),"",[1]fixtures!$L317)</f>
        <v>1</v>
      </c>
      <c r="BD42" s="53" t="str">
        <f>IF(ISBLANK([1]fixtures!$L317),"",":")</f>
        <v>:</v>
      </c>
      <c r="BE42" s="55">
        <f>IF(ISBLANK([1]fixtures!$K317),"",[1]fixtures!$K317)</f>
        <v>1</v>
      </c>
      <c r="BF42" s="53" t="str">
        <f>IF(ISBLANK([1]fixtures!$L317),"",IF(BC42&gt;BE42,"W",IF(BC42=BE42,"D","L")))</f>
        <v>D</v>
      </c>
      <c r="BG42" s="53"/>
      <c r="BH42" s="53"/>
      <c r="BI42" s="51">
        <v>6</v>
      </c>
      <c r="BJ42" s="50" t="s">
        <v>39</v>
      </c>
      <c r="BK42" s="177" t="str">
        <f ca="1">IFERROR(INDIRECT("fixtures!" &amp; [1]Dashboard!J1 &amp;307) - [1]Dashboard!K1/24,"TBC")</f>
        <v>TBC</v>
      </c>
      <c r="BL42" s="50"/>
      <c r="BM42" s="50" t="s">
        <v>38</v>
      </c>
      <c r="BN42" s="50" t="s">
        <v>16</v>
      </c>
      <c r="BO42" s="51">
        <f>IF(ISBLANK([1]fixtures!$L307),"",[1]fixtures!$L307)</f>
        <v>0</v>
      </c>
      <c r="BP42" s="50" t="str">
        <f>IF(ISBLANK([1]fixtures!$L307),"",":")</f>
        <v>:</v>
      </c>
      <c r="BQ42" s="52">
        <f>IF(ISBLANK([1]fixtures!$K307),"",[1]fixtures!$K307)</f>
        <v>1</v>
      </c>
      <c r="BR42" s="50" t="str">
        <f>IF(ISBLANK([1]fixtures!$L307),"",IF(BO42&gt;BQ42,"W",IF(BO42=BQ42,"D","L")))</f>
        <v>L</v>
      </c>
      <c r="BS42" s="50"/>
      <c r="BT42" s="50"/>
      <c r="BU42" s="48">
        <v>23</v>
      </c>
      <c r="BV42" s="47" t="s">
        <v>40</v>
      </c>
      <c r="BW42" s="175" t="str">
        <f ca="1">IFERROR(INDIRECT("fixtures!" &amp; [1]Dashboard!J1 &amp;332) - [1]Dashboard!K1/24,"TBC")</f>
        <v>TBC</v>
      </c>
      <c r="BX42" s="47"/>
      <c r="BY42" s="47" t="s">
        <v>30</v>
      </c>
      <c r="BZ42" s="47" t="s">
        <v>16</v>
      </c>
      <c r="CA42" s="48">
        <f>IF(ISBLANK([1]fixtures!$L332),"",[1]fixtures!$L332)</f>
        <v>0</v>
      </c>
      <c r="CB42" s="47" t="str">
        <f>IF(ISBLANK([1]fixtures!$L332),"",":")</f>
        <v>:</v>
      </c>
      <c r="CC42" s="49">
        <f>IF(ISBLANK([1]fixtures!$K332),"",[1]fixtures!$K332)</f>
        <v>5</v>
      </c>
      <c r="CD42" s="47" t="str">
        <f>IF(ISBLANK([1]fixtures!$L332),"",IF(CA42&gt;CC42,"W",IF(CA42=CC42,"D","L")))</f>
        <v>L</v>
      </c>
      <c r="CE42" s="47"/>
      <c r="CF42" s="47"/>
      <c r="CG42" s="45">
        <v>14</v>
      </c>
      <c r="CH42" s="44" t="s">
        <v>18</v>
      </c>
      <c r="CI42" s="173" t="str">
        <f ca="1">IFERROR(INDIRECT("fixtures!" &amp; [1]Dashboard!J1 &amp;321) - [1]Dashboard!K1/24,"TBC")</f>
        <v>TBC</v>
      </c>
      <c r="CJ42" s="44"/>
      <c r="CK42" s="44" t="s">
        <v>17</v>
      </c>
      <c r="CL42" s="44" t="s">
        <v>16</v>
      </c>
      <c r="CM42" s="45">
        <f>IF(ISBLANK([1]fixtures!$L321),"",[1]fixtures!$L321)</f>
        <v>1</v>
      </c>
      <c r="CN42" s="44" t="str">
        <f>IF(ISBLANK([1]fixtures!$L321),"",":")</f>
        <v>:</v>
      </c>
      <c r="CO42" s="46">
        <f>IF(ISBLANK([1]fixtures!$K321),"",[1]fixtures!$K321)</f>
        <v>0</v>
      </c>
      <c r="CP42" s="44" t="str">
        <f>IF(ISBLANK([1]fixtures!$L321),"",IF(CM42&gt;CO42,"W",IF(CM42=CO42,"D","L")))</f>
        <v>W</v>
      </c>
      <c r="CQ42" s="44"/>
      <c r="CR42" s="44"/>
      <c r="CS42" s="42">
        <v>15</v>
      </c>
      <c r="CT42" s="41" t="s">
        <v>42</v>
      </c>
      <c r="CU42" s="171" t="str">
        <f ca="1">IFERROR(INDIRECT("fixtures!" &amp; [1]Dashboard!J1 &amp;324) - [1]Dashboard!K1/24,"TBC")</f>
        <v>TBC</v>
      </c>
      <c r="CV42" s="41"/>
      <c r="CW42" s="41" t="s">
        <v>36</v>
      </c>
      <c r="CX42" s="41" t="s">
        <v>16</v>
      </c>
      <c r="CY42" s="42">
        <f>IF(ISBLANK([1]fixtures!$L324),"",[1]fixtures!$L324)</f>
        <v>0</v>
      </c>
      <c r="CZ42" s="41" t="str">
        <f>IF(ISBLANK([1]fixtures!$L324),"",":")</f>
        <v>:</v>
      </c>
      <c r="DA42" s="43">
        <f>IF(ISBLANK([1]fixtures!$K324),"",[1]fixtures!$K324)</f>
        <v>6</v>
      </c>
      <c r="DB42" s="41" t="str">
        <f>IF(ISBLANK([1]fixtures!$L324),"",IF(CY42&gt;DA42,"W",IF(CY42=DA42,"D","L")))</f>
        <v>L</v>
      </c>
      <c r="DC42" s="41"/>
      <c r="DD42" s="41"/>
      <c r="DE42" s="39">
        <v>6</v>
      </c>
      <c r="DF42" s="38" t="s">
        <v>39</v>
      </c>
      <c r="DG42" s="169" t="str">
        <f ca="1">IFERROR(INDIRECT("fixtures!" &amp; [1]Dashboard!J1 &amp;308) - [1]Dashboard!K1/24,"TBC")</f>
        <v>TBC</v>
      </c>
      <c r="DH42" s="38"/>
      <c r="DI42" s="38" t="s">
        <v>35</v>
      </c>
      <c r="DJ42" s="38" t="s">
        <v>21</v>
      </c>
      <c r="DK42" s="39">
        <f>IF(ISBLANK([1]fixtures!$K308),"",[1]fixtures!$K308)</f>
        <v>0</v>
      </c>
      <c r="DL42" s="38" t="str">
        <f>IF(ISBLANK([1]fixtures!$L308),"",":")</f>
        <v>:</v>
      </c>
      <c r="DM42" s="40">
        <f>IF(ISBLANK([1]fixtures!$L308),"",[1]fixtures!$L308)</f>
        <v>1</v>
      </c>
      <c r="DN42" s="38" t="str">
        <f>IF(ISBLANK([1]fixtures!$L308),"",IF(DK42&gt;DM42,"W",IF(DK42=DM42,"D","L")))</f>
        <v>L</v>
      </c>
      <c r="DO42" s="38"/>
      <c r="DP42" s="38"/>
      <c r="DQ42" s="36">
        <v>14</v>
      </c>
      <c r="DR42" s="37" t="s">
        <v>18</v>
      </c>
      <c r="DS42" s="167" t="str">
        <f ca="1">IFERROR(INDIRECT("fixtures!" &amp; [1]Dashboard!J1 &amp;321) - [1]Dashboard!K1/24,"TBC")</f>
        <v>TBC</v>
      </c>
      <c r="DT42" s="35"/>
      <c r="DU42" s="35" t="s">
        <v>37</v>
      </c>
      <c r="DV42" s="35" t="s">
        <v>21</v>
      </c>
      <c r="DW42" s="36">
        <f>IF(ISBLANK([1]fixtures!$K321),"",[1]fixtures!$K321)</f>
        <v>0</v>
      </c>
      <c r="DX42" s="35" t="str">
        <f>IF(ISBLANK([1]fixtures!$L321),"",":")</f>
        <v>:</v>
      </c>
      <c r="DY42" s="37">
        <f>IF(ISBLANK([1]fixtures!$L321),"",[1]fixtures!$L321)</f>
        <v>1</v>
      </c>
      <c r="DZ42" s="35" t="str">
        <f>IF(ISBLANK([1]fixtures!$L321),"",IF(DW42&gt;DY42,"W",IF(DW42=DY42,"D","L")))</f>
        <v>L</v>
      </c>
      <c r="EA42" s="35"/>
      <c r="EB42" s="35"/>
      <c r="EC42" s="33">
        <v>6</v>
      </c>
      <c r="ED42" s="32" t="s">
        <v>39</v>
      </c>
      <c r="EE42" s="190" t="str">
        <f ca="1">IFERROR(INDIRECT("fixtures!" &amp; [1]Dashboard!J1 &amp;309) - [1]Dashboard!K1/24,"TBC")</f>
        <v>TBC</v>
      </c>
      <c r="EF42" s="32"/>
      <c r="EG42" s="32" t="s">
        <v>32</v>
      </c>
      <c r="EH42" s="32" t="s">
        <v>21</v>
      </c>
      <c r="EI42" s="33">
        <f>IF(ISBLANK([1]fixtures!$K309),"",[1]fixtures!$K309)</f>
        <v>2</v>
      </c>
      <c r="EJ42" s="32" t="str">
        <f>IF(ISBLANK([1]fixtures!$L309),"",":")</f>
        <v>:</v>
      </c>
      <c r="EK42" s="34">
        <f>IF(ISBLANK([1]fixtures!$L309),"",[1]fixtures!$L309)</f>
        <v>1</v>
      </c>
      <c r="EL42" s="32" t="str">
        <f>IF(ISBLANK([1]fixtures!$L309),"",IF(EI42&gt;EK42,"W",IF(EI42=EK42,"D","L")))</f>
        <v>W</v>
      </c>
      <c r="EM42" s="32"/>
      <c r="EN42" s="32"/>
      <c r="EO42" s="30">
        <v>13</v>
      </c>
      <c r="EP42" s="29" t="s">
        <v>39</v>
      </c>
      <c r="EQ42" s="164" t="str">
        <f ca="1">IFERROR(INDIRECT("fixtures!" &amp; [1]Dashboard!J1 &amp;318) - [1]Dashboard!K1/24,"TBC")</f>
        <v>TBC</v>
      </c>
      <c r="ER42" s="29"/>
      <c r="ES42" s="29" t="s">
        <v>29</v>
      </c>
      <c r="ET42" s="29" t="s">
        <v>21</v>
      </c>
      <c r="EU42" s="30">
        <f>IF(ISBLANK([1]fixtures!$K318),"",[1]fixtures!$K318)</f>
        <v>5</v>
      </c>
      <c r="EV42" s="29" t="str">
        <f>IF(ISBLANK([1]fixtures!$L318),"",":")</f>
        <v>:</v>
      </c>
      <c r="EW42" s="31">
        <f>IF(ISBLANK([1]fixtures!$L318),"",[1]fixtures!$L318)</f>
        <v>1</v>
      </c>
      <c r="EX42" s="29" t="str">
        <f>IF(ISBLANK([1]fixtures!$L318),"",IF(EU42&gt;EW42,"W",IF(EU42=EW42,"D","L")))</f>
        <v>W</v>
      </c>
      <c r="EY42" s="29"/>
      <c r="EZ42" s="29"/>
      <c r="FA42" s="27">
        <v>13</v>
      </c>
      <c r="FB42" s="26" t="s">
        <v>39</v>
      </c>
      <c r="FC42" s="189" t="str">
        <f ca="1">IFERROR(INDIRECT("fixtures!" &amp; [1]Dashboard!J1 &amp;320) - [1]Dashboard!K1/24,"TBC")</f>
        <v>TBC</v>
      </c>
      <c r="FD42" s="26"/>
      <c r="FE42" s="26" t="s">
        <v>32</v>
      </c>
      <c r="FF42" s="26" t="s">
        <v>16</v>
      </c>
      <c r="FG42" s="27">
        <f>IF(ISBLANK([1]fixtures!$L320),"",[1]fixtures!$L320)</f>
        <v>2</v>
      </c>
      <c r="FH42" s="26" t="str">
        <f>IF(ISBLANK([1]fixtures!$L320),"",":")</f>
        <v>:</v>
      </c>
      <c r="FI42" s="28">
        <f>IF(ISBLANK([1]fixtures!$K320),"",[1]fixtures!$K320)</f>
        <v>2</v>
      </c>
      <c r="FJ42" s="26" t="str">
        <f>IF(ISBLANK([1]fixtures!$L320),"",IF(FG42&gt;FI42,"W",IF(FG42=FI42,"D","L")))</f>
        <v>D</v>
      </c>
      <c r="FK42" s="26"/>
      <c r="FL42" s="26"/>
      <c r="FM42" s="24">
        <v>13</v>
      </c>
      <c r="FN42" s="25" t="s">
        <v>39</v>
      </c>
      <c r="FO42" s="161" t="str">
        <f ca="1">IFERROR(INDIRECT("fixtures!" &amp; [1]Dashboard!J1 &amp;315) - [1]Dashboard!K1/24,"TBC")</f>
        <v>TBC</v>
      </c>
      <c r="FP42" s="23"/>
      <c r="FQ42" s="23" t="s">
        <v>22</v>
      </c>
      <c r="FR42" s="23" t="s">
        <v>21</v>
      </c>
      <c r="FS42" s="24">
        <f>IF(ISBLANK([1]fixtures!$K315),"",[1]fixtures!$K315)</f>
        <v>4</v>
      </c>
      <c r="FT42" s="23" t="str">
        <f>IF(ISBLANK([1]fixtures!$L315),"",":")</f>
        <v>:</v>
      </c>
      <c r="FU42" s="25">
        <f>IF(ISBLANK([1]fixtures!$L315),"",[1]fixtures!$L315)</f>
        <v>0</v>
      </c>
      <c r="FV42" s="23" t="str">
        <f>IF(ISBLANK([1]fixtures!$L315),"",IF(FS42&gt;FU42,"W",IF(FS42=FU42,"D","L")))</f>
        <v>W</v>
      </c>
      <c r="FW42" s="23"/>
      <c r="FX42" s="23"/>
      <c r="FY42" s="21">
        <v>7</v>
      </c>
      <c r="FZ42" s="20" t="s">
        <v>18</v>
      </c>
      <c r="GA42" s="159" t="str">
        <f ca="1">IFERROR(INDIRECT("fixtures!" &amp; [1]Dashboard!J1 &amp;314) - [1]Dashboard!K1/24,"TBC")</f>
        <v>TBC</v>
      </c>
      <c r="GB42" s="20"/>
      <c r="GC42" s="20" t="s">
        <v>22</v>
      </c>
      <c r="GD42" s="20" t="s">
        <v>16</v>
      </c>
      <c r="GE42" s="21">
        <f>IF(ISBLANK([1]fixtures!$L314),"",[1]fixtures!$L314)</f>
        <v>1</v>
      </c>
      <c r="GF42" s="20" t="str">
        <f>IF(ISBLANK([1]fixtures!$L314),"",":")</f>
        <v>:</v>
      </c>
      <c r="GG42" s="22">
        <f>IF(ISBLANK([1]fixtures!$K314),"",[1]fixtures!$K314)</f>
        <v>3</v>
      </c>
      <c r="GH42" s="20" t="str">
        <f>IF(ISBLANK([1]fixtures!$L314),"",IF(GE42&gt;GG42,"W",IF(GE42=GG42,"D","L")))</f>
        <v>L</v>
      </c>
      <c r="GI42" s="20"/>
      <c r="GJ42" s="20"/>
      <c r="GK42" s="18">
        <v>13</v>
      </c>
      <c r="GL42" s="17" t="s">
        <v>39</v>
      </c>
      <c r="GM42" s="157" t="str">
        <f ca="1">IFERROR(INDIRECT("fixtures!" &amp; [1]Dashboard!J1 &amp;316) - [1]Dashboard!K1/24,"TBC")</f>
        <v>TBC</v>
      </c>
      <c r="GN42" s="17"/>
      <c r="GO42" s="17" t="s">
        <v>24</v>
      </c>
      <c r="GP42" s="17" t="s">
        <v>16</v>
      </c>
      <c r="GQ42" s="18">
        <f>IF(ISBLANK([1]fixtures!$L316),"",[1]fixtures!$L316)</f>
        <v>0</v>
      </c>
      <c r="GR42" s="17" t="str">
        <f>IF(ISBLANK([1]fixtures!$L316),"",":")</f>
        <v>:</v>
      </c>
      <c r="GS42" s="19">
        <f>IF(ISBLANK([1]fixtures!$K316),"",[1]fixtures!$K316)</f>
        <v>2</v>
      </c>
      <c r="GT42" s="17" t="str">
        <f>IF(ISBLANK([1]fixtures!$L316),"",IF(GQ42&gt;GS42,"W",IF(GQ42=GS42,"D","L")))</f>
        <v>L</v>
      </c>
      <c r="GU42" s="17"/>
      <c r="GV42" s="17"/>
      <c r="GW42" s="15">
        <v>13</v>
      </c>
      <c r="GX42" s="14" t="s">
        <v>39</v>
      </c>
      <c r="GY42" s="155" t="str">
        <f ca="1">IFERROR(INDIRECT("fixtures!" &amp; [1]Dashboard!J1 &amp;315) - [1]Dashboard!K1/24,"TBC")</f>
        <v>TBC</v>
      </c>
      <c r="GZ42" s="14"/>
      <c r="HA42" s="14" t="s">
        <v>35</v>
      </c>
      <c r="HB42" s="14" t="s">
        <v>16</v>
      </c>
      <c r="HC42" s="15">
        <f>IF(ISBLANK([1]fixtures!$L315),"",[1]fixtures!$L315)</f>
        <v>0</v>
      </c>
      <c r="HD42" s="14" t="str">
        <f>IF(ISBLANK([1]fixtures!$L315),"",":")</f>
        <v>:</v>
      </c>
      <c r="HE42" s="16">
        <f>IF(ISBLANK([1]fixtures!$K315),"",[1]fixtures!$K315)</f>
        <v>4</v>
      </c>
      <c r="HF42" s="14" t="str">
        <f>IF(ISBLANK([1]fixtures!$L315),"",IF(HC42&gt;HE42,"W",IF(HC42=HE42,"D","L")))</f>
        <v>L</v>
      </c>
      <c r="HG42" s="14"/>
      <c r="HH42" s="14"/>
      <c r="HI42" s="12">
        <v>6</v>
      </c>
      <c r="HJ42" s="11" t="s">
        <v>39</v>
      </c>
      <c r="HK42" s="153" t="str">
        <f ca="1">IFERROR(INDIRECT("fixtures!" &amp; [1]Dashboard!J1 &amp;310) - [1]Dashboard!K1/24,"TBC")</f>
        <v>TBC</v>
      </c>
      <c r="HL42" s="11"/>
      <c r="HM42" s="11" t="s">
        <v>28</v>
      </c>
      <c r="HN42" s="11" t="s">
        <v>16</v>
      </c>
      <c r="HO42" s="12">
        <f>IF(ISBLANK([1]fixtures!$L310),"",[1]fixtures!$L310)</f>
        <v>2</v>
      </c>
      <c r="HP42" s="11" t="str">
        <f>IF(ISBLANK([1]fixtures!$L310),"",":")</f>
        <v>:</v>
      </c>
      <c r="HQ42" s="13">
        <f>IF(ISBLANK([1]fixtures!$K310),"",[1]fixtures!$K310)</f>
        <v>1</v>
      </c>
      <c r="HR42" s="11" t="str">
        <f>IF(ISBLANK([1]fixtures!$L310),"",IF(HO42&gt;HQ42,"W",IF(HO42=HQ42,"D","L")))</f>
        <v>W</v>
      </c>
      <c r="HS42" s="11"/>
      <c r="HT42" s="11"/>
      <c r="HU42" s="9">
        <v>13</v>
      </c>
      <c r="HV42" s="8" t="s">
        <v>39</v>
      </c>
      <c r="HW42" s="151" t="str">
        <f ca="1">IFERROR(INDIRECT("fixtures!" &amp; [1]Dashboard!J1 &amp;319) - [1]Dashboard!K1/24,"TBC")</f>
        <v>TBC</v>
      </c>
      <c r="HX42" s="8"/>
      <c r="HY42" s="8" t="s">
        <v>33</v>
      </c>
      <c r="HZ42" s="8" t="s">
        <v>16</v>
      </c>
      <c r="IA42" s="9">
        <f>IF(ISBLANK([1]fixtures!$L319),"",[1]fixtures!$L319)</f>
        <v>2</v>
      </c>
      <c r="IB42" s="8" t="str">
        <f>IF(ISBLANK([1]fixtures!$L319),"",":")</f>
        <v>:</v>
      </c>
      <c r="IC42" s="10">
        <f>IF(ISBLANK([1]fixtures!$K319),"",[1]fixtures!$K319)</f>
        <v>2</v>
      </c>
      <c r="ID42" s="8" t="str">
        <f>IF(ISBLANK([1]fixtures!$L319),"",IF(IA42&gt;IC42,"W",IF(IA42=IC42,"D","L")))</f>
        <v>D</v>
      </c>
      <c r="IE42" s="8"/>
      <c r="IF42" s="8"/>
    </row>
    <row r="43" spans="1:252" x14ac:dyDescent="0.25">
      <c r="A43" s="67">
        <v>20</v>
      </c>
      <c r="B43" s="68" t="s">
        <v>39</v>
      </c>
      <c r="C43" s="187" t="str">
        <f ca="1">IFERROR(INDIRECT("fixtures!" &amp; [1]Dashboard!J1 &amp;327) - [1]Dashboard!K1/24,"TBC")</f>
        <v>TBC</v>
      </c>
      <c r="D43" s="66"/>
      <c r="E43" s="66" t="s">
        <v>28</v>
      </c>
      <c r="F43" s="66" t="s">
        <v>16</v>
      </c>
      <c r="G43" s="67">
        <f>IF(ISBLANK([1]fixtures!$L327),"",[1]fixtures!$L327)</f>
        <v>2</v>
      </c>
      <c r="H43" s="66" t="str">
        <f>IF(ISBLANK([1]fixtures!$L327),"",":")</f>
        <v>:</v>
      </c>
      <c r="I43" s="68">
        <f>IF(ISBLANK([1]fixtures!$K327),"",[1]fixtures!$K327)</f>
        <v>0</v>
      </c>
      <c r="J43" s="66" t="str">
        <f>IF(ISBLANK([1]fixtures!$L327),"",IF(G43&gt;I43,"W",IF(G43=I43,"D","L")))</f>
        <v>W</v>
      </c>
      <c r="K43" s="66"/>
      <c r="L43" s="66"/>
      <c r="M43" s="63">
        <v>14</v>
      </c>
      <c r="N43" s="64" t="s">
        <v>18</v>
      </c>
      <c r="O43" s="185" t="str">
        <f ca="1">IFERROR(INDIRECT("fixtures!" &amp; [1]Dashboard!J1 &amp;323) - [1]Dashboard!K1/24,"TBC")</f>
        <v>TBC</v>
      </c>
      <c r="P43" s="62"/>
      <c r="Q43" s="62" t="s">
        <v>30</v>
      </c>
      <c r="R43" s="62" t="s">
        <v>16</v>
      </c>
      <c r="S43" s="63">
        <f>IF(ISBLANK([1]fixtures!$L323),"",[1]fixtures!$L323)</f>
        <v>2</v>
      </c>
      <c r="T43" s="62" t="str">
        <f>IF(ISBLANK([1]fixtures!$L323),"",":")</f>
        <v>:</v>
      </c>
      <c r="U43" s="64">
        <f>IF(ISBLANK([1]fixtures!$K323),"",[1]fixtures!$K323)</f>
        <v>0</v>
      </c>
      <c r="V43" s="62" t="str">
        <f>IF(ISBLANK([1]fixtures!$L323),"",IF(S43&gt;U43,"W",IF(S43=U43,"D","L")))</f>
        <v>W</v>
      </c>
      <c r="W43" s="62"/>
      <c r="X43" s="62"/>
      <c r="Y43" s="60">
        <v>21</v>
      </c>
      <c r="Z43" s="61" t="s">
        <v>18</v>
      </c>
      <c r="AA43" s="183" t="str">
        <f ca="1">IFERROR(INDIRECT("fixtures!" &amp; [1]Dashboard!J1 &amp;329) - [1]Dashboard!K1/24,"TBC")</f>
        <v>TBC</v>
      </c>
      <c r="AB43" s="59"/>
      <c r="AC43" s="59" t="s">
        <v>31</v>
      </c>
      <c r="AD43" s="59" t="s">
        <v>16</v>
      </c>
      <c r="AE43" s="60">
        <f>IF(ISBLANK([1]fixtures!$L329),"",[1]fixtures!$L329)</f>
        <v>1</v>
      </c>
      <c r="AF43" s="59" t="str">
        <f>IF(ISBLANK([1]fixtures!$L329),"",":")</f>
        <v>:</v>
      </c>
      <c r="AG43" s="61">
        <f>IF(ISBLANK([1]fixtures!$K329),"",[1]fixtures!$K329)</f>
        <v>3</v>
      </c>
      <c r="AH43" s="59" t="str">
        <f>IF(ISBLANK([1]fixtures!$L329),"",IF(AE43&gt;AG43,"W",IF(AE43=AG43,"D","L")))</f>
        <v>L</v>
      </c>
      <c r="AI43" s="59"/>
      <c r="AJ43" s="59"/>
      <c r="AK43" s="57">
        <v>13</v>
      </c>
      <c r="AL43" s="58" t="s">
        <v>39</v>
      </c>
      <c r="AM43" s="181" t="str">
        <f ca="1">IFERROR(INDIRECT("fixtures!" &amp; [1]Dashboard!J1 &amp;316) - [1]Dashboard!K1/24,"TBC")</f>
        <v>TBC</v>
      </c>
      <c r="AN43" s="56"/>
      <c r="AO43" s="56" t="s">
        <v>20</v>
      </c>
      <c r="AP43" s="56" t="s">
        <v>21</v>
      </c>
      <c r="AQ43" s="57">
        <f>IF(ISBLANK([1]fixtures!$K316),"",[1]fixtures!$K316)</f>
        <v>2</v>
      </c>
      <c r="AR43" s="56" t="str">
        <f>IF(ISBLANK([1]fixtures!$L316),"",":")</f>
        <v>:</v>
      </c>
      <c r="AS43" s="58">
        <f>IF(ISBLANK([1]fixtures!$L316),"",[1]fixtures!$L316)</f>
        <v>0</v>
      </c>
      <c r="AT43" s="56" t="str">
        <f>IF(ISBLANK([1]fixtures!$L316),"",IF(AQ43&gt;AS43,"W",IF(AQ43=AS43,"D","L")))</f>
        <v>W</v>
      </c>
      <c r="AU43" s="56"/>
      <c r="AV43" s="56"/>
      <c r="AW43" s="54">
        <v>25</v>
      </c>
      <c r="AX43" s="55" t="s">
        <v>45</v>
      </c>
      <c r="AY43" s="179" t="str">
        <f ca="1">IFERROR(INDIRECT("fixtures!" &amp; [1]Dashboard!J1 &amp;337) - [1]Dashboard!K1/24,"TBC")</f>
        <v>TBC</v>
      </c>
      <c r="AZ43" s="53"/>
      <c r="BA43" s="53" t="s">
        <v>19</v>
      </c>
      <c r="BB43" s="53" t="s">
        <v>21</v>
      </c>
      <c r="BC43" s="54">
        <f>IF(ISBLANK([1]fixtures!$K337),"",[1]fixtures!$K337)</f>
        <v>0</v>
      </c>
      <c r="BD43" s="53" t="str">
        <f>IF(ISBLANK([1]fixtures!$L337),"",":")</f>
        <v>:</v>
      </c>
      <c r="BE43" s="55">
        <f>IF(ISBLANK([1]fixtures!$L337),"",[1]fixtures!$L337)</f>
        <v>4</v>
      </c>
      <c r="BF43" s="53" t="str">
        <f>IF(ISBLANK([1]fixtures!$L337),"",IF(BC43&gt;BE43,"W",IF(BC43=BE43,"D","L")))</f>
        <v>L</v>
      </c>
      <c r="BG43" s="53"/>
      <c r="BH43" s="53"/>
      <c r="BI43" s="51">
        <v>13</v>
      </c>
      <c r="BJ43" s="52" t="s">
        <v>39</v>
      </c>
      <c r="BK43" s="177" t="str">
        <f ca="1">IFERROR(INDIRECT("fixtures!" &amp; [1]Dashboard!J1 &amp;317) - [1]Dashboard!K1/24,"TBC")</f>
        <v>TBC</v>
      </c>
      <c r="BL43" s="50"/>
      <c r="BM43" s="50" t="s">
        <v>25</v>
      </c>
      <c r="BN43" s="50" t="s">
        <v>21</v>
      </c>
      <c r="BO43" s="51">
        <f>IF(ISBLANK([1]fixtures!$K317),"",[1]fixtures!$K317)</f>
        <v>1</v>
      </c>
      <c r="BP43" s="50" t="str">
        <f>IF(ISBLANK([1]fixtures!$L317),"",":")</f>
        <v>:</v>
      </c>
      <c r="BQ43" s="52">
        <f>IF(ISBLANK([1]fixtures!$L317),"",[1]fixtures!$L317)</f>
        <v>1</v>
      </c>
      <c r="BR43" s="50" t="str">
        <f>IF(ISBLANK([1]fixtures!$L317),"",IF(BO43&gt;BQ43,"W",IF(BO43=BQ43,"D","L")))</f>
        <v>D</v>
      </c>
      <c r="BS43" s="50"/>
      <c r="BT43" s="50"/>
      <c r="BU43" s="48">
        <v>27</v>
      </c>
      <c r="BV43" s="49" t="s">
        <v>39</v>
      </c>
      <c r="BW43" s="175" t="str">
        <f ca="1">IFERROR(INDIRECT("fixtures!" &amp; [1]Dashboard!J1 &amp;344) - [1]Dashboard!K1/24,"TBC")</f>
        <v>TBC</v>
      </c>
      <c r="BX43" s="47"/>
      <c r="BY43" s="47" t="s">
        <v>31</v>
      </c>
      <c r="BZ43" s="47" t="s">
        <v>16</v>
      </c>
      <c r="CA43" s="48">
        <f>IF(ISBLANK([1]fixtures!$L344),"",[1]fixtures!$L344)</f>
        <v>2</v>
      </c>
      <c r="CB43" s="47" t="str">
        <f>IF(ISBLANK([1]fixtures!$L344),"",":")</f>
        <v>:</v>
      </c>
      <c r="CC43" s="49">
        <f>IF(ISBLANK([1]fixtures!$K344),"",[1]fixtures!$K344)</f>
        <v>2</v>
      </c>
      <c r="CD43" s="47" t="str">
        <f>IF(ISBLANK([1]fixtures!$L344),"",IF(CA43&gt;CC43,"W",IF(CA43=CC43,"D","L")))</f>
        <v>D</v>
      </c>
      <c r="CE43" s="47"/>
      <c r="CF43" s="47"/>
      <c r="CG43" s="45">
        <v>21</v>
      </c>
      <c r="CH43" s="46" t="s">
        <v>18</v>
      </c>
      <c r="CI43" s="173" t="str">
        <f ca="1">IFERROR(INDIRECT("fixtures!" &amp; [1]Dashboard!J1 &amp;330) - [1]Dashboard!K1/24,"TBC")</f>
        <v>TBC</v>
      </c>
      <c r="CJ43" s="44"/>
      <c r="CK43" s="44" t="s">
        <v>26</v>
      </c>
      <c r="CL43" s="44" t="s">
        <v>21</v>
      </c>
      <c r="CM43" s="45">
        <f>IF(ISBLANK([1]fixtures!$K330),"",[1]fixtures!$K330)</f>
        <v>5</v>
      </c>
      <c r="CN43" s="44" t="str">
        <f>IF(ISBLANK([1]fixtures!$L330),"",":")</f>
        <v>:</v>
      </c>
      <c r="CO43" s="46">
        <f>IF(ISBLANK([1]fixtures!$L330),"",[1]fixtures!$L330)</f>
        <v>2</v>
      </c>
      <c r="CP43" s="44" t="str">
        <f>IF(ISBLANK([1]fixtures!$L330),"",IF(CM43&gt;CO43,"W",IF(CM43=CO43,"D","L")))</f>
        <v>W</v>
      </c>
      <c r="CQ43" s="44"/>
      <c r="CR43" s="44"/>
      <c r="CS43" s="42">
        <v>21</v>
      </c>
      <c r="CT43" s="43" t="s">
        <v>18</v>
      </c>
      <c r="CU43" s="171" t="str">
        <f ca="1">IFERROR(INDIRECT("fixtures!" &amp; [1]Dashboard!J1 &amp;328) - [1]Dashboard!K1/24,"TBC")</f>
        <v>TBC</v>
      </c>
      <c r="CV43" s="41"/>
      <c r="CW43" s="41" t="s">
        <v>33</v>
      </c>
      <c r="CX43" s="41" t="s">
        <v>21</v>
      </c>
      <c r="CY43" s="42">
        <f>IF(ISBLANK([1]fixtures!$K328),"",[1]fixtures!$K328)</f>
        <v>2</v>
      </c>
      <c r="CZ43" s="41" t="str">
        <f>IF(ISBLANK([1]fixtures!$L328),"",":")</f>
        <v>:</v>
      </c>
      <c r="DA43" s="43">
        <f>IF(ISBLANK([1]fixtures!$L328),"",[1]fixtures!$L328)</f>
        <v>0</v>
      </c>
      <c r="DB43" s="41" t="str">
        <f>IF(ISBLANK([1]fixtures!$L328),"",IF(CY43&gt;DA43,"W",IF(CY43=DA43,"D","L")))</f>
        <v>W</v>
      </c>
      <c r="DC43" s="41"/>
      <c r="DD43" s="41"/>
      <c r="DE43" s="39">
        <v>14</v>
      </c>
      <c r="DF43" s="40" t="s">
        <v>18</v>
      </c>
      <c r="DG43" s="169" t="str">
        <f ca="1">IFERROR(INDIRECT("fixtures!" &amp; [1]Dashboard!J1 &amp;322) - [1]Dashboard!K1/24,"TBC")</f>
        <v>TBC</v>
      </c>
      <c r="DH43" s="38"/>
      <c r="DI43" s="38" t="s">
        <v>26</v>
      </c>
      <c r="DJ43" s="38" t="s">
        <v>16</v>
      </c>
      <c r="DK43" s="39">
        <f>IF(ISBLANK([1]fixtures!$L322),"",[1]fixtures!$L322)</f>
        <v>2</v>
      </c>
      <c r="DL43" s="38" t="str">
        <f>IF(ISBLANK([1]fixtures!$L322),"",":")</f>
        <v>:</v>
      </c>
      <c r="DM43" s="40">
        <f>IF(ISBLANK([1]fixtures!$K322),"",[1]fixtures!$K322)</f>
        <v>0</v>
      </c>
      <c r="DN43" s="38" t="str">
        <f>IF(ISBLANK([1]fixtures!$L322),"",IF(DK43&gt;DM43,"W",IF(DK43=DM43,"D","L")))</f>
        <v>W</v>
      </c>
      <c r="DO43" s="38"/>
      <c r="DP43" s="38"/>
      <c r="DQ43" s="36">
        <v>21</v>
      </c>
      <c r="DR43" s="37" t="s">
        <v>18</v>
      </c>
      <c r="DS43" s="167" t="str">
        <f ca="1">IFERROR(INDIRECT("fixtures!" &amp; [1]Dashboard!J1 &amp;331) - [1]Dashboard!K1/24,"TBC")</f>
        <v>TBC</v>
      </c>
      <c r="DT43" s="35"/>
      <c r="DU43" s="35" t="s">
        <v>27</v>
      </c>
      <c r="DV43" s="35" t="s">
        <v>16</v>
      </c>
      <c r="DW43" s="36">
        <f>IF(ISBLANK([1]fixtures!$L331),"",[1]fixtures!$L331)</f>
        <v>3</v>
      </c>
      <c r="DX43" s="35" t="str">
        <f>IF(ISBLANK([1]fixtures!$L331),"",":")</f>
        <v>:</v>
      </c>
      <c r="DY43" s="37">
        <f>IF(ISBLANK([1]fixtures!$K331),"",[1]fixtures!$K331)</f>
        <v>1</v>
      </c>
      <c r="DZ43" s="35" t="str">
        <f>IF(ISBLANK([1]fixtures!$L331),"",IF(DW43&gt;DY43,"W",IF(DW43=DY43,"D","L")))</f>
        <v>W</v>
      </c>
      <c r="EA43" s="35"/>
      <c r="EB43" s="35"/>
      <c r="EC43" s="33">
        <v>13</v>
      </c>
      <c r="ED43" s="34" t="s">
        <v>39</v>
      </c>
      <c r="EE43" s="190" t="str">
        <f ca="1">IFERROR(INDIRECT("fixtures!" &amp; [1]Dashboard!J1 &amp;318) - [1]Dashboard!K1/24,"TBC")</f>
        <v>TBC</v>
      </c>
      <c r="EF43" s="32"/>
      <c r="EG43" s="32" t="s">
        <v>19</v>
      </c>
      <c r="EH43" s="32" t="s">
        <v>16</v>
      </c>
      <c r="EI43" s="33">
        <f>IF(ISBLANK([1]fixtures!$L318),"",[1]fixtures!$L318)</f>
        <v>1</v>
      </c>
      <c r="EJ43" s="32" t="str">
        <f>IF(ISBLANK([1]fixtures!$L318),"",":")</f>
        <v>:</v>
      </c>
      <c r="EK43" s="34">
        <f>IF(ISBLANK([1]fixtures!$K318),"",[1]fixtures!$K318)</f>
        <v>5</v>
      </c>
      <c r="EL43" s="32" t="str">
        <f>IF(ISBLANK([1]fixtures!$L318),"",IF(EI43&gt;EK43,"W",IF(EI43=EK43,"D","L")))</f>
        <v>L</v>
      </c>
      <c r="EM43" s="32"/>
      <c r="EN43" s="32"/>
      <c r="EO43" s="30">
        <v>25</v>
      </c>
      <c r="EP43" s="31" t="s">
        <v>45</v>
      </c>
      <c r="EQ43" s="164" t="str">
        <f ca="1">IFERROR(INDIRECT("fixtures!" &amp; [1]Dashboard!J1 &amp;337) - [1]Dashboard!K1/24,"TBC")</f>
        <v>TBC</v>
      </c>
      <c r="ER43" s="29"/>
      <c r="ES43" s="29" t="s">
        <v>25</v>
      </c>
      <c r="ET43" s="29" t="s">
        <v>16</v>
      </c>
      <c r="EU43" s="30">
        <f>IF(ISBLANK([1]fixtures!$L337),"",[1]fixtures!$L337)</f>
        <v>4</v>
      </c>
      <c r="EV43" s="29" t="str">
        <f>IF(ISBLANK([1]fixtures!$L337),"",":")</f>
        <v>:</v>
      </c>
      <c r="EW43" s="31">
        <f>IF(ISBLANK([1]fixtures!$K337),"",[1]fixtures!$K337)</f>
        <v>0</v>
      </c>
      <c r="EX43" s="29" t="str">
        <f>IF(ISBLANK([1]fixtures!$L337),"",IF(EU43&gt;EW43,"W",IF(EU43=EW43,"D","L")))</f>
        <v>W</v>
      </c>
      <c r="EY43" s="29"/>
      <c r="EZ43" s="29"/>
      <c r="FA43" s="27">
        <v>24</v>
      </c>
      <c r="FB43" s="28" t="s">
        <v>41</v>
      </c>
      <c r="FC43" s="189" t="str">
        <f ca="1">IFERROR(INDIRECT("fixtures!" &amp; [1]Dashboard!J1 &amp;336) - [1]Dashboard!K1/24,"TBC")</f>
        <v>TBC</v>
      </c>
      <c r="FD43" s="26"/>
      <c r="FE43" s="26" t="s">
        <v>20</v>
      </c>
      <c r="FF43" s="26" t="s">
        <v>21</v>
      </c>
      <c r="FG43" s="27">
        <f>IF(ISBLANK([1]fixtures!$K336),"",[1]fixtures!$K336)</f>
        <v>4</v>
      </c>
      <c r="FH43" s="26" t="str">
        <f>IF(ISBLANK([1]fixtures!$L336),"",":")</f>
        <v>:</v>
      </c>
      <c r="FI43" s="28">
        <f>IF(ISBLANK([1]fixtures!$L336),"",[1]fixtures!$L336)</f>
        <v>2</v>
      </c>
      <c r="FJ43" s="26" t="str">
        <f>IF(ISBLANK([1]fixtures!$L336),"",IF(FG43&gt;FI43,"W",IF(FG43=FI43,"D","L")))</f>
        <v>W</v>
      </c>
      <c r="FK43" s="26"/>
      <c r="FL43" s="26"/>
      <c r="FM43" s="24">
        <v>24</v>
      </c>
      <c r="FN43" s="25" t="s">
        <v>41</v>
      </c>
      <c r="FO43" s="161" t="str">
        <f ca="1">IFERROR(INDIRECT("fixtures!" &amp; [1]Dashboard!J1 &amp;334) - [1]Dashboard!K1/24,"TBC")</f>
        <v>TBC</v>
      </c>
      <c r="FP43" s="23"/>
      <c r="FQ43" s="23" t="s">
        <v>37</v>
      </c>
      <c r="FR43" s="23" t="s">
        <v>16</v>
      </c>
      <c r="FS43" s="24">
        <f>IF(ISBLANK([1]fixtures!$L334),"",[1]fixtures!$L334)</f>
        <v>0</v>
      </c>
      <c r="FT43" s="23" t="str">
        <f>IF(ISBLANK([1]fixtures!$L334),"",":")</f>
        <v>:</v>
      </c>
      <c r="FU43" s="25">
        <f>IF(ISBLANK([1]fixtures!$K334),"",[1]fixtures!$K334)</f>
        <v>2</v>
      </c>
      <c r="FV43" s="23" t="str">
        <f>IF(ISBLANK([1]fixtures!$L334),"",IF(FS43&gt;FU43,"W",IF(FS43=FU43,"D","L")))</f>
        <v>L</v>
      </c>
      <c r="FW43" s="23"/>
      <c r="FX43" s="23"/>
      <c r="FY43" s="21">
        <v>13</v>
      </c>
      <c r="FZ43" s="22" t="s">
        <v>39</v>
      </c>
      <c r="GA43" s="159" t="str">
        <f ca="1">IFERROR(INDIRECT("fixtures!" &amp; [1]Dashboard!J1 &amp;319) - [1]Dashboard!K1/24,"TBC")</f>
        <v>TBC</v>
      </c>
      <c r="GB43" s="20"/>
      <c r="GC43" s="20" t="s">
        <v>28</v>
      </c>
      <c r="GD43" s="20" t="s">
        <v>21</v>
      </c>
      <c r="GE43" s="21">
        <f>IF(ISBLANK([1]fixtures!$K319),"",[1]fixtures!$K319)</f>
        <v>2</v>
      </c>
      <c r="GF43" s="20" t="str">
        <f>IF(ISBLANK([1]fixtures!$L319),"",":")</f>
        <v>:</v>
      </c>
      <c r="GG43" s="22">
        <f>IF(ISBLANK([1]fixtures!$L319),"",[1]fixtures!$L319)</f>
        <v>2</v>
      </c>
      <c r="GH43" s="20" t="str">
        <f>IF(ISBLANK([1]fixtures!$L319),"",IF(GE43&gt;GG43,"W",IF(GE43=GG43,"D","L")))</f>
        <v>D</v>
      </c>
      <c r="GI43" s="20"/>
      <c r="GJ43" s="20"/>
      <c r="GK43" s="18">
        <v>20</v>
      </c>
      <c r="GL43" s="19" t="s">
        <v>39</v>
      </c>
      <c r="GM43" s="157" t="str">
        <f ca="1">IFERROR(INDIRECT("fixtures!" &amp; [1]Dashboard!J1 &amp;326) - [1]Dashboard!K1/24,"TBC")</f>
        <v>TBC</v>
      </c>
      <c r="GN43" s="17"/>
      <c r="GO43" s="17" t="s">
        <v>23</v>
      </c>
      <c r="GP43" s="17" t="s">
        <v>21</v>
      </c>
      <c r="GQ43" s="18">
        <f>IF(ISBLANK([1]fixtures!$K326),"",[1]fixtures!$K326)</f>
        <v>1</v>
      </c>
      <c r="GR43" s="17" t="str">
        <f>IF(ISBLANK([1]fixtures!$L326),"",":")</f>
        <v>:</v>
      </c>
      <c r="GS43" s="19">
        <f>IF(ISBLANK([1]fixtures!$L326),"",[1]fixtures!$L326)</f>
        <v>4</v>
      </c>
      <c r="GT43" s="17" t="str">
        <f>IF(ISBLANK([1]fixtures!$L326),"",IF(GQ43&gt;GS43,"W",IF(GQ43=GS43,"D","L")))</f>
        <v>L</v>
      </c>
      <c r="GU43" s="17"/>
      <c r="GV43" s="17"/>
      <c r="GW43" s="15">
        <v>28</v>
      </c>
      <c r="GX43" s="16" t="s">
        <v>18</v>
      </c>
      <c r="GY43" s="155" t="str">
        <f ca="1">IFERROR(INDIRECT("fixtures!" &amp; [1]Dashboard!J1 &amp;346) - [1]Dashboard!K1/24,"TBC")</f>
        <v>TBC</v>
      </c>
      <c r="GZ43" s="14"/>
      <c r="HA43" s="14" t="s">
        <v>30</v>
      </c>
      <c r="HB43" s="14" t="s">
        <v>21</v>
      </c>
      <c r="HC43" s="15">
        <f>IF(ISBLANK([1]fixtures!$K346),"",[1]fixtures!$K346)</f>
        <v>2</v>
      </c>
      <c r="HD43" s="14" t="str">
        <f>IF(ISBLANK([1]fixtures!$L346),"",":")</f>
        <v>:</v>
      </c>
      <c r="HE43" s="16">
        <f>IF(ISBLANK([1]fixtures!$L346),"",[1]fixtures!$L346)</f>
        <v>3</v>
      </c>
      <c r="HF43" s="14" t="str">
        <f>IF(ISBLANK([1]fixtures!$L346),"",IF(HC43&gt;HE43,"W",IF(HC43=HE43,"D","L")))</f>
        <v>L</v>
      </c>
      <c r="HG43" s="14"/>
      <c r="HH43" s="14"/>
      <c r="HI43" s="12">
        <v>14</v>
      </c>
      <c r="HJ43" s="13" t="s">
        <v>18</v>
      </c>
      <c r="HK43" s="153" t="str">
        <f ca="1">IFERROR(INDIRECT("fixtures!" &amp; [1]Dashboard!J1 &amp;322) - [1]Dashboard!K1/24,"TBC")</f>
        <v>TBC</v>
      </c>
      <c r="HL43" s="11"/>
      <c r="HM43" s="11" t="s">
        <v>27</v>
      </c>
      <c r="HN43" s="11" t="s">
        <v>21</v>
      </c>
      <c r="HO43" s="12">
        <f>IF(ISBLANK([1]fixtures!$K322),"",[1]fixtures!$K322)</f>
        <v>0</v>
      </c>
      <c r="HP43" s="11" t="str">
        <f>IF(ISBLANK([1]fixtures!$L322),"",":")</f>
        <v>:</v>
      </c>
      <c r="HQ43" s="13">
        <f>IF(ISBLANK([1]fixtures!$L322),"",[1]fixtures!$L322)</f>
        <v>2</v>
      </c>
      <c r="HR43" s="11" t="str">
        <f>IF(ISBLANK([1]fixtures!$L322),"",IF(HO43&gt;HQ43,"W",IF(HO43=HQ43,"D","L")))</f>
        <v>L</v>
      </c>
      <c r="HS43" s="11"/>
      <c r="HT43" s="11"/>
      <c r="HU43" s="9">
        <v>20</v>
      </c>
      <c r="HV43" s="10" t="s">
        <v>39</v>
      </c>
      <c r="HW43" s="151" t="str">
        <f ca="1">IFERROR(INDIRECT("fixtures!" &amp; [1]Dashboard!J1 &amp;327) - [1]Dashboard!K1/24,"TBC")</f>
        <v>TBC</v>
      </c>
      <c r="HX43" s="8"/>
      <c r="HY43" s="8" t="s">
        <v>30</v>
      </c>
      <c r="HZ43" s="8" t="s">
        <v>21</v>
      </c>
      <c r="IA43" s="9">
        <f>IF(ISBLANK([1]fixtures!$K327),"",[1]fixtures!$K327)</f>
        <v>0</v>
      </c>
      <c r="IB43" s="8" t="str">
        <f>IF(ISBLANK([1]fixtures!$L327),"",":")</f>
        <v>:</v>
      </c>
      <c r="IC43" s="10">
        <f>IF(ISBLANK([1]fixtures!$L327),"",[1]fixtures!$L327)</f>
        <v>2</v>
      </c>
      <c r="ID43" s="8" t="str">
        <f>IF(ISBLANK([1]fixtures!$L327),"",IF(IA43&gt;IC43,"W",IF(IA43=IC43,"D","L")))</f>
        <v>L</v>
      </c>
      <c r="IE43" s="8"/>
      <c r="IF43" s="8"/>
    </row>
    <row r="44" spans="1:252" s="2" customFormat="1" x14ac:dyDescent="0.25">
      <c r="A44" s="67">
        <v>23</v>
      </c>
      <c r="B44" s="68" t="s">
        <v>40</v>
      </c>
      <c r="C44" s="187" t="str">
        <f ca="1">IFERROR(INDIRECT("fixtures!" &amp; [1]Dashboard!J1 &amp;332) - [1]Dashboard!K1/24,"TBC")</f>
        <v>TBC</v>
      </c>
      <c r="D44" s="68"/>
      <c r="E44" s="68" t="s">
        <v>36</v>
      </c>
      <c r="F44" s="68" t="s">
        <v>21</v>
      </c>
      <c r="G44" s="67">
        <f>IF(ISBLANK([1]fixtures!$K332),"",[1]fixtures!$K332)</f>
        <v>5</v>
      </c>
      <c r="H44" s="68" t="str">
        <f>IF(ISBLANK([1]fixtures!$L332),"",":")</f>
        <v>:</v>
      </c>
      <c r="I44" s="68">
        <f>IF(ISBLANK([1]fixtures!$L332),"",[1]fixtures!$L332)</f>
        <v>0</v>
      </c>
      <c r="J44" s="68" t="str">
        <f>IF(ISBLANK([1]fixtures!$L332),"",IF(G44&gt;I44,"W",IF(G44=I44,"D","L")))</f>
        <v>W</v>
      </c>
      <c r="K44" s="68"/>
      <c r="L44" s="68"/>
      <c r="M44" s="63">
        <v>21</v>
      </c>
      <c r="N44" s="64" t="s">
        <v>18</v>
      </c>
      <c r="O44" s="185" t="str">
        <f ca="1">IFERROR(INDIRECT("fixtures!" &amp; [1]Dashboard!J1 &amp;329) - [1]Dashboard!K1/24,"TBC")</f>
        <v>TBC</v>
      </c>
      <c r="P44" s="64"/>
      <c r="Q44" s="64" t="s">
        <v>32</v>
      </c>
      <c r="R44" s="64" t="s">
        <v>21</v>
      </c>
      <c r="S44" s="63">
        <f>IF(ISBLANK([1]fixtures!$K329),"",[1]fixtures!$K329)</f>
        <v>3</v>
      </c>
      <c r="T44" s="64" t="str">
        <f>IF(ISBLANK([1]fixtures!$L329),"",":")</f>
        <v>:</v>
      </c>
      <c r="U44" s="64">
        <f>IF(ISBLANK([1]fixtures!$L329),"",[1]fixtures!$L329)</f>
        <v>1</v>
      </c>
      <c r="V44" s="64" t="str">
        <f>IF(ISBLANK([1]fixtures!$L329),"",IF(S44&gt;U44,"W",IF(S44=U44,"D","L")))</f>
        <v>W</v>
      </c>
      <c r="W44" s="64"/>
      <c r="X44" s="64"/>
      <c r="Y44" s="60">
        <v>24</v>
      </c>
      <c r="Z44" s="61" t="s">
        <v>41</v>
      </c>
      <c r="AA44" s="183" t="str">
        <f ca="1">IFERROR(INDIRECT("fixtures!" &amp; [1]Dashboard!J1 &amp;333) - [1]Dashboard!K1/24,"TBC")</f>
        <v>TBC</v>
      </c>
      <c r="AB44" s="61"/>
      <c r="AC44" s="61" t="s">
        <v>28</v>
      </c>
      <c r="AD44" s="61" t="s">
        <v>16</v>
      </c>
      <c r="AE44" s="60">
        <f>IF(ISBLANK([1]fixtures!$L333),"",[1]fixtures!$L333)</f>
        <v>1</v>
      </c>
      <c r="AF44" s="61" t="str">
        <f>IF(ISBLANK([1]fixtures!$L333),"",":")</f>
        <v>:</v>
      </c>
      <c r="AG44" s="61">
        <f>IF(ISBLANK([1]fixtures!$K333),"",[1]fixtures!$K333)</f>
        <v>0</v>
      </c>
      <c r="AH44" s="61" t="str">
        <f>IF(ISBLANK([1]fixtures!$L333),"",IF(AE44&gt;AG44,"W",IF(AE44=AG44,"D","L")))</f>
        <v>W</v>
      </c>
      <c r="AI44" s="61"/>
      <c r="AJ44" s="61"/>
      <c r="AK44" s="57">
        <v>20</v>
      </c>
      <c r="AL44" s="58" t="s">
        <v>39</v>
      </c>
      <c r="AM44" s="181" t="str">
        <f ca="1">IFERROR(INDIRECT("fixtures!" &amp; [1]Dashboard!J1 &amp;325) - [1]Dashboard!K1/24,"TBC")</f>
        <v>TBC</v>
      </c>
      <c r="AN44" s="58"/>
      <c r="AO44" s="58" t="s">
        <v>29</v>
      </c>
      <c r="AP44" s="58" t="s">
        <v>16</v>
      </c>
      <c r="AQ44" s="57">
        <f>IF(ISBLANK([1]fixtures!$L325),"",[1]fixtures!$L325)</f>
        <v>5</v>
      </c>
      <c r="AR44" s="58" t="str">
        <f>IF(ISBLANK([1]fixtures!$L325),"",":")</f>
        <v>:</v>
      </c>
      <c r="AS44" s="58">
        <f>IF(ISBLANK([1]fixtures!$K325),"",[1]fixtures!$K325)</f>
        <v>1</v>
      </c>
      <c r="AT44" s="58" t="str">
        <f>IF(ISBLANK([1]fixtures!$L325),"",IF(AQ44&gt;AS44,"W",IF(AQ44=AS44,"D","L")))</f>
        <v>W</v>
      </c>
      <c r="AU44" s="58"/>
      <c r="AV44" s="58"/>
      <c r="AW44" s="54">
        <v>28</v>
      </c>
      <c r="AX44" s="55" t="s">
        <v>18</v>
      </c>
      <c r="AY44" s="179" t="str">
        <f ca="1">IFERROR(INDIRECT("fixtures!" &amp; [1]Dashboard!J1 &amp;345) - [1]Dashboard!K1/24,"TBC")</f>
        <v>TBC</v>
      </c>
      <c r="AZ44" s="55"/>
      <c r="BA44" s="55" t="s">
        <v>32</v>
      </c>
      <c r="BB44" s="55" t="s">
        <v>16</v>
      </c>
      <c r="BC44" s="54">
        <f>IF(ISBLANK([1]fixtures!$L345),"",[1]fixtures!$L345)</f>
        <v>0</v>
      </c>
      <c r="BD44" s="55" t="str">
        <f>IF(ISBLANK([1]fixtures!$L345),"",":")</f>
        <v>:</v>
      </c>
      <c r="BE44" s="55">
        <f>IF(ISBLANK([1]fixtures!$K345),"",[1]fixtures!$K345)</f>
        <v>3</v>
      </c>
      <c r="BF44" s="55" t="str">
        <f>IF(ISBLANK([1]fixtures!$L345),"",IF(BC44&gt;BE44,"W",IF(BC44=BE44,"D","L")))</f>
        <v>L</v>
      </c>
      <c r="BG44" s="55"/>
      <c r="BH44" s="55"/>
      <c r="BI44" s="51">
        <v>20</v>
      </c>
      <c r="BJ44" s="52" t="s">
        <v>39</v>
      </c>
      <c r="BK44" s="177" t="str">
        <f ca="1">IFERROR(INDIRECT("fixtures!" &amp; [1]Dashboard!J1 &amp;326) - [1]Dashboard!K1/24,"TBC")</f>
        <v>TBC</v>
      </c>
      <c r="BL44" s="52"/>
      <c r="BM44" s="52" t="s">
        <v>20</v>
      </c>
      <c r="BN44" s="52" t="s">
        <v>16</v>
      </c>
      <c r="BO44" s="51">
        <f>IF(ISBLANK([1]fixtures!$L326),"",[1]fixtures!$L326)</f>
        <v>4</v>
      </c>
      <c r="BP44" s="52" t="str">
        <f>IF(ISBLANK([1]fixtures!$L326),"",":")</f>
        <v>:</v>
      </c>
      <c r="BQ44" s="52">
        <f>IF(ISBLANK([1]fixtures!$K326),"",[1]fixtures!$K326)</f>
        <v>1</v>
      </c>
      <c r="BR44" s="52" t="str">
        <f>IF(ISBLANK([1]fixtures!$L326),"",IF(BO44&gt;BQ44,"W",IF(BO44=BQ44,"D","L")))</f>
        <v>W</v>
      </c>
      <c r="BS44" s="52"/>
      <c r="BT44" s="52"/>
      <c r="BU44" s="82" t="s">
        <v>44</v>
      </c>
      <c r="BV44" s="49"/>
      <c r="BW44" s="175"/>
      <c r="BX44" s="49"/>
      <c r="BY44" s="49"/>
      <c r="BZ44" s="49"/>
      <c r="CA44" s="48"/>
      <c r="CB44" s="49"/>
      <c r="CC44" s="49"/>
      <c r="CD44" s="49"/>
      <c r="CE44" s="49"/>
      <c r="CF44" s="49"/>
      <c r="CG44" s="45">
        <v>24</v>
      </c>
      <c r="CH44" s="46" t="s">
        <v>41</v>
      </c>
      <c r="CI44" s="173" t="str">
        <f ca="1">IFERROR(INDIRECT("fixtures!" &amp; [1]Dashboard!J1 &amp;334) - [1]Dashboard!K1/24,"TBC")</f>
        <v>TBC</v>
      </c>
      <c r="CJ44" s="46"/>
      <c r="CK44" s="46" t="s">
        <v>35</v>
      </c>
      <c r="CL44" s="46" t="s">
        <v>21</v>
      </c>
      <c r="CM44" s="45">
        <f>IF(ISBLANK([1]fixtures!$K334),"",[1]fixtures!$K334)</f>
        <v>2</v>
      </c>
      <c r="CN44" s="46" t="str">
        <f>IF(ISBLANK([1]fixtures!$L334),"",":")</f>
        <v>:</v>
      </c>
      <c r="CO44" s="46">
        <f>IF(ISBLANK([1]fixtures!$L334),"",[1]fixtures!$L334)</f>
        <v>0</v>
      </c>
      <c r="CP44" s="46" t="str">
        <f>IF(ISBLANK([1]fixtures!$L334),"",IF(CM44&gt;CO44,"W",IF(CM44=CO44,"D","L")))</f>
        <v>W</v>
      </c>
      <c r="CQ44" s="46"/>
      <c r="CR44" s="46"/>
      <c r="CS44" s="42">
        <v>24</v>
      </c>
      <c r="CT44" s="43" t="s">
        <v>41</v>
      </c>
      <c r="CU44" s="171" t="str">
        <f ca="1">IFERROR(INDIRECT("fixtures!" &amp; [1]Dashboard!J1 &amp;335) - [1]Dashboard!K1/24,"TBC")</f>
        <v>TBC</v>
      </c>
      <c r="CV44" s="43"/>
      <c r="CW44" s="43" t="s">
        <v>17</v>
      </c>
      <c r="CX44" s="43" t="s">
        <v>21</v>
      </c>
      <c r="CY44" s="42">
        <f>IF(ISBLANK([1]fixtures!$K335),"",[1]fixtures!$K335)</f>
        <v>2</v>
      </c>
      <c r="CZ44" s="43" t="str">
        <f>IF(ISBLANK([1]fixtures!$L335),"",":")</f>
        <v>:</v>
      </c>
      <c r="DA44" s="43">
        <f>IF(ISBLANK([1]fixtures!$L335),"",[1]fixtures!$L335)</f>
        <v>0</v>
      </c>
      <c r="DB44" s="43" t="str">
        <f>IF(ISBLANK([1]fixtures!$L335),"",IF(CY44&gt;DA44,"W",IF(CY44=DA44,"D","L")))</f>
        <v>W</v>
      </c>
      <c r="DC44" s="43"/>
      <c r="DD44" s="43"/>
      <c r="DE44" s="39">
        <v>21</v>
      </c>
      <c r="DF44" s="40" t="s">
        <v>18</v>
      </c>
      <c r="DG44" s="169" t="str">
        <f ca="1">IFERROR(INDIRECT("fixtures!" &amp; [1]Dashboard!J1 &amp;331) - [1]Dashboard!K1/24,"TBC")</f>
        <v>TBC</v>
      </c>
      <c r="DH44" s="40"/>
      <c r="DI44" s="40" t="s">
        <v>17</v>
      </c>
      <c r="DJ44" s="40" t="s">
        <v>21</v>
      </c>
      <c r="DK44" s="39">
        <f>IF(ISBLANK([1]fixtures!$K331),"",[1]fixtures!$K331)</f>
        <v>1</v>
      </c>
      <c r="DL44" s="40" t="str">
        <f>IF(ISBLANK([1]fixtures!$L331),"",":")</f>
        <v>:</v>
      </c>
      <c r="DM44" s="40">
        <f>IF(ISBLANK([1]fixtures!$L331),"",[1]fixtures!$L331)</f>
        <v>3</v>
      </c>
      <c r="DN44" s="40" t="str">
        <f>IF(ISBLANK([1]fixtures!$L331),"",IF(DK44&gt;DM44,"W",IF(DK44=DM44,"D","L")))</f>
        <v>L</v>
      </c>
      <c r="DO44" s="40"/>
      <c r="DP44" s="40"/>
      <c r="DQ44" s="36">
        <v>24</v>
      </c>
      <c r="DR44" s="37" t="s">
        <v>41</v>
      </c>
      <c r="DS44" s="167" t="str">
        <f ca="1">IFERROR(INDIRECT("fixtures!" &amp; [1]Dashboard!J1 &amp;335) - [1]Dashboard!K1/24,"TBC")</f>
        <v>TBC</v>
      </c>
      <c r="DT44" s="37"/>
      <c r="DU44" s="37" t="s">
        <v>38</v>
      </c>
      <c r="DV44" s="37" t="s">
        <v>16</v>
      </c>
      <c r="DW44" s="36">
        <f>IF(ISBLANK([1]fixtures!$L335),"",[1]fixtures!$L335)</f>
        <v>0</v>
      </c>
      <c r="DX44" s="37" t="str">
        <f>IF(ISBLANK([1]fixtures!$L335),"",":")</f>
        <v>:</v>
      </c>
      <c r="DY44" s="37">
        <f>IF(ISBLANK([1]fixtures!$K335),"",[1]fixtures!$K335)</f>
        <v>2</v>
      </c>
      <c r="DZ44" s="37" t="str">
        <f>IF(ISBLANK([1]fixtures!$L335),"",IF(DW44&gt;DY44,"W",IF(DW44=DY44,"D","L")))</f>
        <v>L</v>
      </c>
      <c r="EA44" s="37"/>
      <c r="EB44" s="37"/>
      <c r="EC44" s="33">
        <v>20</v>
      </c>
      <c r="ED44" s="34" t="s">
        <v>39</v>
      </c>
      <c r="EE44" s="190" t="str">
        <f ca="1">IFERROR(INDIRECT("fixtures!" &amp; [1]Dashboard!J1 &amp;325) - [1]Dashboard!K1/24,"TBC")</f>
        <v>TBC</v>
      </c>
      <c r="EF44" s="34"/>
      <c r="EG44" s="34" t="s">
        <v>24</v>
      </c>
      <c r="EH44" s="34" t="s">
        <v>21</v>
      </c>
      <c r="EI44" s="33">
        <f>IF(ISBLANK([1]fixtures!$K325),"",[1]fixtures!$K325)</f>
        <v>1</v>
      </c>
      <c r="EJ44" s="34" t="str">
        <f>IF(ISBLANK([1]fixtures!$L325),"",":")</f>
        <v>:</v>
      </c>
      <c r="EK44" s="34">
        <f>IF(ISBLANK([1]fixtures!$L325),"",[1]fixtures!$L325)</f>
        <v>5</v>
      </c>
      <c r="EL44" s="34" t="str">
        <f>IF(ISBLANK([1]fixtures!$L325),"",IF(EI44&gt;EK44,"W",IF(EI44=EK44,"D","L")))</f>
        <v>L</v>
      </c>
      <c r="EM44" s="34"/>
      <c r="EN44" s="34"/>
      <c r="EO44" s="30">
        <v>28</v>
      </c>
      <c r="EP44" s="31" t="s">
        <v>18</v>
      </c>
      <c r="EQ44" s="164" t="str">
        <f ca="1">IFERROR(INDIRECT("fixtures!" &amp; [1]Dashboard!J1 &amp;347) - [1]Dashboard!K1/24,"TBC")</f>
        <v>TBC</v>
      </c>
      <c r="ER44" s="31"/>
      <c r="ES44" s="31" t="s">
        <v>33</v>
      </c>
      <c r="ET44" s="31" t="s">
        <v>16</v>
      </c>
      <c r="EU44" s="30">
        <f>IF(ISBLANK([1]fixtures!$L347),"",[1]fixtures!$L347)</f>
        <v>2</v>
      </c>
      <c r="EV44" s="31" t="str">
        <f>IF(ISBLANK([1]fixtures!$L347),"",":")</f>
        <v>:</v>
      </c>
      <c r="EW44" s="31">
        <f>IF(ISBLANK([1]fixtures!$K347),"",[1]fixtures!$K347)</f>
        <v>0</v>
      </c>
      <c r="EX44" s="31" t="str">
        <f>IF(ISBLANK([1]fixtures!$L347),"",IF(EU44&gt;EW44,"W",IF(EU44=EW44,"D","L")))</f>
        <v>W</v>
      </c>
      <c r="EY44" s="31"/>
      <c r="EZ44" s="31"/>
      <c r="FA44" s="27">
        <v>27</v>
      </c>
      <c r="FB44" s="28" t="s">
        <v>39</v>
      </c>
      <c r="FC44" s="189" t="str">
        <f ca="1">IFERROR(INDIRECT("fixtures!" &amp; [1]Dashboard!J1 &amp;340) - [1]Dashboard!K1/24,"TBC")</f>
        <v>TBC</v>
      </c>
      <c r="FD44" s="28"/>
      <c r="FE44" s="28" t="s">
        <v>23</v>
      </c>
      <c r="FF44" s="28" t="s">
        <v>21</v>
      </c>
      <c r="FG44" s="27">
        <f>IF(ISBLANK([1]fixtures!$K340),"",[1]fixtures!$K340)</f>
        <v>1</v>
      </c>
      <c r="FH44" s="28" t="str">
        <f>IF(ISBLANK([1]fixtures!$L340),"",":")</f>
        <v>:</v>
      </c>
      <c r="FI44" s="28">
        <f>IF(ISBLANK([1]fixtures!$L340),"",[1]fixtures!$L340)</f>
        <v>1</v>
      </c>
      <c r="FJ44" s="28" t="str">
        <f>IF(ISBLANK([1]fixtures!$L340),"",IF(FG44&gt;FI44,"W",IF(FG44=FI44,"D","L")))</f>
        <v>D</v>
      </c>
      <c r="FK44" s="28"/>
      <c r="FL44" s="28"/>
      <c r="FM44" s="24">
        <v>27</v>
      </c>
      <c r="FN44" s="25" t="s">
        <v>39</v>
      </c>
      <c r="FO44" s="161" t="str">
        <f ca="1">IFERROR(INDIRECT("fixtures!" &amp; [1]Dashboard!J1 &amp;341) - [1]Dashboard!K1/24,"TBC")</f>
        <v>TBC</v>
      </c>
      <c r="FP44" s="25"/>
      <c r="FQ44" s="25" t="s">
        <v>20</v>
      </c>
      <c r="FR44" s="25" t="s">
        <v>21</v>
      </c>
      <c r="FS44" s="24">
        <f>IF(ISBLANK([1]fixtures!$K341),"",[1]fixtures!$K341)</f>
        <v>5</v>
      </c>
      <c r="FT44" s="25" t="str">
        <f>IF(ISBLANK([1]fixtures!$L341),"",":")</f>
        <v>:</v>
      </c>
      <c r="FU44" s="25">
        <f>IF(ISBLANK([1]fixtures!$L341),"",[1]fixtures!$L341)</f>
        <v>1</v>
      </c>
      <c r="FV44" s="25" t="str">
        <f>IF(ISBLANK([1]fixtures!$L341),"",IF(FS44&gt;FU44,"W",IF(FS44=FU44,"D","L")))</f>
        <v>W</v>
      </c>
      <c r="FW44" s="25"/>
      <c r="FX44" s="25"/>
      <c r="FY44" s="21">
        <v>21</v>
      </c>
      <c r="FZ44" s="22" t="s">
        <v>18</v>
      </c>
      <c r="GA44" s="159" t="str">
        <f ca="1">IFERROR(INDIRECT("fixtures!" &amp; [1]Dashboard!J1 &amp;328) - [1]Dashboard!K1/24,"TBC")</f>
        <v>TBC</v>
      </c>
      <c r="GB44" s="22"/>
      <c r="GC44" s="22" t="s">
        <v>38</v>
      </c>
      <c r="GD44" s="22" t="s">
        <v>16</v>
      </c>
      <c r="GE44" s="21">
        <f>IF(ISBLANK([1]fixtures!$L328),"",[1]fixtures!$L328)</f>
        <v>0</v>
      </c>
      <c r="GF44" s="22" t="str">
        <f>IF(ISBLANK([1]fixtures!$L328),"",":")</f>
        <v>:</v>
      </c>
      <c r="GG44" s="22">
        <f>IF(ISBLANK([1]fixtures!$K328),"",[1]fixtures!$K328)</f>
        <v>2</v>
      </c>
      <c r="GH44" s="22" t="str">
        <f>IF(ISBLANK([1]fixtures!$L328),"",IF(GE44&gt;GG44,"W",IF(GE44=GG44,"D","L")))</f>
        <v>L</v>
      </c>
      <c r="GI44" s="22"/>
      <c r="GJ44" s="22"/>
      <c r="GK44" s="18">
        <v>24</v>
      </c>
      <c r="GL44" s="19" t="s">
        <v>41</v>
      </c>
      <c r="GM44" s="157" t="str">
        <f ca="1">IFERROR(INDIRECT("fixtures!" &amp; [1]Dashboard!J1 &amp;336) - [1]Dashboard!K1/24,"TBC")</f>
        <v>TBC</v>
      </c>
      <c r="GN44" s="19"/>
      <c r="GO44" s="19" t="s">
        <v>34</v>
      </c>
      <c r="GP44" s="19" t="s">
        <v>16</v>
      </c>
      <c r="GQ44" s="18">
        <f>IF(ISBLANK([1]fixtures!$L336),"",[1]fixtures!$L336)</f>
        <v>2</v>
      </c>
      <c r="GR44" s="19" t="str">
        <f>IF(ISBLANK([1]fixtures!$L336),"",":")</f>
        <v>:</v>
      </c>
      <c r="GS44" s="19">
        <f>IF(ISBLANK([1]fixtures!$K336),"",[1]fixtures!$K336)</f>
        <v>4</v>
      </c>
      <c r="GT44" s="19" t="str">
        <f>IF(ISBLANK([1]fixtures!$L336),"",IF(GQ44&gt;GS44,"W",IF(GQ44=GS44,"D","L")))</f>
        <v>L</v>
      </c>
      <c r="GU44" s="19"/>
      <c r="GV44" s="19"/>
      <c r="GW44" s="93" t="s">
        <v>44</v>
      </c>
      <c r="GX44" s="16"/>
      <c r="GY44" s="155"/>
      <c r="GZ44" s="16"/>
      <c r="HA44" s="16"/>
      <c r="HB44" s="16"/>
      <c r="HC44" s="15"/>
      <c r="HD44" s="16"/>
      <c r="HE44" s="16"/>
      <c r="HF44" s="16"/>
      <c r="HG44" s="16"/>
      <c r="HH44" s="16"/>
      <c r="HI44" s="12">
        <v>21</v>
      </c>
      <c r="HJ44" s="13" t="s">
        <v>18</v>
      </c>
      <c r="HK44" s="153" t="str">
        <f ca="1">IFERROR(INDIRECT("fixtures!" &amp; [1]Dashboard!J1 &amp;330) - [1]Dashboard!K1/24,"TBC")</f>
        <v>TBC</v>
      </c>
      <c r="HL44" s="13"/>
      <c r="HM44" s="13" t="s">
        <v>37</v>
      </c>
      <c r="HN44" s="13" t="s">
        <v>16</v>
      </c>
      <c r="HO44" s="12">
        <f>IF(ISBLANK([1]fixtures!$L330),"",[1]fixtures!$L330)</f>
        <v>2</v>
      </c>
      <c r="HP44" s="13" t="str">
        <f>IF(ISBLANK([1]fixtures!$L330),"",":")</f>
        <v>:</v>
      </c>
      <c r="HQ44" s="13">
        <f>IF(ISBLANK([1]fixtures!$K330),"",[1]fixtures!$K330)</f>
        <v>5</v>
      </c>
      <c r="HR44" s="13" t="str">
        <f>IF(ISBLANK([1]fixtures!$L330),"",IF(HO44&gt;HQ44,"W",IF(HO44=HQ44,"D","L")))</f>
        <v>L</v>
      </c>
      <c r="HS44" s="13"/>
      <c r="HT44" s="13"/>
      <c r="HU44" s="9">
        <v>24</v>
      </c>
      <c r="HV44" s="10" t="s">
        <v>41</v>
      </c>
      <c r="HW44" s="151" t="str">
        <f ca="1">IFERROR(INDIRECT("fixtures!" &amp; [1]Dashboard!J1 &amp;333) - [1]Dashboard!K1/24,"TBC")</f>
        <v>TBC</v>
      </c>
      <c r="HX44" s="10"/>
      <c r="HY44" s="10" t="s">
        <v>32</v>
      </c>
      <c r="HZ44" s="10" t="s">
        <v>21</v>
      </c>
      <c r="IA44" s="9">
        <f>IF(ISBLANK([1]fixtures!$K333),"",[1]fixtures!$K333)</f>
        <v>0</v>
      </c>
      <c r="IB44" s="10" t="str">
        <f>IF(ISBLANK([1]fixtures!$L333),"",":")</f>
        <v>:</v>
      </c>
      <c r="IC44" s="10">
        <f>IF(ISBLANK([1]fixtures!$L333),"",[1]fixtures!$L333)</f>
        <v>1</v>
      </c>
      <c r="ID44" s="10" t="str">
        <f>IF(ISBLANK([1]fixtures!$L333),"",IF(IA44&gt;IC44,"W",IF(IA44=IC44,"D","L")))</f>
        <v>L</v>
      </c>
      <c r="IE44" s="10"/>
      <c r="IF44" s="10"/>
    </row>
    <row r="45" spans="1:252" x14ac:dyDescent="0.25">
      <c r="A45" s="67">
        <v>28</v>
      </c>
      <c r="B45" s="68" t="s">
        <v>18</v>
      </c>
      <c r="C45" s="187" t="str">
        <f ca="1">IFERROR(INDIRECT("fixtures!" &amp; [1]Dashboard!J1 &amp;346) - [1]Dashboard!K1/24,"TBC")</f>
        <v>TBC</v>
      </c>
      <c r="D45" s="66"/>
      <c r="E45" s="66" t="s">
        <v>22</v>
      </c>
      <c r="F45" s="66" t="s">
        <v>16</v>
      </c>
      <c r="G45" s="67">
        <f>IF(ISBLANK([1]fixtures!$L346),"",[1]fixtures!$L346)</f>
        <v>3</v>
      </c>
      <c r="H45" s="66" t="str">
        <f>IF(ISBLANK([1]fixtures!$L346),"",":")</f>
        <v>:</v>
      </c>
      <c r="I45" s="68">
        <f>IF(ISBLANK([1]fixtures!$K346),"",[1]fixtures!$K346)</f>
        <v>2</v>
      </c>
      <c r="J45" s="66" t="str">
        <f>IF(ISBLANK([1]fixtures!$L346),"",IF(G45&gt;I45,"W",IF(G45=I45,"D","L")))</f>
        <v>W</v>
      </c>
      <c r="K45" s="66"/>
      <c r="L45" s="66"/>
      <c r="M45" s="63">
        <v>27</v>
      </c>
      <c r="N45" s="64" t="s">
        <v>39</v>
      </c>
      <c r="O45" s="185" t="str">
        <f ca="1">IFERROR(INDIRECT("fixtures!" &amp; [1]Dashboard!J1 &amp;344) - [1]Dashboard!K1/24,"TBC")</f>
        <v>TBC</v>
      </c>
      <c r="P45" s="62"/>
      <c r="Q45" s="62" t="s">
        <v>36</v>
      </c>
      <c r="R45" s="62" t="s">
        <v>21</v>
      </c>
      <c r="S45" s="63">
        <f>IF(ISBLANK([1]fixtures!$K344),"",[1]fixtures!$K344)</f>
        <v>2</v>
      </c>
      <c r="T45" s="62" t="str">
        <f>IF(ISBLANK([1]fixtures!$L344),"",":")</f>
        <v>:</v>
      </c>
      <c r="U45" s="64">
        <f>IF(ISBLANK([1]fixtures!$L344),"",[1]fixtures!$L344)</f>
        <v>2</v>
      </c>
      <c r="V45" s="62" t="str">
        <f>IF(ISBLANK([1]fixtures!$L344),"",IF(S45&gt;U45,"W",IF(S45=U45,"D","L")))</f>
        <v>D</v>
      </c>
      <c r="W45" s="62"/>
      <c r="X45" s="62"/>
      <c r="Y45" s="60">
        <v>28</v>
      </c>
      <c r="Z45" s="61" t="s">
        <v>18</v>
      </c>
      <c r="AA45" s="183" t="str">
        <f ca="1">IFERROR(INDIRECT("fixtures!" &amp; [1]Dashboard!J1 &amp;345) - [1]Dashboard!K1/24,"TBC")</f>
        <v>TBC</v>
      </c>
      <c r="AB45" s="59"/>
      <c r="AC45" s="59" t="s">
        <v>25</v>
      </c>
      <c r="AD45" s="59" t="s">
        <v>21</v>
      </c>
      <c r="AE45" s="60">
        <f>IF(ISBLANK([1]fixtures!$K345),"",[1]fixtures!$K345)</f>
        <v>3</v>
      </c>
      <c r="AF45" s="59" t="str">
        <f>IF(ISBLANK([1]fixtures!$L345),"",":")</f>
        <v>:</v>
      </c>
      <c r="AG45" s="61">
        <f>IF(ISBLANK([1]fixtures!$L345),"",[1]fixtures!$L345)</f>
        <v>0</v>
      </c>
      <c r="AH45" s="59" t="str">
        <f>IF(ISBLANK([1]fixtures!$L345),"",IF(AE45&gt;AG45,"W",IF(AE45=AG45,"D","L")))</f>
        <v>W</v>
      </c>
      <c r="AI45" s="59"/>
      <c r="AJ45" s="59"/>
      <c r="AK45" s="57">
        <v>27</v>
      </c>
      <c r="AL45" s="58" t="s">
        <v>39</v>
      </c>
      <c r="AM45" s="181" t="str">
        <f ca="1">IFERROR(INDIRECT("fixtures!" &amp; [1]Dashboard!J1 &amp;343) - [1]Dashboard!K1/24,"TBC")</f>
        <v>TBC</v>
      </c>
      <c r="AN45" s="56"/>
      <c r="AO45" s="56" t="s">
        <v>38</v>
      </c>
      <c r="AP45" s="56" t="s">
        <v>16</v>
      </c>
      <c r="AQ45" s="57">
        <f>IF(ISBLANK([1]fixtures!$L343),"",[1]fixtures!$L343)</f>
        <v>0</v>
      </c>
      <c r="AR45" s="56" t="str">
        <f>IF(ISBLANK([1]fixtures!$L343),"",":")</f>
        <v>:</v>
      </c>
      <c r="AS45" s="58">
        <f>IF(ISBLANK([1]fixtures!$K343),"",[1]fixtures!$K343)</f>
        <v>1</v>
      </c>
      <c r="AT45" s="56" t="str">
        <f>IF(ISBLANK([1]fixtures!$L343),"",IF(AQ45&gt;AS45,"W",IF(AQ45=AS45,"D","L")))</f>
        <v>L</v>
      </c>
      <c r="AU45" s="56"/>
      <c r="AV45" s="56"/>
      <c r="AW45" s="106" t="s">
        <v>44</v>
      </c>
      <c r="AX45" s="55"/>
      <c r="AY45" s="179"/>
      <c r="AZ45" s="53"/>
      <c r="BA45" s="53"/>
      <c r="BB45" s="53"/>
      <c r="BC45" s="54"/>
      <c r="BD45" s="53"/>
      <c r="BE45" s="55"/>
      <c r="BF45" s="53"/>
      <c r="BG45" s="53"/>
      <c r="BH45" s="53"/>
      <c r="BI45" s="51">
        <v>27</v>
      </c>
      <c r="BJ45" s="52" t="s">
        <v>39</v>
      </c>
      <c r="BK45" s="177" t="str">
        <f ca="1">IFERROR(INDIRECT("fixtures!" &amp; [1]Dashboard!J1 &amp;340) - [1]Dashboard!K1/24,"TBC")</f>
        <v>TBC</v>
      </c>
      <c r="BL45" s="50"/>
      <c r="BM45" s="50" t="s">
        <v>34</v>
      </c>
      <c r="BN45" s="50" t="s">
        <v>16</v>
      </c>
      <c r="BO45" s="51">
        <f>IF(ISBLANK([1]fixtures!$L340),"",[1]fixtures!$L340)</f>
        <v>1</v>
      </c>
      <c r="BP45" s="50" t="str">
        <f>IF(ISBLANK([1]fixtures!$L340),"",":")</f>
        <v>:</v>
      </c>
      <c r="BQ45" s="52">
        <f>IF(ISBLANK([1]fixtures!$K340),"",[1]fixtures!$K340)</f>
        <v>1</v>
      </c>
      <c r="BR45" s="50" t="str">
        <f>IF(ISBLANK([1]fixtures!$L340),"",IF(BO45&gt;BQ45,"W",IF(BO45=BQ45,"D","L")))</f>
        <v>D</v>
      </c>
      <c r="BS45" s="50"/>
      <c r="BT45" s="50"/>
      <c r="BU45" s="48">
        <v>2</v>
      </c>
      <c r="BV45" s="49" t="s">
        <v>45</v>
      </c>
      <c r="BW45" s="175" t="str">
        <f ca="1">IFERROR(INDIRECT("fixtures!" &amp; [1]Dashboard!J1 &amp;348) - [1]Dashboard!K1/24,"TBC")</f>
        <v>TBC</v>
      </c>
      <c r="BX45" s="47"/>
      <c r="BY45" s="47" t="s">
        <v>22</v>
      </c>
      <c r="BZ45" s="47" t="s">
        <v>21</v>
      </c>
      <c r="CA45" s="48">
        <f>IF(ISBLANK([1]fixtures!$K348),"",[1]fixtures!$K348)</f>
        <v>2</v>
      </c>
      <c r="CB45" s="47" t="str">
        <f>IF(ISBLANK([1]fixtures!$L348),"",":")</f>
        <v>:</v>
      </c>
      <c r="CC45" s="49">
        <f>IF(ISBLANK([1]fixtures!$L348),"",[1]fixtures!$L348)</f>
        <v>0</v>
      </c>
      <c r="CD45" s="47" t="str">
        <f>IF(ISBLANK([1]fixtures!$L348),"",IF(CA45&gt;CC45,"W",IF(CA45=CC45,"D","L")))</f>
        <v>W</v>
      </c>
      <c r="CE45" s="47"/>
      <c r="CF45" s="47"/>
      <c r="CG45" s="45">
        <v>27</v>
      </c>
      <c r="CH45" s="46" t="s">
        <v>39</v>
      </c>
      <c r="CI45" s="173" t="str">
        <f ca="1">IFERROR(INDIRECT("fixtures!" &amp; [1]Dashboard!J1 &amp;339) - [1]Dashboard!K1/24,"TBC")</f>
        <v>TBC</v>
      </c>
      <c r="CJ45" s="44"/>
      <c r="CK45" s="44" t="s">
        <v>27</v>
      </c>
      <c r="CL45" s="44" t="s">
        <v>16</v>
      </c>
      <c r="CM45" s="45">
        <f>IF(ISBLANK([1]fixtures!$L339),"",[1]fixtures!$L339)</f>
        <v>1</v>
      </c>
      <c r="CN45" s="44" t="str">
        <f>IF(ISBLANK([1]fixtures!$L339),"",":")</f>
        <v>:</v>
      </c>
      <c r="CO45" s="46">
        <f>IF(ISBLANK([1]fixtures!$K339),"",[1]fixtures!$K339)</f>
        <v>1</v>
      </c>
      <c r="CP45" s="44" t="str">
        <f>IF(ISBLANK([1]fixtures!$L339),"",IF(CM45&gt;CO45,"W",IF(CM45=CO45,"D","L")))</f>
        <v>D</v>
      </c>
      <c r="CQ45" s="44"/>
      <c r="CR45" s="44"/>
      <c r="CS45" s="42">
        <v>27</v>
      </c>
      <c r="CT45" s="43" t="s">
        <v>39</v>
      </c>
      <c r="CU45" s="171" t="str">
        <f ca="1">IFERROR(INDIRECT("fixtures!" &amp; [1]Dashboard!J1 &amp;343) - [1]Dashboard!K1/24,"TBC")</f>
        <v>TBC</v>
      </c>
      <c r="CV45" s="41"/>
      <c r="CW45" s="41" t="s">
        <v>24</v>
      </c>
      <c r="CX45" s="41" t="s">
        <v>21</v>
      </c>
      <c r="CY45" s="42">
        <f>IF(ISBLANK([1]fixtures!$K343),"",[1]fixtures!$K343)</f>
        <v>1</v>
      </c>
      <c r="CZ45" s="41" t="str">
        <f>IF(ISBLANK([1]fixtures!$L343),"",":")</f>
        <v>:</v>
      </c>
      <c r="DA45" s="43">
        <f>IF(ISBLANK([1]fixtures!$L343),"",[1]fixtures!$L343)</f>
        <v>0</v>
      </c>
      <c r="DB45" s="41" t="str">
        <f>IF(ISBLANK([1]fixtures!$L343),"",IF(CY45&gt;DA45,"W",IF(CY45=DA45,"D","L")))</f>
        <v>W</v>
      </c>
      <c r="DC45" s="41"/>
      <c r="DD45" s="41"/>
      <c r="DE45" s="39">
        <v>27</v>
      </c>
      <c r="DF45" s="40" t="s">
        <v>39</v>
      </c>
      <c r="DG45" s="169" t="str">
        <f ca="1">IFERROR(INDIRECT("fixtures!" &amp; [1]Dashboard!J1 &amp;339) - [1]Dashboard!K1/24,"TBC")</f>
        <v>TBC</v>
      </c>
      <c r="DH45" s="38"/>
      <c r="DI45" s="38" t="s">
        <v>37</v>
      </c>
      <c r="DJ45" s="38" t="s">
        <v>21</v>
      </c>
      <c r="DK45" s="39">
        <f>IF(ISBLANK([1]fixtures!$K339),"",[1]fixtures!$K339)</f>
        <v>1</v>
      </c>
      <c r="DL45" s="38" t="str">
        <f>IF(ISBLANK([1]fixtures!$L339),"",":")</f>
        <v>:</v>
      </c>
      <c r="DM45" s="40">
        <f>IF(ISBLANK([1]fixtures!$L339),"",[1]fixtures!$L339)</f>
        <v>1</v>
      </c>
      <c r="DN45" s="38" t="str">
        <f>IF(ISBLANK([1]fixtures!$L339),"",IF(DK45&gt;DM45,"W",IF(DK45=DM45,"D","L")))</f>
        <v>D</v>
      </c>
      <c r="DO45" s="38"/>
      <c r="DP45" s="38"/>
      <c r="DQ45" s="36">
        <v>27</v>
      </c>
      <c r="DR45" s="37" t="s">
        <v>39</v>
      </c>
      <c r="DS45" s="167" t="str">
        <f ca="1">IFERROR(INDIRECT("fixtures!" &amp; [1]Dashboard!J1 &amp;338) - [1]Dashboard!K1/24,"TBC")</f>
        <v>TBC</v>
      </c>
      <c r="DT45" s="35"/>
      <c r="DU45" s="35" t="s">
        <v>26</v>
      </c>
      <c r="DV45" s="35" t="s">
        <v>16</v>
      </c>
      <c r="DW45" s="36">
        <f>IF(ISBLANK([1]fixtures!$L338),"",[1]fixtures!$L338)</f>
        <v>2</v>
      </c>
      <c r="DX45" s="35" t="str">
        <f>IF(ISBLANK([1]fixtures!$L338),"",":")</f>
        <v>:</v>
      </c>
      <c r="DY45" s="37">
        <f>IF(ISBLANK([1]fixtures!$K338),"",[1]fixtures!$K338)</f>
        <v>2</v>
      </c>
      <c r="DZ45" s="35" t="str">
        <f>IF(ISBLANK([1]fixtures!$L338),"",IF(DW45&gt;DY45,"W",IF(DW45=DY45,"D","L")))</f>
        <v>D</v>
      </c>
      <c r="EA45" s="35"/>
      <c r="EB45" s="35"/>
      <c r="EC45" s="33">
        <v>27</v>
      </c>
      <c r="ED45" s="34" t="s">
        <v>39</v>
      </c>
      <c r="EE45" s="190" t="str">
        <f ca="1">IFERROR(INDIRECT("fixtures!" &amp; [1]Dashboard!J1 &amp;342) - [1]Dashboard!K1/24,"TBC")</f>
        <v>TBC</v>
      </c>
      <c r="EF45" s="32"/>
      <c r="EG45" s="32" t="s">
        <v>28</v>
      </c>
      <c r="EH45" s="32" t="s">
        <v>16</v>
      </c>
      <c r="EI45" s="33">
        <f>IF(ISBLANK([1]fixtures!$L342),"",[1]fixtures!$L342)</f>
        <v>1</v>
      </c>
      <c r="EJ45" s="32" t="str">
        <f>IF(ISBLANK([1]fixtures!$L342),"",":")</f>
        <v>:</v>
      </c>
      <c r="EK45" s="34">
        <f>IF(ISBLANK([1]fixtures!$K342),"",[1]fixtures!$K342)</f>
        <v>2</v>
      </c>
      <c r="EL45" s="32" t="str">
        <f>IF(ISBLANK([1]fixtures!$L342),"",IF(EI45&gt;EK45,"W",IF(EI45=EK45,"D","L")))</f>
        <v>L</v>
      </c>
      <c r="EM45" s="32"/>
      <c r="EN45" s="32"/>
      <c r="EO45" s="98" t="s">
        <v>44</v>
      </c>
      <c r="EP45" s="31"/>
      <c r="EQ45" s="164"/>
      <c r="ER45" s="29"/>
      <c r="ES45" s="29"/>
      <c r="ET45" s="29"/>
      <c r="EU45" s="30"/>
      <c r="EV45" s="29"/>
      <c r="EW45" s="31"/>
      <c r="EX45" s="29"/>
      <c r="EY45" s="29"/>
      <c r="EZ45" s="29"/>
      <c r="FA45" s="75" t="s">
        <v>44</v>
      </c>
      <c r="FB45" s="28"/>
      <c r="FC45" s="189"/>
      <c r="FD45" s="26"/>
      <c r="FE45" s="26"/>
      <c r="FF45" s="26"/>
      <c r="FG45" s="27"/>
      <c r="FH45" s="26"/>
      <c r="FI45" s="28"/>
      <c r="FJ45" s="26"/>
      <c r="FK45" s="26"/>
      <c r="FL45" s="26"/>
      <c r="FM45" s="96" t="s">
        <v>44</v>
      </c>
      <c r="FN45" s="25"/>
      <c r="FO45" s="161"/>
      <c r="FP45" s="23"/>
      <c r="FQ45" s="23"/>
      <c r="FR45" s="23"/>
      <c r="FS45" s="24"/>
      <c r="FT45" s="23"/>
      <c r="FU45" s="25"/>
      <c r="FV45" s="23"/>
      <c r="FW45" s="23"/>
      <c r="FX45" s="23"/>
      <c r="FY45" s="21">
        <v>28</v>
      </c>
      <c r="FZ45" s="22" t="s">
        <v>18</v>
      </c>
      <c r="GA45" s="159" t="str">
        <f ca="1">IFERROR(INDIRECT("fixtures!" &amp; [1]Dashboard!J1 &amp;347) - [1]Dashboard!K1/24,"TBC")</f>
        <v>TBC</v>
      </c>
      <c r="GB45" s="20"/>
      <c r="GC45" s="20" t="s">
        <v>19</v>
      </c>
      <c r="GD45" s="20" t="s">
        <v>21</v>
      </c>
      <c r="GE45" s="21">
        <f>IF(ISBLANK([1]fixtures!$K347),"",[1]fixtures!$K347)</f>
        <v>0</v>
      </c>
      <c r="GF45" s="20" t="str">
        <f>IF(ISBLANK([1]fixtures!$L347),"",":")</f>
        <v>:</v>
      </c>
      <c r="GG45" s="22">
        <f>IF(ISBLANK([1]fixtures!$L347),"",[1]fixtures!$L347)</f>
        <v>2</v>
      </c>
      <c r="GH45" s="20" t="str">
        <f>IF(ISBLANK([1]fixtures!$L347),"",IF(GE45&gt;GG45,"W",IF(GE45=GG45,"D","L")))</f>
        <v>L</v>
      </c>
      <c r="GI45" s="20"/>
      <c r="GJ45" s="20"/>
      <c r="GK45" s="18">
        <v>27</v>
      </c>
      <c r="GL45" s="19" t="s">
        <v>39</v>
      </c>
      <c r="GM45" s="157" t="str">
        <f ca="1">IFERROR(INDIRECT("fixtures!" &amp; [1]Dashboard!J1 &amp;341) - [1]Dashboard!K1/24,"TBC")</f>
        <v>TBC</v>
      </c>
      <c r="GN45" s="17"/>
      <c r="GO45" s="17" t="s">
        <v>35</v>
      </c>
      <c r="GP45" s="17" t="s">
        <v>16</v>
      </c>
      <c r="GQ45" s="18">
        <f>IF(ISBLANK([1]fixtures!$L341),"",[1]fixtures!$L341)</f>
        <v>1</v>
      </c>
      <c r="GR45" s="17" t="str">
        <f>IF(ISBLANK([1]fixtures!$L341),"",":")</f>
        <v>:</v>
      </c>
      <c r="GS45" s="19">
        <f>IF(ISBLANK([1]fixtures!$K341),"",[1]fixtures!$K341)</f>
        <v>5</v>
      </c>
      <c r="GT45" s="17" t="str">
        <f>IF(ISBLANK([1]fixtures!$L341),"",IF(GQ45&gt;GS45,"W",IF(GQ45=GS45,"D","L")))</f>
        <v>L</v>
      </c>
      <c r="GU45" s="17"/>
      <c r="GV45" s="17"/>
      <c r="GW45" s="15">
        <v>2</v>
      </c>
      <c r="GX45" s="16" t="s">
        <v>45</v>
      </c>
      <c r="GY45" s="155" t="str">
        <f ca="1">IFERROR(INDIRECT("fixtures!" &amp; [1]Dashboard!J1 &amp;348) - [1]Dashboard!K1/24,"TBC")</f>
        <v>TBC</v>
      </c>
      <c r="GZ45" s="14"/>
      <c r="HA45" s="14" t="s">
        <v>36</v>
      </c>
      <c r="HB45" s="14" t="s">
        <v>16</v>
      </c>
      <c r="HC45" s="15">
        <f>IF(ISBLANK([1]fixtures!$L348),"",[1]fixtures!$L348)</f>
        <v>0</v>
      </c>
      <c r="HD45" s="14" t="str">
        <f>IF(ISBLANK([1]fixtures!$L348),"",":")</f>
        <v>:</v>
      </c>
      <c r="HE45" s="16">
        <f>IF(ISBLANK([1]fixtures!$K348),"",[1]fixtures!$K348)</f>
        <v>2</v>
      </c>
      <c r="HF45" s="14" t="str">
        <f>IF(ISBLANK([1]fixtures!$L348),"",IF(HC45&gt;HE45,"W",IF(HC45=HE45,"D","L")))</f>
        <v>L</v>
      </c>
      <c r="HG45" s="14"/>
      <c r="HH45" s="14"/>
      <c r="HI45" s="12">
        <v>27</v>
      </c>
      <c r="HJ45" s="13" t="s">
        <v>39</v>
      </c>
      <c r="HK45" s="153" t="str">
        <f ca="1">IFERROR(INDIRECT("fixtures!" &amp; [1]Dashboard!J1 &amp;338) - [1]Dashboard!K1/24,"TBC")</f>
        <v>TBC</v>
      </c>
      <c r="HL45" s="11"/>
      <c r="HM45" s="11" t="s">
        <v>17</v>
      </c>
      <c r="HN45" s="11" t="s">
        <v>21</v>
      </c>
      <c r="HO45" s="12">
        <f>IF(ISBLANK([1]fixtures!$K338),"",[1]fixtures!$K338)</f>
        <v>2</v>
      </c>
      <c r="HP45" s="11" t="str">
        <f>IF(ISBLANK([1]fixtures!$L338),"",":")</f>
        <v>:</v>
      </c>
      <c r="HQ45" s="13">
        <f>IF(ISBLANK([1]fixtures!$L338),"",[1]fixtures!$L338)</f>
        <v>2</v>
      </c>
      <c r="HR45" s="11" t="str">
        <f>IF(ISBLANK([1]fixtures!$L338),"",IF(HO45&gt;HQ45,"W",IF(HO45=HQ45,"D","L")))</f>
        <v>D</v>
      </c>
      <c r="HS45" s="11"/>
      <c r="HT45" s="11"/>
      <c r="HU45" s="9">
        <v>27</v>
      </c>
      <c r="HV45" s="10" t="s">
        <v>39</v>
      </c>
      <c r="HW45" s="151" t="str">
        <f ca="1">IFERROR(INDIRECT("fixtures!" &amp; [1]Dashboard!J1 &amp;342) - [1]Dashboard!K1/24,"TBC")</f>
        <v>TBC</v>
      </c>
      <c r="HX45" s="8"/>
      <c r="HY45" s="8" t="s">
        <v>29</v>
      </c>
      <c r="HZ45" s="8" t="s">
        <v>21</v>
      </c>
      <c r="IA45" s="9">
        <f>IF(ISBLANK([1]fixtures!$K342),"",[1]fixtures!$K342)</f>
        <v>2</v>
      </c>
      <c r="IB45" s="8" t="str">
        <f>IF(ISBLANK([1]fixtures!$L342),"",":")</f>
        <v>:</v>
      </c>
      <c r="IC45" s="10">
        <f>IF(ISBLANK([1]fixtures!$L342),"",[1]fixtures!$L342)</f>
        <v>1</v>
      </c>
      <c r="ID45" s="8" t="str">
        <f>IF(ISBLANK([1]fixtures!$L342),"",IF(IA45&gt;IC45,"W",IF(IA45=IC45,"D","L")))</f>
        <v>W</v>
      </c>
      <c r="IE45" s="8"/>
      <c r="IF45" s="8"/>
    </row>
    <row r="46" spans="1:252" x14ac:dyDescent="0.25">
      <c r="A46" s="90" t="s">
        <v>44</v>
      </c>
      <c r="B46" s="68"/>
      <c r="C46" s="187"/>
      <c r="D46" s="66"/>
      <c r="E46" s="66"/>
      <c r="F46" s="66"/>
      <c r="G46" s="67"/>
      <c r="H46" s="66"/>
      <c r="I46" s="68"/>
      <c r="J46" s="66"/>
      <c r="K46" s="66"/>
      <c r="L46" s="66"/>
      <c r="M46" s="87" t="s">
        <v>44</v>
      </c>
      <c r="N46" s="64"/>
      <c r="O46" s="185"/>
      <c r="P46" s="62"/>
      <c r="Q46" s="62"/>
      <c r="R46" s="62"/>
      <c r="S46" s="63"/>
      <c r="T46" s="62"/>
      <c r="U46" s="64"/>
      <c r="V46" s="62"/>
      <c r="W46" s="62"/>
      <c r="X46" s="62"/>
      <c r="Y46" s="108" t="s">
        <v>44</v>
      </c>
      <c r="Z46" s="61"/>
      <c r="AA46" s="183"/>
      <c r="AB46" s="59"/>
      <c r="AC46" s="59"/>
      <c r="AD46" s="59"/>
      <c r="AE46" s="60"/>
      <c r="AF46" s="59"/>
      <c r="AG46" s="61"/>
      <c r="AH46" s="59"/>
      <c r="AI46" s="59"/>
      <c r="AJ46" s="59"/>
      <c r="AK46" s="85" t="s">
        <v>44</v>
      </c>
      <c r="AL46" s="58"/>
      <c r="AM46" s="181"/>
      <c r="AN46" s="56"/>
      <c r="AO46" s="56"/>
      <c r="AP46" s="56"/>
      <c r="AQ46" s="57"/>
      <c r="AR46" s="56"/>
      <c r="AS46" s="58"/>
      <c r="AT46" s="56"/>
      <c r="AU46" s="56"/>
      <c r="AV46" s="56"/>
      <c r="AW46" s="54">
        <v>5</v>
      </c>
      <c r="AX46" s="55" t="s">
        <v>18</v>
      </c>
      <c r="AY46" s="179" t="str">
        <f ca="1">IFERROR(INDIRECT("fixtures!" &amp; [1]Dashboard!J1 &amp;355) - [1]Dashboard!K1/24,"TBC")</f>
        <v>TBC</v>
      </c>
      <c r="AZ46" s="53"/>
      <c r="BA46" s="53" t="s">
        <v>31</v>
      </c>
      <c r="BB46" s="53" t="s">
        <v>21</v>
      </c>
      <c r="BC46" s="54">
        <f>IF(ISBLANK([1]fixtures!$K355),"",[1]fixtures!$K355)</f>
        <v>1</v>
      </c>
      <c r="BD46" s="53" t="str">
        <f>IF(ISBLANK([1]fixtures!$L355),"",":")</f>
        <v>:</v>
      </c>
      <c r="BE46" s="55">
        <f>IF(ISBLANK([1]fixtures!$L355),"",[1]fixtures!$L355)</f>
        <v>0</v>
      </c>
      <c r="BF46" s="53" t="str">
        <f>IF(ISBLANK([1]fixtures!$L355),"",IF(BC46&gt;BE46,"W",IF(BC46=BE46,"D","L")))</f>
        <v>W</v>
      </c>
      <c r="BG46" s="53"/>
      <c r="BH46" s="53"/>
      <c r="BI46" s="83" t="s">
        <v>44</v>
      </c>
      <c r="BJ46" s="52"/>
      <c r="BK46" s="177"/>
      <c r="BL46" s="50"/>
      <c r="BM46" s="50"/>
      <c r="BN46" s="50"/>
      <c r="BO46" s="51"/>
      <c r="BP46" s="50"/>
      <c r="BQ46" s="52"/>
      <c r="BR46" s="50"/>
      <c r="BS46" s="50"/>
      <c r="BT46" s="50"/>
      <c r="BU46" s="48">
        <v>5</v>
      </c>
      <c r="BV46" s="49" t="s">
        <v>18</v>
      </c>
      <c r="BW46" s="175" t="str">
        <f ca="1">IFERROR(INDIRECT("fixtures!" &amp; [1]Dashboard!J1 &amp;356) - [1]Dashboard!K1/24,"TBC")</f>
        <v>TBC</v>
      </c>
      <c r="BX46" s="47"/>
      <c r="BY46" s="47" t="s">
        <v>26</v>
      </c>
      <c r="BZ46" s="47" t="s">
        <v>21</v>
      </c>
      <c r="CA46" s="48">
        <f>IF(ISBLANK([1]fixtures!$K356),"",[1]fixtures!$K356)</f>
        <v>5</v>
      </c>
      <c r="CB46" s="47" t="str">
        <f>IF(ISBLANK([1]fixtures!$L356),"",":")</f>
        <v>:</v>
      </c>
      <c r="CC46" s="49">
        <f>IF(ISBLANK([1]fixtures!$L356),"",[1]fixtures!$L356)</f>
        <v>0</v>
      </c>
      <c r="CD46" s="47" t="str">
        <f>IF(ISBLANK([1]fixtures!$L356),"",IF(CA46&gt;CC46,"W",IF(CA46=CC46,"D","L")))</f>
        <v>W</v>
      </c>
      <c r="CE46" s="47"/>
      <c r="CF46" s="47"/>
      <c r="CG46" s="81" t="s">
        <v>44</v>
      </c>
      <c r="CH46" s="46"/>
      <c r="CI46" s="173"/>
      <c r="CJ46" s="44"/>
      <c r="CK46" s="44"/>
      <c r="CL46" s="44"/>
      <c r="CM46" s="45"/>
      <c r="CN46" s="44"/>
      <c r="CO46" s="46"/>
      <c r="CP46" s="44"/>
      <c r="CQ46" s="44"/>
      <c r="CR46" s="44"/>
      <c r="CS46" s="102" t="s">
        <v>44</v>
      </c>
      <c r="CT46" s="43"/>
      <c r="CU46" s="171"/>
      <c r="CV46" s="41"/>
      <c r="CW46" s="41"/>
      <c r="CX46" s="41"/>
      <c r="CY46" s="42"/>
      <c r="CZ46" s="41"/>
      <c r="DA46" s="43"/>
      <c r="DB46" s="41"/>
      <c r="DC46" s="41"/>
      <c r="DD46" s="41"/>
      <c r="DE46" s="79" t="s">
        <v>44</v>
      </c>
      <c r="DF46" s="40"/>
      <c r="DG46" s="169"/>
      <c r="DH46" s="38"/>
      <c r="DI46" s="38"/>
      <c r="DJ46" s="38"/>
      <c r="DK46" s="39"/>
      <c r="DL46" s="38"/>
      <c r="DM46" s="40"/>
      <c r="DN46" s="38"/>
      <c r="DO46" s="38"/>
      <c r="DP46" s="38"/>
      <c r="DQ46" s="78" t="s">
        <v>44</v>
      </c>
      <c r="DR46" s="37"/>
      <c r="DS46" s="167"/>
      <c r="DT46" s="35"/>
      <c r="DU46" s="35"/>
      <c r="DV46" s="35"/>
      <c r="DW46" s="36"/>
      <c r="DX46" s="35"/>
      <c r="DY46" s="37"/>
      <c r="DZ46" s="35"/>
      <c r="EA46" s="35"/>
      <c r="EB46" s="35"/>
      <c r="EC46" s="99" t="s">
        <v>44</v>
      </c>
      <c r="ED46" s="34"/>
      <c r="EE46" s="190"/>
      <c r="EF46" s="32"/>
      <c r="EG46" s="32"/>
      <c r="EH46" s="32"/>
      <c r="EI46" s="33"/>
      <c r="EJ46" s="32"/>
      <c r="EK46" s="34"/>
      <c r="EL46" s="32"/>
      <c r="EM46" s="32"/>
      <c r="EN46" s="32"/>
      <c r="EO46" s="30">
        <v>4</v>
      </c>
      <c r="EP46" s="31" t="s">
        <v>39</v>
      </c>
      <c r="EQ46" s="164" t="str">
        <f ca="1">IFERROR(INDIRECT("fixtures!" &amp; [1]Dashboard!J1 &amp;354) - [1]Dashboard!K1/24,"TBC")</f>
        <v>TBC</v>
      </c>
      <c r="ER46" s="29"/>
      <c r="ES46" s="29" t="s">
        <v>28</v>
      </c>
      <c r="ET46" s="29" t="s">
        <v>21</v>
      </c>
      <c r="EU46" s="30">
        <f>IF(ISBLANK([1]fixtures!$K354),"",[1]fixtures!$K354)</f>
        <v>5</v>
      </c>
      <c r="EV46" s="29" t="str">
        <f>IF(ISBLANK([1]fixtures!$L354),"",":")</f>
        <v>:</v>
      </c>
      <c r="EW46" s="31">
        <f>IF(ISBLANK([1]fixtures!$L354),"",[1]fixtures!$L354)</f>
        <v>1</v>
      </c>
      <c r="EX46" s="29" t="str">
        <f>IF(ISBLANK([1]fixtures!$L354),"",IF(EU46&gt;EW46,"W",IF(EU46=EW46,"D","L")))</f>
        <v>W</v>
      </c>
      <c r="EY46" s="29"/>
      <c r="EZ46" s="29"/>
      <c r="FA46" s="27">
        <v>6</v>
      </c>
      <c r="FB46" s="28" t="s">
        <v>42</v>
      </c>
      <c r="FC46" s="189" t="str">
        <f ca="1">IFERROR(INDIRECT("fixtures!" &amp; [1]Dashboard!J1 &amp;358) - [1]Dashboard!K1/24,"TBC")</f>
        <v>TBC</v>
      </c>
      <c r="FD46" s="26"/>
      <c r="FE46" s="26" t="s">
        <v>37</v>
      </c>
      <c r="FF46" s="26" t="s">
        <v>16</v>
      </c>
      <c r="FG46" s="27">
        <f>IF(ISBLANK([1]fixtures!$L358),"",[1]fixtures!$L358)</f>
        <v>0</v>
      </c>
      <c r="FH46" s="26" t="str">
        <f>IF(ISBLANK([1]fixtures!$L358),"",":")</f>
        <v>:</v>
      </c>
      <c r="FI46" s="28">
        <f>IF(ISBLANK([1]fixtures!$K358),"",[1]fixtures!$K358)</f>
        <v>4</v>
      </c>
      <c r="FJ46" s="26" t="str">
        <f>IF(ISBLANK([1]fixtures!$L358),"",IF(FG46&gt;FI46,"W",IF(FG46=FI46,"D","L")))</f>
        <v>L</v>
      </c>
      <c r="FK46" s="26"/>
      <c r="FL46" s="26"/>
      <c r="FM46" s="24">
        <v>4</v>
      </c>
      <c r="FN46" s="25" t="s">
        <v>39</v>
      </c>
      <c r="FO46" s="161" t="str">
        <f ca="1">IFERROR(INDIRECT("fixtures!" &amp; [1]Dashboard!J1 &amp;352) - [1]Dashboard!K1/24,"TBC")</f>
        <v>TBC</v>
      </c>
      <c r="FP46" s="23"/>
      <c r="FQ46" s="23" t="s">
        <v>23</v>
      </c>
      <c r="FR46" s="23" t="s">
        <v>16</v>
      </c>
      <c r="FS46" s="24">
        <f>IF(ISBLANK([1]fixtures!$L352),"",[1]fixtures!$L352)</f>
        <v>4</v>
      </c>
      <c r="FT46" s="23" t="str">
        <f>IF(ISBLANK([1]fixtures!$L352),"",":")</f>
        <v>:</v>
      </c>
      <c r="FU46" s="25">
        <f>IF(ISBLANK([1]fixtures!$K352),"",[1]fixtures!$K352)</f>
        <v>1</v>
      </c>
      <c r="FV46" s="23" t="str">
        <f>IF(ISBLANK([1]fixtures!$L352),"",IF(FS46&gt;FU46,"W",IF(FS46=FU46,"D","L")))</f>
        <v>W</v>
      </c>
      <c r="FW46" s="23"/>
      <c r="FX46" s="23"/>
      <c r="FY46" s="95" t="s">
        <v>44</v>
      </c>
      <c r="FZ46" s="22"/>
      <c r="GA46" s="159"/>
      <c r="GB46" s="20"/>
      <c r="GC46" s="20"/>
      <c r="GD46" s="20"/>
      <c r="GE46" s="21"/>
      <c r="GF46" s="20"/>
      <c r="GG46" s="22"/>
      <c r="GH46" s="20"/>
      <c r="GI46" s="20"/>
      <c r="GJ46" s="20"/>
      <c r="GK46" s="72" t="s">
        <v>44</v>
      </c>
      <c r="GL46" s="19"/>
      <c r="GM46" s="157"/>
      <c r="GN46" s="17"/>
      <c r="GO46" s="17"/>
      <c r="GP46" s="17"/>
      <c r="GQ46" s="18"/>
      <c r="GR46" s="17"/>
      <c r="GS46" s="19"/>
      <c r="GT46" s="17"/>
      <c r="GU46" s="17"/>
      <c r="GV46" s="17"/>
      <c r="GW46" s="15">
        <v>5</v>
      </c>
      <c r="GX46" s="16" t="s">
        <v>18</v>
      </c>
      <c r="GY46" s="155" t="str">
        <f ca="1">IFERROR(INDIRECT("fixtures!" &amp; [1]Dashboard!J1 &amp;357) - [1]Dashboard!K1/24,"TBC")</f>
        <v>TBC</v>
      </c>
      <c r="GZ46" s="14"/>
      <c r="HA46" s="14" t="s">
        <v>17</v>
      </c>
      <c r="HB46" s="14" t="s">
        <v>16</v>
      </c>
      <c r="HC46" s="15">
        <f>IF(ISBLANK([1]fixtures!$L357),"",[1]fixtures!$L357)</f>
        <v>2</v>
      </c>
      <c r="HD46" s="14" t="str">
        <f>IF(ISBLANK([1]fixtures!$L357),"",":")</f>
        <v>:</v>
      </c>
      <c r="HE46" s="16">
        <f>IF(ISBLANK([1]fixtures!$K357),"",[1]fixtures!$K357)</f>
        <v>4</v>
      </c>
      <c r="HF46" s="14" t="str">
        <f>IF(ISBLANK([1]fixtures!$L357),"",IF(HC46&gt;HE46,"W",IF(HC46=HE46,"D","L")))</f>
        <v>L</v>
      </c>
      <c r="HG46" s="14"/>
      <c r="HH46" s="14"/>
      <c r="HI46" s="92" t="s">
        <v>44</v>
      </c>
      <c r="HJ46" s="13"/>
      <c r="HK46" s="153"/>
      <c r="HL46" s="11"/>
      <c r="HM46" s="11"/>
      <c r="HN46" s="11"/>
      <c r="HO46" s="12"/>
      <c r="HP46" s="11"/>
      <c r="HQ46" s="13"/>
      <c r="HR46" s="11"/>
      <c r="HS46" s="11"/>
      <c r="HT46" s="11"/>
      <c r="HU46" s="91" t="s">
        <v>44</v>
      </c>
      <c r="HV46" s="10"/>
      <c r="HW46" s="151"/>
      <c r="HX46" s="8"/>
      <c r="HY46" s="8"/>
      <c r="HZ46" s="8"/>
      <c r="IA46" s="9"/>
      <c r="IB46" s="8"/>
      <c r="IC46" s="10"/>
      <c r="ID46" s="8"/>
      <c r="IE46" s="8"/>
      <c r="IF46" s="8"/>
    </row>
    <row r="47" spans="1:252" x14ac:dyDescent="0.25">
      <c r="A47" s="67">
        <v>4</v>
      </c>
      <c r="B47" s="68" t="s">
        <v>39</v>
      </c>
      <c r="C47" s="187" t="str">
        <f ca="1">IFERROR(INDIRECT("fixtures!" &amp; [1]Dashboard!J1 &amp;350) - [1]Dashboard!K1/24,"TBC")</f>
        <v>TBC</v>
      </c>
      <c r="D47" s="66"/>
      <c r="E47" s="66" t="s">
        <v>32</v>
      </c>
      <c r="F47" s="66" t="s">
        <v>21</v>
      </c>
      <c r="G47" s="67">
        <f>IF(ISBLANK([1]fixtures!$K350),"",[1]fixtures!$K350)</f>
        <v>3</v>
      </c>
      <c r="H47" s="66" t="str">
        <f>IF(ISBLANK([1]fixtures!$L350),"",":")</f>
        <v>:</v>
      </c>
      <c r="I47" s="68">
        <f>IF(ISBLANK([1]fixtures!$L350),"",[1]fixtures!$L350)</f>
        <v>0</v>
      </c>
      <c r="J47" s="66" t="str">
        <f>IF(ISBLANK([1]fixtures!$L350),"",IF(G47&gt;I47,"W",IF(G47=I47,"D","L")))</f>
        <v>W</v>
      </c>
      <c r="K47" s="66"/>
      <c r="L47" s="66"/>
      <c r="M47" s="63">
        <v>5</v>
      </c>
      <c r="N47" s="64" t="s">
        <v>18</v>
      </c>
      <c r="O47" s="185" t="str">
        <f ca="1">IFERROR(INDIRECT("fixtures!" &amp; [1]Dashboard!J1 &amp;355) - [1]Dashboard!K1/24,"TBC")</f>
        <v>TBC</v>
      </c>
      <c r="P47" s="62"/>
      <c r="Q47" s="62" t="s">
        <v>25</v>
      </c>
      <c r="R47" s="62" t="s">
        <v>16</v>
      </c>
      <c r="S47" s="63">
        <f>IF(ISBLANK([1]fixtures!$L355),"",[1]fixtures!$L355)</f>
        <v>0</v>
      </c>
      <c r="T47" s="62" t="str">
        <f>IF(ISBLANK([1]fixtures!$L355),"",":")</f>
        <v>:</v>
      </c>
      <c r="U47" s="64">
        <f>IF(ISBLANK([1]fixtures!$K355),"",[1]fixtures!$K355)</f>
        <v>1</v>
      </c>
      <c r="V47" s="62" t="str">
        <f>IF(ISBLANK([1]fixtures!$L355),"",IF(S47&gt;U47,"W",IF(S47=U47,"D","L")))</f>
        <v>L</v>
      </c>
      <c r="W47" s="62"/>
      <c r="X47" s="62"/>
      <c r="Y47" s="60">
        <v>4</v>
      </c>
      <c r="Z47" s="61" t="s">
        <v>39</v>
      </c>
      <c r="AA47" s="183" t="str">
        <f ca="1">IFERROR(INDIRECT("fixtures!" &amp; [1]Dashboard!J1 &amp;350) - [1]Dashboard!K1/24,"TBC")</f>
        <v>TBC</v>
      </c>
      <c r="AB47" s="59"/>
      <c r="AC47" s="59" t="s">
        <v>30</v>
      </c>
      <c r="AD47" s="59" t="s">
        <v>16</v>
      </c>
      <c r="AE47" s="60">
        <f>IF(ISBLANK([1]fixtures!$L350),"",[1]fixtures!$L350)</f>
        <v>0</v>
      </c>
      <c r="AF47" s="59" t="str">
        <f>IF(ISBLANK([1]fixtures!$L350),"",":")</f>
        <v>:</v>
      </c>
      <c r="AG47" s="61">
        <f>IF(ISBLANK([1]fixtures!$K350),"",[1]fixtures!$K350)</f>
        <v>3</v>
      </c>
      <c r="AH47" s="59" t="str">
        <f>IF(ISBLANK([1]fixtures!$L350),"",IF(AE47&gt;AG47,"W",IF(AE47=AG47,"D","L")))</f>
        <v>L</v>
      </c>
      <c r="AI47" s="59"/>
      <c r="AJ47" s="59"/>
      <c r="AK47" s="57">
        <v>4</v>
      </c>
      <c r="AL47" s="58" t="s">
        <v>39</v>
      </c>
      <c r="AM47" s="181" t="str">
        <f ca="1">IFERROR(INDIRECT("fixtures!" &amp; [1]Dashboard!J1 &amp;351) - [1]Dashboard!K1/24,"TBC")</f>
        <v>TBC</v>
      </c>
      <c r="AN47" s="56"/>
      <c r="AO47" s="56" t="s">
        <v>27</v>
      </c>
      <c r="AP47" s="56" t="s">
        <v>21</v>
      </c>
      <c r="AQ47" s="57">
        <f>IF(ISBLANK([1]fixtures!$K351),"",[1]fixtures!$K351)</f>
        <v>0</v>
      </c>
      <c r="AR47" s="56" t="str">
        <f>IF(ISBLANK([1]fixtures!$L351),"",":")</f>
        <v>:</v>
      </c>
      <c r="AS47" s="58">
        <f>IF(ISBLANK([1]fixtures!$L351),"",[1]fixtures!$L351)</f>
        <v>0</v>
      </c>
      <c r="AT47" s="56" t="str">
        <f>IF(ISBLANK([1]fixtures!$L351),"",IF(AQ47&gt;AS47,"W",IF(AQ47=AS47,"D","L")))</f>
        <v>D</v>
      </c>
      <c r="AU47" s="56"/>
      <c r="AV47" s="56"/>
      <c r="AW47" s="54">
        <v>11</v>
      </c>
      <c r="AX47" s="55" t="s">
        <v>39</v>
      </c>
      <c r="AY47" s="179" t="str">
        <f ca="1">IFERROR(INDIRECT("fixtures!" &amp; [1]Dashboard!J1 &amp;362) - [1]Dashboard!K1/24,"TBC")</f>
        <v>TBC</v>
      </c>
      <c r="AZ47" s="53"/>
      <c r="BA47" s="53" t="s">
        <v>35</v>
      </c>
      <c r="BB47" s="53" t="s">
        <v>16</v>
      </c>
      <c r="BC47" s="54">
        <f>IF(ISBLANK([1]fixtures!$L362),"",[1]fixtures!$L362)</f>
        <v>1</v>
      </c>
      <c r="BD47" s="53" t="str">
        <f>IF(ISBLANK([1]fixtures!$L362),"",":")</f>
        <v>:</v>
      </c>
      <c r="BE47" s="55">
        <f>IF(ISBLANK([1]fixtures!$K362),"",[1]fixtures!$K362)</f>
        <v>1</v>
      </c>
      <c r="BF47" s="53" t="str">
        <f>IF(ISBLANK([1]fixtures!$L362),"",IF(BC47&gt;BE47,"W",IF(BC47=BE47,"D","L")))</f>
        <v>D</v>
      </c>
      <c r="BG47" s="53"/>
      <c r="BH47" s="53"/>
      <c r="BI47" s="51">
        <v>4</v>
      </c>
      <c r="BJ47" s="52" t="s">
        <v>39</v>
      </c>
      <c r="BK47" s="177" t="str">
        <f ca="1">IFERROR(INDIRECT("fixtures!" &amp; [1]Dashboard!J1 &amp;352) - [1]Dashboard!K1/24,"TBC")</f>
        <v>TBC</v>
      </c>
      <c r="BL47" s="50"/>
      <c r="BM47" s="50" t="s">
        <v>35</v>
      </c>
      <c r="BN47" s="50" t="s">
        <v>21</v>
      </c>
      <c r="BO47" s="51">
        <f>IF(ISBLANK([1]fixtures!$K352),"",[1]fixtures!$K352)</f>
        <v>1</v>
      </c>
      <c r="BP47" s="50" t="str">
        <f>IF(ISBLANK([1]fixtures!$L352),"",":")</f>
        <v>:</v>
      </c>
      <c r="BQ47" s="52">
        <f>IF(ISBLANK([1]fixtures!$L352),"",[1]fixtures!$L352)</f>
        <v>4</v>
      </c>
      <c r="BR47" s="50" t="str">
        <f>IF(ISBLANK([1]fixtures!$L352),"",IF(BO47&gt;BQ47,"W",IF(BO47=BQ47,"D","L")))</f>
        <v>L</v>
      </c>
      <c r="BS47" s="50"/>
      <c r="BT47" s="50"/>
      <c r="BU47" s="48">
        <v>11</v>
      </c>
      <c r="BV47" s="49" t="s">
        <v>39</v>
      </c>
      <c r="BW47" s="175" t="str">
        <f ca="1">IFERROR(INDIRECT("fixtures!" &amp; [1]Dashboard!J1 &amp;366) - [1]Dashboard!K1/24,"TBC")</f>
        <v>TBC</v>
      </c>
      <c r="BX47" s="47"/>
      <c r="BY47" s="47" t="s">
        <v>33</v>
      </c>
      <c r="BZ47" s="47" t="s">
        <v>16</v>
      </c>
      <c r="CA47" s="48">
        <f>IF(ISBLANK([1]fixtures!$L366),"",[1]fixtures!$L366)</f>
        <v>3</v>
      </c>
      <c r="CB47" s="47" t="str">
        <f>IF(ISBLANK([1]fixtures!$L366),"",":")</f>
        <v>:</v>
      </c>
      <c r="CC47" s="49">
        <f>IF(ISBLANK([1]fixtures!$K366),"",[1]fixtures!$K366)</f>
        <v>2</v>
      </c>
      <c r="CD47" s="47" t="str">
        <f>IF(ISBLANK([1]fixtures!$L366),"",IF(CA47&gt;CC47,"W",IF(CA47=CC47,"D","L")))</f>
        <v>W</v>
      </c>
      <c r="CE47" s="47"/>
      <c r="CF47" s="47"/>
      <c r="CG47" s="45">
        <v>6</v>
      </c>
      <c r="CH47" s="46" t="s">
        <v>42</v>
      </c>
      <c r="CI47" s="173" t="str">
        <f ca="1">IFERROR(INDIRECT("fixtures!" &amp; [1]Dashboard!J1 &amp;358) - [1]Dashboard!K1/24,"TBC")</f>
        <v>TBC</v>
      </c>
      <c r="CJ47" s="44"/>
      <c r="CK47" s="44" t="s">
        <v>34</v>
      </c>
      <c r="CL47" s="44" t="s">
        <v>21</v>
      </c>
      <c r="CM47" s="45">
        <f>IF(ISBLANK([1]fixtures!$K358),"",[1]fixtures!$K358)</f>
        <v>4</v>
      </c>
      <c r="CN47" s="44" t="str">
        <f>IF(ISBLANK([1]fixtures!$L358),"",":")</f>
        <v>:</v>
      </c>
      <c r="CO47" s="46">
        <f>IF(ISBLANK([1]fixtures!$L358),"",[1]fixtures!$L358)</f>
        <v>0</v>
      </c>
      <c r="CP47" s="44" t="str">
        <f>IF(ISBLANK([1]fixtures!$L358),"",IF(CM47&gt;CO47,"W",IF(CM47=CO47,"D","L")))</f>
        <v>W</v>
      </c>
      <c r="CQ47" s="44"/>
      <c r="CR47" s="44"/>
      <c r="CS47" s="42">
        <v>3</v>
      </c>
      <c r="CT47" s="43" t="s">
        <v>43</v>
      </c>
      <c r="CU47" s="171" t="str">
        <f ca="1">IFERROR(INDIRECT("fixtures!" &amp; [1]Dashboard!J1 &amp;349) - [1]Dashboard!K1/24,"TBC")</f>
        <v>TBC</v>
      </c>
      <c r="CV47" s="41"/>
      <c r="CW47" s="41" t="s">
        <v>29</v>
      </c>
      <c r="CX47" s="41" t="s">
        <v>16</v>
      </c>
      <c r="CY47" s="42">
        <f>IF(ISBLANK([1]fixtures!$L349),"",[1]fixtures!$L349)</f>
        <v>1</v>
      </c>
      <c r="CZ47" s="41" t="str">
        <f>IF(ISBLANK([1]fixtures!$L349),"",":")</f>
        <v>:</v>
      </c>
      <c r="DA47" s="43">
        <f>IF(ISBLANK([1]fixtures!$K349),"",[1]fixtures!$K349)</f>
        <v>1</v>
      </c>
      <c r="DB47" s="41" t="str">
        <f>IF(ISBLANK([1]fixtures!$L349),"",IF(CY47&gt;DA47,"W",IF(CY47=DA47,"D","L")))</f>
        <v>D</v>
      </c>
      <c r="DC47" s="41"/>
      <c r="DD47" s="41"/>
      <c r="DE47" s="39">
        <v>4</v>
      </c>
      <c r="DF47" s="40" t="s">
        <v>39</v>
      </c>
      <c r="DG47" s="169" t="str">
        <f ca="1">IFERROR(INDIRECT("fixtures!" &amp; [1]Dashboard!J1 &amp;351) - [1]Dashboard!K1/24,"TBC")</f>
        <v>TBC</v>
      </c>
      <c r="DH47" s="38"/>
      <c r="DI47" s="38" t="s">
        <v>24</v>
      </c>
      <c r="DJ47" s="38" t="s">
        <v>16</v>
      </c>
      <c r="DK47" s="39">
        <f>IF(ISBLANK([1]fixtures!$L351),"",[1]fixtures!$L351)</f>
        <v>0</v>
      </c>
      <c r="DL47" s="38" t="str">
        <f>IF(ISBLANK([1]fixtures!$L351),"",":")</f>
        <v>:</v>
      </c>
      <c r="DM47" s="40">
        <f>IF(ISBLANK([1]fixtures!$K351),"",[1]fixtures!$K351)</f>
        <v>0</v>
      </c>
      <c r="DN47" s="38" t="str">
        <f>IF(ISBLANK([1]fixtures!$L351),"",IF(DK47&gt;DM47,"W",IF(DK47=DM47,"D","L")))</f>
        <v>D</v>
      </c>
      <c r="DO47" s="38"/>
      <c r="DP47" s="38"/>
      <c r="DQ47" s="36">
        <v>5</v>
      </c>
      <c r="DR47" s="37" t="s">
        <v>18</v>
      </c>
      <c r="DS47" s="167" t="str">
        <f ca="1">IFERROR(INDIRECT("fixtures!" &amp; [1]Dashboard!J1 &amp;357) - [1]Dashboard!K1/24,"TBC")</f>
        <v>TBC</v>
      </c>
      <c r="DT47" s="35"/>
      <c r="DU47" s="35" t="s">
        <v>22</v>
      </c>
      <c r="DV47" s="35" t="s">
        <v>21</v>
      </c>
      <c r="DW47" s="36">
        <f>IF(ISBLANK([1]fixtures!$K357),"",[1]fixtures!$K357)</f>
        <v>4</v>
      </c>
      <c r="DX47" s="35" t="str">
        <f>IF(ISBLANK([1]fixtures!$L357),"",":")</f>
        <v>:</v>
      </c>
      <c r="DY47" s="37">
        <f>IF(ISBLANK([1]fixtures!$L357),"",[1]fixtures!$L357)</f>
        <v>2</v>
      </c>
      <c r="DZ47" s="35" t="str">
        <f>IF(ISBLANK([1]fixtures!$L357),"",IF(DW47&gt;DY47,"W",IF(DW47=DY47,"D","L")))</f>
        <v>W</v>
      </c>
      <c r="EA47" s="35"/>
      <c r="EB47" s="35"/>
      <c r="EC47" s="33">
        <v>3</v>
      </c>
      <c r="ED47" s="34" t="s">
        <v>43</v>
      </c>
      <c r="EE47" s="190" t="str">
        <f ca="1">IFERROR(INDIRECT("fixtures!" &amp; [1]Dashboard!J1 &amp;349) - [1]Dashboard!K1/24,"TBC")</f>
        <v>TBC</v>
      </c>
      <c r="EF47" s="32"/>
      <c r="EG47" s="32" t="s">
        <v>38</v>
      </c>
      <c r="EH47" s="32" t="s">
        <v>21</v>
      </c>
      <c r="EI47" s="33">
        <f>IF(ISBLANK([1]fixtures!$K349),"",[1]fixtures!$K349)</f>
        <v>1</v>
      </c>
      <c r="EJ47" s="32" t="str">
        <f>IF(ISBLANK([1]fixtures!$L349),"",":")</f>
        <v>:</v>
      </c>
      <c r="EK47" s="34">
        <f>IF(ISBLANK([1]fixtures!$L349),"",[1]fixtures!$L349)</f>
        <v>1</v>
      </c>
      <c r="EL47" s="32" t="str">
        <f>IF(ISBLANK([1]fixtures!$L349),"",IF(EI47&gt;EK47,"W",IF(EI47=EK47,"D","L")))</f>
        <v>D</v>
      </c>
      <c r="EM47" s="32"/>
      <c r="EN47" s="32"/>
      <c r="EO47" s="30">
        <v>11</v>
      </c>
      <c r="EP47" s="31" t="s">
        <v>39</v>
      </c>
      <c r="EQ47" s="164" t="str">
        <f ca="1">IFERROR(INDIRECT("fixtures!" &amp; [1]Dashboard!J1 &amp;359) - [1]Dashboard!K1/24,"TBC")</f>
        <v>TBC</v>
      </c>
      <c r="ER47" s="29"/>
      <c r="ES47" s="29" t="s">
        <v>27</v>
      </c>
      <c r="ET47" s="29" t="s">
        <v>16</v>
      </c>
      <c r="EU47" s="30">
        <f>IF(ISBLANK([1]fixtures!$L359),"",[1]fixtures!$L359)</f>
        <v>4</v>
      </c>
      <c r="EV47" s="29" t="str">
        <f>IF(ISBLANK([1]fixtures!$L359),"",":")</f>
        <v>:</v>
      </c>
      <c r="EW47" s="31">
        <f>IF(ISBLANK([1]fixtures!$K359),"",[1]fixtures!$K359)</f>
        <v>0</v>
      </c>
      <c r="EX47" s="29" t="str">
        <f>IF(ISBLANK([1]fixtures!$L359),"",IF(EU47&gt;EW47,"W",IF(EU47=EW47,"D","L")))</f>
        <v>W</v>
      </c>
      <c r="EY47" s="29"/>
      <c r="EZ47" s="29"/>
      <c r="FA47" s="27">
        <v>12</v>
      </c>
      <c r="FB47" s="28" t="s">
        <v>18</v>
      </c>
      <c r="FC47" s="189" t="str">
        <f ca="1">IFERROR(INDIRECT("fixtures!" &amp; [1]Dashboard!J1 &amp;367) - [1]Dashboard!K1/24,"TBC")</f>
        <v>TBC</v>
      </c>
      <c r="FD47" s="26"/>
      <c r="FE47" s="26" t="s">
        <v>30</v>
      </c>
      <c r="FF47" s="26" t="s">
        <v>21</v>
      </c>
      <c r="FG47" s="27">
        <f>IF(ISBLANK([1]fixtures!$K367),"",[1]fixtures!$K367)</f>
        <v>0</v>
      </c>
      <c r="FH47" s="26" t="str">
        <f>IF(ISBLANK([1]fixtures!$L367),"",":")</f>
        <v>:</v>
      </c>
      <c r="FI47" s="28">
        <f>IF(ISBLANK([1]fixtures!$L367),"",[1]fixtures!$L367)</f>
        <v>1</v>
      </c>
      <c r="FJ47" s="26" t="str">
        <f>IF(ISBLANK([1]fixtures!$L367),"",IF(FG47&gt;FI47,"W",IF(FG47=FI47,"D","L")))</f>
        <v>L</v>
      </c>
      <c r="FK47" s="26"/>
      <c r="FL47" s="26"/>
      <c r="FM47" s="24">
        <v>11</v>
      </c>
      <c r="FN47" s="25" t="s">
        <v>39</v>
      </c>
      <c r="FO47" s="161" t="str">
        <f ca="1">IFERROR(INDIRECT("fixtures!" &amp; [1]Dashboard!J1 &amp;362) - [1]Dashboard!K1/24,"TBC")</f>
        <v>TBC</v>
      </c>
      <c r="FP47" s="23"/>
      <c r="FQ47" s="23" t="s">
        <v>25</v>
      </c>
      <c r="FR47" s="23" t="s">
        <v>21</v>
      </c>
      <c r="FS47" s="24">
        <f>IF(ISBLANK([1]fixtures!$K362),"",[1]fixtures!$K362)</f>
        <v>1</v>
      </c>
      <c r="FT47" s="23" t="str">
        <f>IF(ISBLANK([1]fixtures!$L362),"",":")</f>
        <v>:</v>
      </c>
      <c r="FU47" s="25">
        <f>IF(ISBLANK([1]fixtures!$L362),"",[1]fixtures!$L362)</f>
        <v>1</v>
      </c>
      <c r="FV47" s="23" t="str">
        <f>IF(ISBLANK([1]fixtures!$L362),"",IF(FS47&gt;FU47,"W",IF(FS47=FU47,"D","L")))</f>
        <v>D</v>
      </c>
      <c r="FW47" s="23"/>
      <c r="FX47" s="23"/>
      <c r="FY47" s="21">
        <v>4</v>
      </c>
      <c r="FZ47" s="22" t="s">
        <v>39</v>
      </c>
      <c r="GA47" s="159" t="str">
        <f ca="1">IFERROR(INDIRECT("fixtures!" &amp; [1]Dashboard!J1 &amp;353) - [1]Dashboard!K1/24,"TBC")</f>
        <v>TBC</v>
      </c>
      <c r="GB47" s="20"/>
      <c r="GC47" s="20" t="s">
        <v>20</v>
      </c>
      <c r="GD47" s="20" t="s">
        <v>16</v>
      </c>
      <c r="GE47" s="21">
        <f>IF(ISBLANK([1]fixtures!$L353),"",[1]fixtures!$L353)</f>
        <v>3</v>
      </c>
      <c r="GF47" s="20" t="str">
        <f>IF(ISBLANK([1]fixtures!$L353),"",":")</f>
        <v>:</v>
      </c>
      <c r="GG47" s="22">
        <f>IF(ISBLANK([1]fixtures!$K353),"",[1]fixtures!$K353)</f>
        <v>1</v>
      </c>
      <c r="GH47" s="20" t="str">
        <f>IF(ISBLANK([1]fixtures!$L353),"",IF(GE47&gt;GG47,"W",IF(GE47=GG47,"D","L")))</f>
        <v>W</v>
      </c>
      <c r="GI47" s="20"/>
      <c r="GJ47" s="20"/>
      <c r="GK47" s="18">
        <v>4</v>
      </c>
      <c r="GL47" s="19" t="s">
        <v>39</v>
      </c>
      <c r="GM47" s="157" t="str">
        <f ca="1">IFERROR(INDIRECT("fixtures!" &amp; [1]Dashboard!J1 &amp;353) - [1]Dashboard!K1/24,"TBC")</f>
        <v>TBC</v>
      </c>
      <c r="GN47" s="17"/>
      <c r="GO47" s="17" t="s">
        <v>33</v>
      </c>
      <c r="GP47" s="17" t="s">
        <v>21</v>
      </c>
      <c r="GQ47" s="18">
        <f>IF(ISBLANK([1]fixtures!$K353),"",[1]fixtures!$K353)</f>
        <v>1</v>
      </c>
      <c r="GR47" s="17" t="str">
        <f>IF(ISBLANK([1]fixtures!$L353),"",":")</f>
        <v>:</v>
      </c>
      <c r="GS47" s="19">
        <f>IF(ISBLANK([1]fixtures!$L353),"",[1]fixtures!$L353)</f>
        <v>3</v>
      </c>
      <c r="GT47" s="17" t="str">
        <f>IF(ISBLANK([1]fixtures!$L353),"",IF(GQ47&gt;GS47,"W",IF(GQ47=GS47,"D","L")))</f>
        <v>L</v>
      </c>
      <c r="GU47" s="17"/>
      <c r="GV47" s="17"/>
      <c r="GW47" s="15">
        <v>11</v>
      </c>
      <c r="GX47" s="16" t="s">
        <v>39</v>
      </c>
      <c r="GY47" s="155" t="str">
        <f ca="1">IFERROR(INDIRECT("fixtures!" &amp; [1]Dashboard!J1 &amp;363) - [1]Dashboard!K1/24,"TBC")</f>
        <v>TBC</v>
      </c>
      <c r="GZ47" s="14"/>
      <c r="HA47" s="14" t="s">
        <v>23</v>
      </c>
      <c r="HB47" s="14" t="s">
        <v>21</v>
      </c>
      <c r="HC47" s="15">
        <f>IF(ISBLANK([1]fixtures!$K363),"",[1]fixtures!$K363)</f>
        <v>2</v>
      </c>
      <c r="HD47" s="14" t="str">
        <f>IF(ISBLANK([1]fixtures!$L363),"",":")</f>
        <v>:</v>
      </c>
      <c r="HE47" s="16">
        <f>IF(ISBLANK([1]fixtures!$L363),"",[1]fixtures!$L363)</f>
        <v>1</v>
      </c>
      <c r="HF47" s="14" t="str">
        <f>IF(ISBLANK([1]fixtures!$L363),"",IF(HC47&gt;HE47,"W",IF(HC47=HE47,"D","L")))</f>
        <v>W</v>
      </c>
      <c r="HG47" s="14"/>
      <c r="HH47" s="14"/>
      <c r="HI47" s="12">
        <v>5</v>
      </c>
      <c r="HJ47" s="13" t="s">
        <v>18</v>
      </c>
      <c r="HK47" s="153" t="str">
        <f ca="1">IFERROR(INDIRECT("fixtures!" &amp; [1]Dashboard!J1 &amp;356) - [1]Dashboard!K1/24,"TBC")</f>
        <v>TBC</v>
      </c>
      <c r="HL47" s="11"/>
      <c r="HM47" s="11" t="s">
        <v>36</v>
      </c>
      <c r="HN47" s="11" t="s">
        <v>16</v>
      </c>
      <c r="HO47" s="12">
        <f>IF(ISBLANK([1]fixtures!$L356),"",[1]fixtures!$L356)</f>
        <v>0</v>
      </c>
      <c r="HP47" s="11" t="str">
        <f>IF(ISBLANK([1]fixtures!$L356),"",":")</f>
        <v>:</v>
      </c>
      <c r="HQ47" s="13">
        <f>IF(ISBLANK([1]fixtures!$K356),"",[1]fixtures!$K356)</f>
        <v>5</v>
      </c>
      <c r="HR47" s="11" t="str">
        <f>IF(ISBLANK([1]fixtures!$L356),"",IF(HO47&gt;HQ47,"W",IF(HO47=HQ47,"D","L")))</f>
        <v>L</v>
      </c>
      <c r="HS47" s="11"/>
      <c r="HT47" s="11"/>
      <c r="HU47" s="9">
        <v>4</v>
      </c>
      <c r="HV47" s="10" t="s">
        <v>39</v>
      </c>
      <c r="HW47" s="151" t="str">
        <f ca="1">IFERROR(INDIRECT("fixtures!" &amp; [1]Dashboard!J1 &amp;354) - [1]Dashboard!K1/24,"TBC")</f>
        <v>TBC</v>
      </c>
      <c r="HX47" s="8"/>
      <c r="HY47" s="8" t="s">
        <v>19</v>
      </c>
      <c r="HZ47" s="8" t="s">
        <v>16</v>
      </c>
      <c r="IA47" s="9">
        <f>IF(ISBLANK([1]fixtures!$L354),"",[1]fixtures!$L354)</f>
        <v>1</v>
      </c>
      <c r="IB47" s="8" t="str">
        <f>IF(ISBLANK([1]fixtures!$L354),"",":")</f>
        <v>:</v>
      </c>
      <c r="IC47" s="10">
        <f>IF(ISBLANK([1]fixtures!$K354),"",[1]fixtures!$K354)</f>
        <v>5</v>
      </c>
      <c r="ID47" s="8" t="str">
        <f>IF(ISBLANK([1]fixtures!$L354),"",IF(IA47&gt;IC47,"W",IF(IA47=IC47,"D","L")))</f>
        <v>L</v>
      </c>
      <c r="IE47" s="8"/>
      <c r="IF47" s="8"/>
    </row>
    <row r="48" spans="1:252" x14ac:dyDescent="0.25">
      <c r="A48" s="67">
        <v>12</v>
      </c>
      <c r="B48" s="68" t="s">
        <v>18</v>
      </c>
      <c r="C48" s="187" t="str">
        <f ca="1">IFERROR(INDIRECT("fixtures!" &amp; [1]Dashboard!J1 &amp;367) - [1]Dashboard!K1/24,"TBC")</f>
        <v>TBC</v>
      </c>
      <c r="D48" s="66"/>
      <c r="E48" s="66" t="s">
        <v>34</v>
      </c>
      <c r="F48" s="66" t="s">
        <v>16</v>
      </c>
      <c r="G48" s="67">
        <f>IF(ISBLANK([1]fixtures!$L367),"",[1]fixtures!$L367)</f>
        <v>1</v>
      </c>
      <c r="H48" s="66" t="str">
        <f>IF(ISBLANK([1]fixtures!$L367),"",":")</f>
        <v>:</v>
      </c>
      <c r="I48" s="68">
        <f>IF(ISBLANK([1]fixtures!$K367),"",[1]fixtures!$K367)</f>
        <v>0</v>
      </c>
      <c r="J48" s="66" t="str">
        <f>IF(ISBLANK([1]fixtures!$L367),"",IF(G48&gt;I48,"W",IF(G48=I48,"D","L")))</f>
        <v>W</v>
      </c>
      <c r="K48" s="66"/>
      <c r="L48" s="66"/>
      <c r="M48" s="63">
        <v>13</v>
      </c>
      <c r="N48" s="64" t="s">
        <v>42</v>
      </c>
      <c r="O48" s="185" t="str">
        <f ca="1">IFERROR(INDIRECT("fixtures!" &amp; [1]Dashboard!J1 &amp;368) - [1]Dashboard!K1/24,"TBC")</f>
        <v>TBC</v>
      </c>
      <c r="P48" s="62"/>
      <c r="Q48" s="62" t="s">
        <v>17</v>
      </c>
      <c r="R48" s="62" t="s">
        <v>21</v>
      </c>
      <c r="S48" s="63">
        <f>IF(ISBLANK([1]fixtures!$K368),"",[1]fixtures!$K368)</f>
        <v>3</v>
      </c>
      <c r="T48" s="62" t="str">
        <f>IF(ISBLANK([1]fixtures!$L368),"",":")</f>
        <v>:</v>
      </c>
      <c r="U48" s="64">
        <f>IF(ISBLANK([1]fixtures!$L368),"",[1]fixtures!$L368)</f>
        <v>3</v>
      </c>
      <c r="V48" s="62" t="str">
        <f>IF(ISBLANK([1]fixtures!$L368),"",IF(S48&gt;U48,"W",IF(S48=U48,"D","L")))</f>
        <v>D</v>
      </c>
      <c r="W48" s="62"/>
      <c r="X48" s="62"/>
      <c r="Y48" s="60">
        <v>11</v>
      </c>
      <c r="Z48" s="61" t="s">
        <v>39</v>
      </c>
      <c r="AA48" s="183" t="str">
        <f ca="1">IFERROR(INDIRECT("fixtures!" &amp; [1]Dashboard!J1 &amp;360) - [1]Dashboard!K1/24,"TBC")</f>
        <v>TBC</v>
      </c>
      <c r="AB48" s="59"/>
      <c r="AC48" s="59" t="s">
        <v>24</v>
      </c>
      <c r="AD48" s="59" t="s">
        <v>21</v>
      </c>
      <c r="AE48" s="60">
        <f>IF(ISBLANK([1]fixtures!$K360),"",[1]fixtures!$K360)</f>
        <v>1</v>
      </c>
      <c r="AF48" s="59" t="str">
        <f>IF(ISBLANK([1]fixtures!$L360),"",":")</f>
        <v>:</v>
      </c>
      <c r="AG48" s="61">
        <f>IF(ISBLANK([1]fixtures!$L360),"",[1]fixtures!$L360)</f>
        <v>2</v>
      </c>
      <c r="AH48" s="59" t="str">
        <f>IF(ISBLANK([1]fixtures!$L360),"",IF(AE48&gt;AG48,"W",IF(AE48=AG48,"D","L")))</f>
        <v>L</v>
      </c>
      <c r="AI48" s="59"/>
      <c r="AJ48" s="59"/>
      <c r="AK48" s="57">
        <v>11</v>
      </c>
      <c r="AL48" s="58" t="s">
        <v>39</v>
      </c>
      <c r="AM48" s="181" t="str">
        <f ca="1">IFERROR(INDIRECT("fixtures!" &amp; [1]Dashboard!J1 &amp;360) - [1]Dashboard!K1/24,"TBC")</f>
        <v>TBC</v>
      </c>
      <c r="AN48" s="56"/>
      <c r="AO48" s="56" t="s">
        <v>32</v>
      </c>
      <c r="AP48" s="56" t="s">
        <v>16</v>
      </c>
      <c r="AQ48" s="57">
        <f>IF(ISBLANK([1]fixtures!$L360),"",[1]fixtures!$L360)</f>
        <v>2</v>
      </c>
      <c r="AR48" s="56" t="str">
        <f>IF(ISBLANK([1]fixtures!$L360),"",":")</f>
        <v>:</v>
      </c>
      <c r="AS48" s="58">
        <f>IF(ISBLANK([1]fixtures!$K360),"",[1]fixtures!$K360)</f>
        <v>1</v>
      </c>
      <c r="AT48" s="56" t="str">
        <f>IF(ISBLANK([1]fixtures!$L360),"",IF(AQ48&gt;AS48,"W",IF(AQ48=AS48,"D","L")))</f>
        <v>W</v>
      </c>
      <c r="AU48" s="56"/>
      <c r="AV48" s="56"/>
      <c r="AW48" s="54">
        <v>15</v>
      </c>
      <c r="AX48" s="55" t="s">
        <v>41</v>
      </c>
      <c r="AY48" s="179" t="str">
        <f ca="1">IFERROR(INDIRECT("fixtures!" &amp; [1]Dashboard!J1 &amp;370) - [1]Dashboard!K1/24,"TBC")</f>
        <v>TBC</v>
      </c>
      <c r="AZ48" s="53"/>
      <c r="BA48" s="53" t="s">
        <v>36</v>
      </c>
      <c r="BB48" s="53" t="s">
        <v>21</v>
      </c>
      <c r="BC48" s="54">
        <f>IF(ISBLANK([1]fixtures!$K370),"",[1]fixtures!$K370)</f>
        <v>1</v>
      </c>
      <c r="BD48" s="53" t="str">
        <f>IF(ISBLANK([1]fixtures!$L370),"",":")</f>
        <v>:</v>
      </c>
      <c r="BE48" s="55">
        <f>IF(ISBLANK([1]fixtures!$L370),"",[1]fixtures!$L370)</f>
        <v>2</v>
      </c>
      <c r="BF48" s="53" t="str">
        <f>IF(ISBLANK([1]fixtures!$L370),"",IF(BC48&gt;BE48,"W",IF(BC48=BE48,"D","L")))</f>
        <v>L</v>
      </c>
      <c r="BG48" s="53"/>
      <c r="BH48" s="53"/>
      <c r="BI48" s="51">
        <v>11</v>
      </c>
      <c r="BJ48" s="52" t="s">
        <v>39</v>
      </c>
      <c r="BK48" s="177" t="str">
        <f ca="1">IFERROR(INDIRECT("fixtures!" &amp; [1]Dashboard!J1 &amp;363) - [1]Dashboard!K1/24,"TBC")</f>
        <v>TBC</v>
      </c>
      <c r="BL48" s="50"/>
      <c r="BM48" s="50" t="s">
        <v>22</v>
      </c>
      <c r="BN48" s="50" t="s">
        <v>16</v>
      </c>
      <c r="BO48" s="51">
        <f>IF(ISBLANK([1]fixtures!$L363),"",[1]fixtures!$L363)</f>
        <v>1</v>
      </c>
      <c r="BP48" s="50" t="str">
        <f>IF(ISBLANK([1]fixtures!$L363),"",":")</f>
        <v>:</v>
      </c>
      <c r="BQ48" s="52">
        <f>IF(ISBLANK([1]fixtures!$K363),"",[1]fixtures!$K363)</f>
        <v>2</v>
      </c>
      <c r="BR48" s="50" t="str">
        <f>IF(ISBLANK([1]fixtures!$L363),"",IF(BO48&gt;BQ48,"W",IF(BO48=BQ48,"D","L")))</f>
        <v>L</v>
      </c>
      <c r="BS48" s="50"/>
      <c r="BT48" s="50"/>
      <c r="BU48" s="48">
        <v>15</v>
      </c>
      <c r="BV48" s="49" t="s">
        <v>41</v>
      </c>
      <c r="BW48" s="175" t="str">
        <f ca="1">IFERROR(INDIRECT("fixtures!" &amp; [1]Dashboard!J1 &amp;370) - [1]Dashboard!K1/24,"TBC")</f>
        <v>TBC</v>
      </c>
      <c r="BX48" s="47"/>
      <c r="BY48" s="47" t="s">
        <v>25</v>
      </c>
      <c r="BZ48" s="47" t="s">
        <v>16</v>
      </c>
      <c r="CA48" s="48">
        <f>IF(ISBLANK([1]fixtures!$L370),"",[1]fixtures!$L370)</f>
        <v>2</v>
      </c>
      <c r="CB48" s="47" t="str">
        <f>IF(ISBLANK([1]fixtures!$L370),"",":")</f>
        <v>:</v>
      </c>
      <c r="CC48" s="49">
        <f>IF(ISBLANK([1]fixtures!$K370),"",[1]fixtures!$K370)</f>
        <v>1</v>
      </c>
      <c r="CD48" s="47" t="str">
        <f>IF(ISBLANK([1]fixtures!$L370),"",IF(CA48&gt;CC48,"W",IF(CA48=CC48,"D","L")))</f>
        <v>W</v>
      </c>
      <c r="CE48" s="47"/>
      <c r="CF48" s="47"/>
      <c r="CG48" s="45">
        <v>11</v>
      </c>
      <c r="CH48" s="46" t="s">
        <v>39</v>
      </c>
      <c r="CI48" s="173" t="str">
        <f ca="1">IFERROR(INDIRECT("fixtures!" &amp; [1]Dashboard!J1 &amp;365) - [1]Dashboard!K1/24,"TBC")</f>
        <v>TBC</v>
      </c>
      <c r="CJ48" s="44"/>
      <c r="CK48" s="44" t="s">
        <v>28</v>
      </c>
      <c r="CL48" s="44" t="s">
        <v>16</v>
      </c>
      <c r="CM48" s="45">
        <f>IF(ISBLANK([1]fixtures!$L365),"",[1]fixtures!$L365)</f>
        <v>3</v>
      </c>
      <c r="CN48" s="44" t="str">
        <f>IF(ISBLANK([1]fixtures!$L365),"",":")</f>
        <v>:</v>
      </c>
      <c r="CO48" s="46">
        <f>IF(ISBLANK([1]fixtures!$K365),"",[1]fixtures!$K365)</f>
        <v>1</v>
      </c>
      <c r="CP48" s="44" t="str">
        <f>IF(ISBLANK([1]fixtures!$L365),"",IF(CM48&gt;CO48,"W",IF(CM48=CO48,"D","L")))</f>
        <v>W</v>
      </c>
      <c r="CQ48" s="44"/>
      <c r="CR48" s="44"/>
      <c r="CS48" s="42">
        <v>11</v>
      </c>
      <c r="CT48" s="43" t="s">
        <v>39</v>
      </c>
      <c r="CU48" s="171" t="str">
        <f ca="1">IFERROR(INDIRECT("fixtures!" &amp; [1]Dashboard!J1 &amp;361) - [1]Dashboard!K1/24,"TBC")</f>
        <v>TBC</v>
      </c>
      <c r="CV48" s="41"/>
      <c r="CW48" s="41" t="s">
        <v>20</v>
      </c>
      <c r="CX48" s="41" t="s">
        <v>21</v>
      </c>
      <c r="CY48" s="42">
        <f>IF(ISBLANK([1]fixtures!$K361),"",[1]fixtures!$K361)</f>
        <v>1</v>
      </c>
      <c r="CZ48" s="41" t="str">
        <f>IF(ISBLANK([1]fixtures!$L361),"",":")</f>
        <v>:</v>
      </c>
      <c r="DA48" s="43">
        <f>IF(ISBLANK([1]fixtures!$L361),"",[1]fixtures!$L361)</f>
        <v>0</v>
      </c>
      <c r="DB48" s="41" t="str">
        <f>IF(ISBLANK([1]fixtures!$L361),"",IF(CY48&gt;DA48,"W",IF(CY48=DA48,"D","L")))</f>
        <v>W</v>
      </c>
      <c r="DC48" s="41"/>
      <c r="DD48" s="41"/>
      <c r="DE48" s="39">
        <v>11</v>
      </c>
      <c r="DF48" s="40" t="s">
        <v>39</v>
      </c>
      <c r="DG48" s="169" t="str">
        <f ca="1">IFERROR(INDIRECT("fixtures!" &amp; [1]Dashboard!J1 &amp;359) - [1]Dashboard!K1/24,"TBC")</f>
        <v>TBC</v>
      </c>
      <c r="DH48" s="38"/>
      <c r="DI48" s="38" t="s">
        <v>19</v>
      </c>
      <c r="DJ48" s="38" t="s">
        <v>21</v>
      </c>
      <c r="DK48" s="39">
        <f>IF(ISBLANK([1]fixtures!$K359),"",[1]fixtures!$K359)</f>
        <v>0</v>
      </c>
      <c r="DL48" s="38" t="str">
        <f>IF(ISBLANK([1]fixtures!$L359),"",":")</f>
        <v>:</v>
      </c>
      <c r="DM48" s="40">
        <f>IF(ISBLANK([1]fixtures!$L359),"",[1]fixtures!$L359)</f>
        <v>4</v>
      </c>
      <c r="DN48" s="38" t="str">
        <f>IF(ISBLANK([1]fixtures!$L359),"",IF(DK48&gt;DM48,"W",IF(DK48=DM48,"D","L")))</f>
        <v>L</v>
      </c>
      <c r="DO48" s="38"/>
      <c r="DP48" s="38"/>
      <c r="DQ48" s="36">
        <v>13</v>
      </c>
      <c r="DR48" s="37" t="s">
        <v>42</v>
      </c>
      <c r="DS48" s="167" t="str">
        <f ca="1">IFERROR(INDIRECT("fixtures!" &amp; [1]Dashboard!J1 &amp;368) - [1]Dashboard!K1/24,"TBC")</f>
        <v>TBC</v>
      </c>
      <c r="DT48" s="35"/>
      <c r="DU48" s="35" t="s">
        <v>31</v>
      </c>
      <c r="DV48" s="35" t="s">
        <v>16</v>
      </c>
      <c r="DW48" s="36">
        <f>IF(ISBLANK([1]fixtures!$L368),"",[1]fixtures!$L368)</f>
        <v>3</v>
      </c>
      <c r="DX48" s="35" t="str">
        <f>IF(ISBLANK([1]fixtures!$L368),"",":")</f>
        <v>:</v>
      </c>
      <c r="DY48" s="37">
        <f>IF(ISBLANK([1]fixtures!$K368),"",[1]fixtures!$K368)</f>
        <v>3</v>
      </c>
      <c r="DZ48" s="35" t="str">
        <f>IF(ISBLANK([1]fixtures!$L368),"",IF(DW48&gt;DY48,"W",IF(DW48=DY48,"D","L")))</f>
        <v>D</v>
      </c>
      <c r="EA48" s="35"/>
      <c r="EB48" s="35"/>
      <c r="EC48" s="33">
        <v>11</v>
      </c>
      <c r="ED48" s="34" t="s">
        <v>39</v>
      </c>
      <c r="EE48" s="190" t="str">
        <f ca="1">IFERROR(INDIRECT("fixtures!" &amp; [1]Dashboard!J1 &amp;364) - [1]Dashboard!K1/24,"TBC")</f>
        <v>TBC</v>
      </c>
      <c r="EF48" s="32"/>
      <c r="EG48" s="32" t="s">
        <v>26</v>
      </c>
      <c r="EH48" s="32" t="s">
        <v>16</v>
      </c>
      <c r="EI48" s="33">
        <f>IF(ISBLANK([1]fixtures!$L364),"",[1]fixtures!$L364)</f>
        <v>1</v>
      </c>
      <c r="EJ48" s="32" t="str">
        <f>IF(ISBLANK([1]fixtures!$L364),"",":")</f>
        <v>:</v>
      </c>
      <c r="EK48" s="34">
        <f>IF(ISBLANK([1]fixtures!$K364),"",[1]fixtures!$K364)</f>
        <v>3</v>
      </c>
      <c r="EL48" s="32" t="str">
        <f>IF(ISBLANK([1]fixtures!$L364),"",IF(EI48&gt;EK48,"W",IF(EI48=EK48,"D","L")))</f>
        <v>L</v>
      </c>
      <c r="EM48" s="32"/>
      <c r="EN48" s="32"/>
      <c r="EO48" s="30">
        <v>14</v>
      </c>
      <c r="EP48" s="31" t="s">
        <v>40</v>
      </c>
      <c r="EQ48" s="164" t="str">
        <f ca="1">IFERROR(INDIRECT("fixtures!" &amp; [1]Dashboard!J1 &amp;369) - [1]Dashboard!K1/24,"TBC")</f>
        <v>TBC</v>
      </c>
      <c r="ER48" s="29"/>
      <c r="ES48" s="29" t="s">
        <v>22</v>
      </c>
      <c r="ET48" s="29" t="s">
        <v>16</v>
      </c>
      <c r="EU48" s="30">
        <f>IF(ISBLANK([1]fixtures!$L369),"",[1]fixtures!$L369)</f>
        <v>2</v>
      </c>
      <c r="EV48" s="29" t="str">
        <f>IF(ISBLANK([1]fixtures!$L369),"",":")</f>
        <v>:</v>
      </c>
      <c r="EW48" s="31">
        <f>IF(ISBLANK([1]fixtures!$K369),"",[1]fixtures!$K369)</f>
        <v>0</v>
      </c>
      <c r="EX48" s="29" t="str">
        <f>IF(ISBLANK([1]fixtures!$L369),"",IF(EU48&gt;EW48,"W",IF(EU48=EW48,"D","L")))</f>
        <v>W</v>
      </c>
      <c r="EY48" s="29"/>
      <c r="EZ48" s="29"/>
      <c r="FA48" s="27">
        <v>15</v>
      </c>
      <c r="FB48" s="28" t="s">
        <v>41</v>
      </c>
      <c r="FC48" s="189" t="str">
        <f ca="1">IFERROR(INDIRECT("fixtures!" &amp; [1]Dashboard!J1 &amp;371) - [1]Dashboard!K1/24,"TBC")</f>
        <v>TBC</v>
      </c>
      <c r="FD48" s="26"/>
      <c r="FE48" s="26" t="s">
        <v>35</v>
      </c>
      <c r="FF48" s="26" t="s">
        <v>21</v>
      </c>
      <c r="FG48" s="27">
        <f>IF(ISBLANK([1]fixtures!$K371),"",[1]fixtures!$K371)</f>
        <v>3</v>
      </c>
      <c r="FH48" s="26" t="str">
        <f>IF(ISBLANK([1]fixtures!$L371),"",":")</f>
        <v>:</v>
      </c>
      <c r="FI48" s="28">
        <f>IF(ISBLANK([1]fixtures!$L371),"",[1]fixtures!$L371)</f>
        <v>2</v>
      </c>
      <c r="FJ48" s="26" t="str">
        <f>IF(ISBLANK([1]fixtures!$L371),"",IF(FG48&gt;FI48,"W",IF(FG48=FI48,"D","L")))</f>
        <v>W</v>
      </c>
      <c r="FK48" s="26"/>
      <c r="FL48" s="26"/>
      <c r="FM48" s="24">
        <v>15</v>
      </c>
      <c r="FN48" s="25" t="s">
        <v>41</v>
      </c>
      <c r="FO48" s="161" t="str">
        <f ca="1">IFERROR(INDIRECT("fixtures!" &amp; [1]Dashboard!J1 &amp;371) - [1]Dashboard!K1/24,"TBC")</f>
        <v>TBC</v>
      </c>
      <c r="FP48" s="23"/>
      <c r="FQ48" s="23" t="s">
        <v>34</v>
      </c>
      <c r="FR48" s="23" t="s">
        <v>16</v>
      </c>
      <c r="FS48" s="24">
        <f>IF(ISBLANK([1]fixtures!$L371),"",[1]fixtures!$L371)</f>
        <v>2</v>
      </c>
      <c r="FT48" s="23" t="str">
        <f>IF(ISBLANK([1]fixtures!$L371),"",":")</f>
        <v>:</v>
      </c>
      <c r="FU48" s="25">
        <f>IF(ISBLANK([1]fixtures!$K371),"",[1]fixtures!$K371)</f>
        <v>3</v>
      </c>
      <c r="FV48" s="23" t="str">
        <f>IF(ISBLANK([1]fixtures!$L371),"",IF(FS48&gt;FU48,"W",IF(FS48=FU48,"D","L")))</f>
        <v>L</v>
      </c>
      <c r="FW48" s="23"/>
      <c r="FX48" s="23"/>
      <c r="FY48" s="21">
        <v>11</v>
      </c>
      <c r="FZ48" s="22" t="s">
        <v>39</v>
      </c>
      <c r="GA48" s="159" t="str">
        <f ca="1">IFERROR(INDIRECT("fixtures!" &amp; [1]Dashboard!J1 &amp;366) - [1]Dashboard!K1/24,"TBC")</f>
        <v>TBC</v>
      </c>
      <c r="GB48" s="20"/>
      <c r="GC48" s="20" t="s">
        <v>36</v>
      </c>
      <c r="GD48" s="20" t="s">
        <v>21</v>
      </c>
      <c r="GE48" s="21">
        <f>IF(ISBLANK([1]fixtures!$K366),"",[1]fixtures!$K366)</f>
        <v>2</v>
      </c>
      <c r="GF48" s="20" t="str">
        <f>IF(ISBLANK([1]fixtures!$L366),"",":")</f>
        <v>:</v>
      </c>
      <c r="GG48" s="22">
        <f>IF(ISBLANK([1]fixtures!$L366),"",[1]fixtures!$L366)</f>
        <v>3</v>
      </c>
      <c r="GH48" s="20" t="str">
        <f>IF(ISBLANK([1]fixtures!$L366),"",IF(GE48&gt;GG48,"W",IF(GE48=GG48,"D","L")))</f>
        <v>L</v>
      </c>
      <c r="GI48" s="20"/>
      <c r="GJ48" s="20"/>
      <c r="GK48" s="18">
        <v>11</v>
      </c>
      <c r="GL48" s="19" t="s">
        <v>39</v>
      </c>
      <c r="GM48" s="157" t="str">
        <f ca="1">IFERROR(INDIRECT("fixtures!" &amp; [1]Dashboard!J1 &amp;361) - [1]Dashboard!K1/24,"TBC")</f>
        <v>TBC</v>
      </c>
      <c r="GN48" s="17"/>
      <c r="GO48" s="17" t="s">
        <v>38</v>
      </c>
      <c r="GP48" s="17" t="s">
        <v>16</v>
      </c>
      <c r="GQ48" s="18">
        <f>IF(ISBLANK([1]fixtures!$L361),"",[1]fixtures!$L361)</f>
        <v>0</v>
      </c>
      <c r="GR48" s="17" t="str">
        <f>IF(ISBLANK([1]fixtures!$L361),"",":")</f>
        <v>:</v>
      </c>
      <c r="GS48" s="19">
        <f>IF(ISBLANK([1]fixtures!$K361),"",[1]fixtures!$K361)</f>
        <v>1</v>
      </c>
      <c r="GT48" s="17" t="str">
        <f>IF(ISBLANK([1]fixtures!$L361),"",IF(GQ48&gt;GS48,"W",IF(GQ48=GS48,"D","L")))</f>
        <v>L</v>
      </c>
      <c r="GU48" s="17"/>
      <c r="GV48" s="17"/>
      <c r="GW48" s="15">
        <v>14</v>
      </c>
      <c r="GX48" s="16" t="s">
        <v>40</v>
      </c>
      <c r="GY48" s="155" t="str">
        <f ca="1">IFERROR(INDIRECT("fixtures!" &amp; [1]Dashboard!J1 &amp;369) - [1]Dashboard!K1/24,"TBC")</f>
        <v>TBC</v>
      </c>
      <c r="GZ48" s="14"/>
      <c r="HA48" s="14" t="s">
        <v>19</v>
      </c>
      <c r="HB48" s="14" t="s">
        <v>21</v>
      </c>
      <c r="HC48" s="15">
        <f>IF(ISBLANK([1]fixtures!$K369),"",[1]fixtures!$K369)</f>
        <v>0</v>
      </c>
      <c r="HD48" s="14" t="str">
        <f>IF(ISBLANK([1]fixtures!$L369),"",":")</f>
        <v>:</v>
      </c>
      <c r="HE48" s="16">
        <f>IF(ISBLANK([1]fixtures!$L369),"",[1]fixtures!$L369)</f>
        <v>2</v>
      </c>
      <c r="HF48" s="14" t="str">
        <f>IF(ISBLANK([1]fixtures!$L369),"",IF(HC48&gt;HE48,"W",IF(HC48=HE48,"D","L")))</f>
        <v>L</v>
      </c>
      <c r="HG48" s="14"/>
      <c r="HH48" s="14"/>
      <c r="HI48" s="12">
        <v>11</v>
      </c>
      <c r="HJ48" s="13" t="s">
        <v>39</v>
      </c>
      <c r="HK48" s="153" t="str">
        <f ca="1">IFERROR(INDIRECT("fixtures!" &amp; [1]Dashboard!J1 &amp;364) - [1]Dashboard!K1/24,"TBC")</f>
        <v>TBC</v>
      </c>
      <c r="HL48" s="11"/>
      <c r="HM48" s="11" t="s">
        <v>29</v>
      </c>
      <c r="HN48" s="11" t="s">
        <v>21</v>
      </c>
      <c r="HO48" s="12">
        <f>IF(ISBLANK([1]fixtures!$K364),"",[1]fixtures!$K364)</f>
        <v>3</v>
      </c>
      <c r="HP48" s="11" t="str">
        <f>IF(ISBLANK([1]fixtures!$L364),"",":")</f>
        <v>:</v>
      </c>
      <c r="HQ48" s="13">
        <f>IF(ISBLANK([1]fixtures!$L364),"",[1]fixtures!$L364)</f>
        <v>1</v>
      </c>
      <c r="HR48" s="11" t="str">
        <f>IF(ISBLANK([1]fixtures!$L364),"",IF(HO48&gt;HQ48,"W",IF(HO48=HQ48,"D","L")))</f>
        <v>W</v>
      </c>
      <c r="HS48" s="11"/>
      <c r="HT48" s="11"/>
      <c r="HU48" s="9">
        <v>11</v>
      </c>
      <c r="HV48" s="10" t="s">
        <v>39</v>
      </c>
      <c r="HW48" s="151" t="str">
        <f ca="1">IFERROR(INDIRECT("fixtures!" &amp; [1]Dashboard!J1 &amp;365) - [1]Dashboard!K1/24,"TBC")</f>
        <v>TBC</v>
      </c>
      <c r="HX48" s="8"/>
      <c r="HY48" s="8" t="s">
        <v>37</v>
      </c>
      <c r="HZ48" s="8" t="s">
        <v>21</v>
      </c>
      <c r="IA48" s="9">
        <f>IF(ISBLANK([1]fixtures!$K365),"",[1]fixtures!$K365)</f>
        <v>1</v>
      </c>
      <c r="IB48" s="8" t="str">
        <f>IF(ISBLANK([1]fixtures!$L365),"",":")</f>
        <v>:</v>
      </c>
      <c r="IC48" s="10">
        <f>IF(ISBLANK([1]fixtures!$L365),"",[1]fixtures!$L365)</f>
        <v>3</v>
      </c>
      <c r="ID48" s="8" t="str">
        <f>IF(ISBLANK([1]fixtures!$L365),"",IF(IA48&gt;IC48,"W",IF(IA48=IC48,"D","L")))</f>
        <v>L</v>
      </c>
      <c r="IE48" s="8"/>
      <c r="IF48" s="8"/>
    </row>
    <row r="49" spans="1:240" x14ac:dyDescent="0.25">
      <c r="A49" s="67">
        <v>19</v>
      </c>
      <c r="B49" s="68" t="s">
        <v>18</v>
      </c>
      <c r="C49" s="187" t="str">
        <f ca="1">IFERROR(INDIRECT("fixtures!" &amp; [1]Dashboard!J1 &amp;372) - [1]Dashboard!K1/24,"TBC")</f>
        <v>TBC</v>
      </c>
      <c r="D49" s="66"/>
      <c r="E49" s="66" t="s">
        <v>38</v>
      </c>
      <c r="F49" s="66" t="s">
        <v>21</v>
      </c>
      <c r="G49" s="67">
        <f>IF(ISBLANK([1]fixtures!$K372),"",[1]fixtures!$K372)</f>
        <v>2</v>
      </c>
      <c r="H49" s="66" t="str">
        <f>IF(ISBLANK([1]fixtures!$L372),"",":")</f>
        <v>:</v>
      </c>
      <c r="I49" s="68">
        <f>IF(ISBLANK([1]fixtures!$L372),"",[1]fixtures!$L372)</f>
        <v>1</v>
      </c>
      <c r="J49" s="66" t="str">
        <f>IF(ISBLANK([1]fixtures!$L372),"",IF(G49&gt;I49,"W",IF(G49=I49,"D","L")))</f>
        <v>W</v>
      </c>
      <c r="K49" s="66"/>
      <c r="L49" s="66"/>
      <c r="M49" s="63">
        <v>19</v>
      </c>
      <c r="N49" s="64" t="s">
        <v>18</v>
      </c>
      <c r="O49" s="185" t="str">
        <f ca="1">IFERROR(INDIRECT("fixtures!" &amp; [1]Dashboard!J1 &amp;377) - [1]Dashboard!K1/24,"TBC")</f>
        <v>TBC</v>
      </c>
      <c r="P49" s="62"/>
      <c r="Q49" s="62" t="s">
        <v>37</v>
      </c>
      <c r="R49" s="62" t="s">
        <v>16</v>
      </c>
      <c r="S49" s="63">
        <f>IF(ISBLANK([1]fixtures!$L377),"",[1]fixtures!$L377)</f>
        <v>0</v>
      </c>
      <c r="T49" s="62" t="str">
        <f>IF(ISBLANK([1]fixtures!$L377),"",":")</f>
        <v>:</v>
      </c>
      <c r="U49" s="64">
        <f>IF(ISBLANK([1]fixtures!$K377),"",[1]fixtures!$K377)</f>
        <v>5</v>
      </c>
      <c r="V49" s="62" t="str">
        <f>IF(ISBLANK([1]fixtures!$L377),"",IF(S49&gt;U49,"W",IF(S49=U49,"D","L")))</f>
        <v>L</v>
      </c>
      <c r="W49" s="62"/>
      <c r="X49" s="62"/>
      <c r="Y49" s="60">
        <v>19</v>
      </c>
      <c r="Z49" s="61" t="s">
        <v>18</v>
      </c>
      <c r="AA49" s="183" t="str">
        <f ca="1">IFERROR(INDIRECT("fixtures!" &amp; [1]Dashboard!J1 &amp;376) - [1]Dashboard!K1/24,"TBC")</f>
        <v>TBC</v>
      </c>
      <c r="AB49" s="59"/>
      <c r="AC49" s="59" t="s">
        <v>36</v>
      </c>
      <c r="AD49" s="59" t="s">
        <v>16</v>
      </c>
      <c r="AE49" s="60">
        <f>IF(ISBLANK([1]fixtures!$L376),"",[1]fixtures!$L376)</f>
        <v>1</v>
      </c>
      <c r="AF49" s="59" t="str">
        <f>IF(ISBLANK([1]fixtures!$L376),"",":")</f>
        <v>:</v>
      </c>
      <c r="AG49" s="61">
        <f>IF(ISBLANK([1]fixtures!$K376),"",[1]fixtures!$K376)</f>
        <v>2</v>
      </c>
      <c r="AH49" s="59" t="str">
        <f>IF(ISBLANK([1]fixtures!$L376),"",IF(AE49&gt;AG49,"W",IF(AE49=AG49,"D","L")))</f>
        <v>L</v>
      </c>
      <c r="AI49" s="59"/>
      <c r="AJ49" s="59"/>
      <c r="AK49" s="57">
        <v>19</v>
      </c>
      <c r="AL49" s="58" t="s">
        <v>18</v>
      </c>
      <c r="AM49" s="181" t="str">
        <f ca="1">IFERROR(INDIRECT("fixtures!" &amp; [1]Dashboard!J1 &amp;373) - [1]Dashboard!K1/24,"TBC")</f>
        <v>TBC</v>
      </c>
      <c r="AN49" s="56"/>
      <c r="AO49" s="56" t="s">
        <v>35</v>
      </c>
      <c r="AP49" s="56" t="s">
        <v>21</v>
      </c>
      <c r="AQ49" s="57">
        <f>IF(ISBLANK([1]fixtures!$K373),"",[1]fixtures!$K373)</f>
        <v>2</v>
      </c>
      <c r="AR49" s="56" t="str">
        <f>IF(ISBLANK([1]fixtures!$L373),"",":")</f>
        <v>:</v>
      </c>
      <c r="AS49" s="58">
        <f>IF(ISBLANK([1]fixtures!$L373),"",[1]fixtures!$L373)</f>
        <v>4</v>
      </c>
      <c r="AT49" s="56" t="str">
        <f>IF(ISBLANK([1]fixtures!$L373),"",IF(AQ49&gt;AS49,"W",IF(AQ49=AS49,"D","L")))</f>
        <v>L</v>
      </c>
      <c r="AU49" s="56"/>
      <c r="AV49" s="56"/>
      <c r="AW49" s="54">
        <v>19</v>
      </c>
      <c r="AX49" s="55" t="s">
        <v>18</v>
      </c>
      <c r="AY49" s="179" t="str">
        <f ca="1">IFERROR(INDIRECT("fixtures!" &amp; [1]Dashboard!J1 &amp;374) - [1]Dashboard!K1/24,"TBC")</f>
        <v>TBC</v>
      </c>
      <c r="AZ49" s="53"/>
      <c r="BA49" s="53" t="s">
        <v>34</v>
      </c>
      <c r="BB49" s="53" t="s">
        <v>21</v>
      </c>
      <c r="BC49" s="54">
        <f>IF(ISBLANK([1]fixtures!$K374),"",[1]fixtures!$K374)</f>
        <v>0</v>
      </c>
      <c r="BD49" s="53" t="str">
        <f>IF(ISBLANK([1]fixtures!$L374),"",":")</f>
        <v>:</v>
      </c>
      <c r="BE49" s="55">
        <f>IF(ISBLANK([1]fixtures!$L374),"",[1]fixtures!$L374)</f>
        <v>2</v>
      </c>
      <c r="BF49" s="53" t="str">
        <f>IF(ISBLANK([1]fixtures!$L374),"",IF(BC49&gt;BE49,"W",IF(BC49=BE49,"D","L")))</f>
        <v>L</v>
      </c>
      <c r="BG49" s="53"/>
      <c r="BH49" s="53"/>
      <c r="BI49" s="51">
        <v>19</v>
      </c>
      <c r="BJ49" s="52" t="s">
        <v>18</v>
      </c>
      <c r="BK49" s="177" t="str">
        <f ca="1">IFERROR(INDIRECT("fixtures!" &amp; [1]Dashboard!J1 &amp;375) - [1]Dashboard!K1/24,"TBC")</f>
        <v>TBC</v>
      </c>
      <c r="BL49" s="50"/>
      <c r="BM49" s="50" t="s">
        <v>33</v>
      </c>
      <c r="BN49" s="50" t="s">
        <v>21</v>
      </c>
      <c r="BO49" s="51">
        <f>IF(ISBLANK([1]fixtures!$K375),"",[1]fixtures!$K375)</f>
        <v>1</v>
      </c>
      <c r="BP49" s="50" t="str">
        <f>IF(ISBLANK([1]fixtures!$L375),"",":")</f>
        <v>:</v>
      </c>
      <c r="BQ49" s="52">
        <f>IF(ISBLANK([1]fixtures!$L375),"",[1]fixtures!$L375)</f>
        <v>2</v>
      </c>
      <c r="BR49" s="50" t="str">
        <f>IF(ISBLANK([1]fixtures!$L375),"",IF(BO49&gt;BQ49,"W",IF(BO49=BQ49,"D","L")))</f>
        <v>L</v>
      </c>
      <c r="BS49" s="50"/>
      <c r="BT49" s="50"/>
      <c r="BU49" s="48">
        <v>19</v>
      </c>
      <c r="BV49" s="49" t="s">
        <v>18</v>
      </c>
      <c r="BW49" s="175" t="str">
        <f ca="1">IFERROR(INDIRECT("fixtures!" &amp; [1]Dashboard!J1 &amp;376) - [1]Dashboard!K1/24,"TBC")</f>
        <v>TBC</v>
      </c>
      <c r="BX49" s="47"/>
      <c r="BY49" s="47" t="s">
        <v>32</v>
      </c>
      <c r="BZ49" s="47" t="s">
        <v>21</v>
      </c>
      <c r="CA49" s="48">
        <f>IF(ISBLANK([1]fixtures!$K376),"",[1]fixtures!$K376)</f>
        <v>2</v>
      </c>
      <c r="CB49" s="47" t="str">
        <f>IF(ISBLANK([1]fixtures!$L376),"",":")</f>
        <v>:</v>
      </c>
      <c r="CC49" s="49">
        <f>IF(ISBLANK([1]fixtures!$L376),"",[1]fixtures!$L376)</f>
        <v>1</v>
      </c>
      <c r="CD49" s="47" t="str">
        <f>IF(ISBLANK([1]fixtures!$L376),"",IF(CA49&gt;CC49,"W",IF(CA49=CC49,"D","L")))</f>
        <v>W</v>
      </c>
      <c r="CE49" s="47"/>
      <c r="CF49" s="47"/>
      <c r="CG49" s="45">
        <v>19</v>
      </c>
      <c r="CH49" s="46" t="s">
        <v>18</v>
      </c>
      <c r="CI49" s="173" t="str">
        <f ca="1">IFERROR(INDIRECT("fixtures!" &amp; [1]Dashboard!J1 &amp;377) - [1]Dashboard!K1/24,"TBC")</f>
        <v>TBC</v>
      </c>
      <c r="CJ49" s="44"/>
      <c r="CK49" s="44" t="s">
        <v>31</v>
      </c>
      <c r="CL49" s="44" t="s">
        <v>21</v>
      </c>
      <c r="CM49" s="45">
        <f>IF(ISBLANK([1]fixtures!$K377),"",[1]fixtures!$K377)</f>
        <v>5</v>
      </c>
      <c r="CN49" s="44" t="str">
        <f>IF(ISBLANK([1]fixtures!$L377),"",":")</f>
        <v>:</v>
      </c>
      <c r="CO49" s="46">
        <f>IF(ISBLANK([1]fixtures!$L377),"",[1]fixtures!$L377)</f>
        <v>0</v>
      </c>
      <c r="CP49" s="44" t="str">
        <f>IF(ISBLANK([1]fixtures!$L377),"",IF(CM49&gt;CO49,"W",IF(CM49=CO49,"D","L")))</f>
        <v>W</v>
      </c>
      <c r="CQ49" s="44"/>
      <c r="CR49" s="44"/>
      <c r="CS49" s="42">
        <v>19</v>
      </c>
      <c r="CT49" s="43" t="s">
        <v>18</v>
      </c>
      <c r="CU49" s="171" t="str">
        <f ca="1">IFERROR(INDIRECT("fixtures!" &amp; [1]Dashboard!J1 &amp;372) - [1]Dashboard!K1/24,"TBC")</f>
        <v>TBC</v>
      </c>
      <c r="CV49" s="41"/>
      <c r="CW49" s="41" t="s">
        <v>30</v>
      </c>
      <c r="CX49" s="41" t="s">
        <v>16</v>
      </c>
      <c r="CY49" s="42">
        <f>IF(ISBLANK([1]fixtures!$L372),"",[1]fixtures!$L372)</f>
        <v>1</v>
      </c>
      <c r="CZ49" s="41" t="str">
        <f>IF(ISBLANK([1]fixtures!$L372),"",":")</f>
        <v>:</v>
      </c>
      <c r="DA49" s="43">
        <f>IF(ISBLANK([1]fixtures!$K372),"",[1]fixtures!$K372)</f>
        <v>2</v>
      </c>
      <c r="DB49" s="41" t="str">
        <f>IF(ISBLANK([1]fixtures!$L372),"",IF(CY49&gt;DA49,"W",IF(CY49=DA49,"D","L")))</f>
        <v>L</v>
      </c>
      <c r="DC49" s="41"/>
      <c r="DD49" s="41"/>
      <c r="DE49" s="39">
        <v>19</v>
      </c>
      <c r="DF49" s="40" t="s">
        <v>18</v>
      </c>
      <c r="DG49" s="169" t="str">
        <f ca="1">IFERROR(INDIRECT("fixtures!" &amp; [1]Dashboard!J1 &amp;379) - [1]Dashboard!K1/24,"TBC")</f>
        <v>TBC</v>
      </c>
      <c r="DH49" s="38"/>
      <c r="DI49" s="38" t="s">
        <v>29</v>
      </c>
      <c r="DJ49" s="38" t="s">
        <v>16</v>
      </c>
      <c r="DK49" s="39">
        <f>IF(ISBLANK([1]fixtures!$L379),"",[1]fixtures!$L379)</f>
        <v>4</v>
      </c>
      <c r="DL49" s="38" t="str">
        <f>IF(ISBLANK([1]fixtures!$L379),"",":")</f>
        <v>:</v>
      </c>
      <c r="DM49" s="40">
        <f>IF(ISBLANK([1]fixtures!$K379),"",[1]fixtures!$K379)</f>
        <v>2</v>
      </c>
      <c r="DN49" s="38" t="str">
        <f>IF(ISBLANK([1]fixtures!$L379),"",IF(DK49&gt;DM49,"W",IF(DK49=DM49,"D","L")))</f>
        <v>W</v>
      </c>
      <c r="DO49" s="38"/>
      <c r="DP49" s="38"/>
      <c r="DQ49" s="36">
        <v>19</v>
      </c>
      <c r="DR49" s="37" t="s">
        <v>18</v>
      </c>
      <c r="DS49" s="167" t="str">
        <f ca="1">IFERROR(INDIRECT("fixtures!" &amp; [1]Dashboard!J1 &amp;378) - [1]Dashboard!K1/24,"TBC")</f>
        <v>TBC</v>
      </c>
      <c r="DT49" s="35"/>
      <c r="DU49" s="35" t="s">
        <v>28</v>
      </c>
      <c r="DV49" s="35" t="s">
        <v>21</v>
      </c>
      <c r="DW49" s="36">
        <f>IF(ISBLANK([1]fixtures!$K378),"",[1]fixtures!$K378)</f>
        <v>2</v>
      </c>
      <c r="DX49" s="35" t="str">
        <f>IF(ISBLANK([1]fixtures!$L378),"",":")</f>
        <v>:</v>
      </c>
      <c r="DY49" s="37">
        <f>IF(ISBLANK([1]fixtures!$L378),"",[1]fixtures!$L378)</f>
        <v>0</v>
      </c>
      <c r="DZ49" s="35" t="str">
        <f>IF(ISBLANK([1]fixtures!$L378),"",IF(DW49&gt;DY49,"W",IF(DW49=DY49,"D","L")))</f>
        <v>W</v>
      </c>
      <c r="EA49" s="35"/>
      <c r="EB49" s="35"/>
      <c r="EC49" s="33">
        <v>19</v>
      </c>
      <c r="ED49" s="34" t="s">
        <v>18</v>
      </c>
      <c r="EE49" s="190" t="str">
        <f ca="1">IFERROR(INDIRECT("fixtures!" &amp; [1]Dashboard!J1 &amp;379) - [1]Dashboard!K1/24,"TBC")</f>
        <v>TBC</v>
      </c>
      <c r="EF49" s="32"/>
      <c r="EG49" s="32" t="s">
        <v>27</v>
      </c>
      <c r="EH49" s="32" t="s">
        <v>21</v>
      </c>
      <c r="EI49" s="33">
        <f>IF(ISBLANK([1]fixtures!$K379),"",[1]fixtures!$K379)</f>
        <v>2</v>
      </c>
      <c r="EJ49" s="32" t="str">
        <f>IF(ISBLANK([1]fixtures!$L379),"",":")</f>
        <v>:</v>
      </c>
      <c r="EK49" s="34">
        <f>IF(ISBLANK([1]fixtures!$L379),"",[1]fixtures!$L379)</f>
        <v>4</v>
      </c>
      <c r="EL49" s="32" t="str">
        <f>IF(ISBLANK([1]fixtures!$L379),"",IF(EI49&gt;EK49,"W",IF(EI49=EK49,"D","L")))</f>
        <v>L</v>
      </c>
      <c r="EM49" s="32"/>
      <c r="EN49" s="32"/>
      <c r="EO49" s="30">
        <v>19</v>
      </c>
      <c r="EP49" s="31" t="s">
        <v>18</v>
      </c>
      <c r="EQ49" s="164" t="str">
        <f ca="1">IFERROR(INDIRECT("fixtures!" &amp; [1]Dashboard!J1 &amp;380) - [1]Dashboard!K1/24,"TBC")</f>
        <v>TBC</v>
      </c>
      <c r="ER49" s="29"/>
      <c r="ES49" s="29" t="s">
        <v>26</v>
      </c>
      <c r="ET49" s="29" t="s">
        <v>21</v>
      </c>
      <c r="EU49" s="30">
        <f>IF(ISBLANK([1]fixtures!$K380),"",[1]fixtures!$K380)</f>
        <v>3</v>
      </c>
      <c r="EV49" s="29" t="str">
        <f>IF(ISBLANK([1]fixtures!$L380),"",":")</f>
        <v>:</v>
      </c>
      <c r="EW49" s="31">
        <f>IF(ISBLANK([1]fixtures!$L380),"",[1]fixtures!$L380)</f>
        <v>1</v>
      </c>
      <c r="EX49" s="29" t="str">
        <f>IF(ISBLANK([1]fixtures!$L380),"",IF(EU49&gt;EW49,"W",IF(EU49=EW49,"D","L")))</f>
        <v>W</v>
      </c>
      <c r="EY49" s="29"/>
      <c r="EZ49" s="29"/>
      <c r="FA49" s="27">
        <v>19</v>
      </c>
      <c r="FB49" s="28" t="s">
        <v>18</v>
      </c>
      <c r="FC49" s="189" t="str">
        <f ca="1">IFERROR(INDIRECT("fixtures!" &amp; [1]Dashboard!J1 &amp;374) - [1]Dashboard!K1/24,"TBC")</f>
        <v>TBC</v>
      </c>
      <c r="FD49" s="26"/>
      <c r="FE49" s="26" t="s">
        <v>25</v>
      </c>
      <c r="FF49" s="26" t="s">
        <v>16</v>
      </c>
      <c r="FG49" s="27">
        <f>IF(ISBLANK([1]fixtures!$L374),"",[1]fixtures!$L374)</f>
        <v>2</v>
      </c>
      <c r="FH49" s="26" t="str">
        <f>IF(ISBLANK([1]fixtures!$L374),"",":")</f>
        <v>:</v>
      </c>
      <c r="FI49" s="28">
        <f>IF(ISBLANK([1]fixtures!$K374),"",[1]fixtures!$K374)</f>
        <v>0</v>
      </c>
      <c r="FJ49" s="26" t="str">
        <f>IF(ISBLANK([1]fixtures!$L374),"",IF(FG49&gt;FI49,"W",IF(FG49=FI49,"D","L")))</f>
        <v>W</v>
      </c>
      <c r="FK49" s="26"/>
      <c r="FL49" s="26"/>
      <c r="FM49" s="24">
        <v>19</v>
      </c>
      <c r="FN49" s="25" t="s">
        <v>18</v>
      </c>
      <c r="FO49" s="161" t="str">
        <f ca="1">IFERROR(INDIRECT("fixtures!" &amp; [1]Dashboard!J1 &amp;373) - [1]Dashboard!K1/24,"TBC")</f>
        <v>TBC</v>
      </c>
      <c r="FP49" s="23"/>
      <c r="FQ49" s="23" t="s">
        <v>24</v>
      </c>
      <c r="FR49" s="23" t="s">
        <v>16</v>
      </c>
      <c r="FS49" s="24">
        <f>IF(ISBLANK([1]fixtures!$L373),"",[1]fixtures!$L373)</f>
        <v>4</v>
      </c>
      <c r="FT49" s="23" t="str">
        <f>IF(ISBLANK([1]fixtures!$L373),"",":")</f>
        <v>:</v>
      </c>
      <c r="FU49" s="25">
        <f>IF(ISBLANK([1]fixtures!$K373),"",[1]fixtures!$K373)</f>
        <v>2</v>
      </c>
      <c r="FV49" s="23" t="str">
        <f>IF(ISBLANK([1]fixtures!$L373),"",IF(FS49&gt;FU49,"W",IF(FS49=FU49,"D","L")))</f>
        <v>W</v>
      </c>
      <c r="FW49" s="23"/>
      <c r="FX49" s="23"/>
      <c r="FY49" s="21">
        <v>19</v>
      </c>
      <c r="FZ49" s="22" t="s">
        <v>18</v>
      </c>
      <c r="GA49" s="159" t="str">
        <f ca="1">IFERROR(INDIRECT("fixtures!" &amp; [1]Dashboard!J1 &amp;375) - [1]Dashboard!K1/24,"TBC")</f>
        <v>TBC</v>
      </c>
      <c r="GB49" s="20"/>
      <c r="GC49" s="20" t="s">
        <v>23</v>
      </c>
      <c r="GD49" s="20" t="s">
        <v>16</v>
      </c>
      <c r="GE49" s="21">
        <f>IF(ISBLANK([1]fixtures!$L375),"",[1]fixtures!$L375)</f>
        <v>2</v>
      </c>
      <c r="GF49" s="20" t="str">
        <f>IF(ISBLANK([1]fixtures!$L375),"",":")</f>
        <v>:</v>
      </c>
      <c r="GG49" s="22">
        <f>IF(ISBLANK([1]fixtures!$K375),"",[1]fixtures!$K375)</f>
        <v>1</v>
      </c>
      <c r="GH49" s="20" t="str">
        <f>IF(ISBLANK([1]fixtures!$L375),"",IF(GE49&gt;GG49,"W",IF(GE49=GG49,"D","L")))</f>
        <v>W</v>
      </c>
      <c r="GI49" s="20"/>
      <c r="GJ49" s="20"/>
      <c r="GK49" s="18">
        <v>19</v>
      </c>
      <c r="GL49" s="19" t="s">
        <v>18</v>
      </c>
      <c r="GM49" s="157" t="str">
        <f ca="1">IFERROR(INDIRECT("fixtures!" &amp; [1]Dashboard!J1 &amp;381) - [1]Dashboard!K1/24,"TBC")</f>
        <v>TBC</v>
      </c>
      <c r="GN49" s="17"/>
      <c r="GO49" s="17" t="s">
        <v>22</v>
      </c>
      <c r="GP49" s="17" t="s">
        <v>21</v>
      </c>
      <c r="GQ49" s="18">
        <f>IF(ISBLANK([1]fixtures!$K381),"",[1]fixtures!$K381)</f>
        <v>0</v>
      </c>
      <c r="GR49" s="17" t="str">
        <f>IF(ISBLANK([1]fixtures!$L381),"",":")</f>
        <v>:</v>
      </c>
      <c r="GS49" s="19">
        <f>IF(ISBLANK([1]fixtures!$L381),"",[1]fixtures!$L381)</f>
        <v>3</v>
      </c>
      <c r="GT49" s="17" t="str">
        <f>IF(ISBLANK([1]fixtures!$L381),"",IF(GQ49&gt;GS49,"W",IF(GQ49=GS49,"D","L")))</f>
        <v>L</v>
      </c>
      <c r="GU49" s="17"/>
      <c r="GV49" s="17"/>
      <c r="GW49" s="15">
        <v>19</v>
      </c>
      <c r="GX49" s="16" t="s">
        <v>18</v>
      </c>
      <c r="GY49" s="155" t="str">
        <f ca="1">IFERROR(INDIRECT("fixtures!" &amp; [1]Dashboard!J1 &amp;381) - [1]Dashboard!K1/24,"TBC")</f>
        <v>TBC</v>
      </c>
      <c r="GZ49" s="14"/>
      <c r="HA49" s="14" t="s">
        <v>20</v>
      </c>
      <c r="HB49" s="14" t="s">
        <v>16</v>
      </c>
      <c r="HC49" s="15">
        <f>IF(ISBLANK([1]fixtures!$L381),"",[1]fixtures!$L381)</f>
        <v>3</v>
      </c>
      <c r="HD49" s="14" t="str">
        <f>IF(ISBLANK([1]fixtures!$L381),"",":")</f>
        <v>:</v>
      </c>
      <c r="HE49" s="16">
        <f>IF(ISBLANK([1]fixtures!$K381),"",[1]fixtures!$K381)</f>
        <v>0</v>
      </c>
      <c r="HF49" s="14" t="str">
        <f>IF(ISBLANK([1]fixtures!$L381),"",IF(HC49&gt;HE49,"W",IF(HC49=HE49,"D","L")))</f>
        <v>W</v>
      </c>
      <c r="HG49" s="14"/>
      <c r="HH49" s="14"/>
      <c r="HI49" s="12">
        <v>19</v>
      </c>
      <c r="HJ49" s="13" t="s">
        <v>18</v>
      </c>
      <c r="HK49" s="153" t="str">
        <f ca="1">IFERROR(INDIRECT("fixtures!" &amp; [1]Dashboard!J1 &amp;380) - [1]Dashboard!K1/24,"TBC")</f>
        <v>TBC</v>
      </c>
      <c r="HL49" s="11"/>
      <c r="HM49" s="11" t="s">
        <v>19</v>
      </c>
      <c r="HN49" s="11" t="s">
        <v>16</v>
      </c>
      <c r="HO49" s="12">
        <f>IF(ISBLANK([1]fixtures!$L380),"",[1]fixtures!$L380)</f>
        <v>1</v>
      </c>
      <c r="HP49" s="11" t="str">
        <f>IF(ISBLANK([1]fixtures!$L380),"",":")</f>
        <v>:</v>
      </c>
      <c r="HQ49" s="13">
        <f>IF(ISBLANK([1]fixtures!$K380),"",[1]fixtures!$K380)</f>
        <v>3</v>
      </c>
      <c r="HR49" s="11" t="str">
        <f>IF(ISBLANK([1]fixtures!$L380),"",IF(HO49&gt;HQ49,"W",IF(HO49=HQ49,"D","L")))</f>
        <v>L</v>
      </c>
      <c r="HS49" s="11"/>
      <c r="HT49" s="11"/>
      <c r="HU49" s="9">
        <v>19</v>
      </c>
      <c r="HV49" s="10" t="s">
        <v>18</v>
      </c>
      <c r="HW49" s="151" t="str">
        <f ca="1">IFERROR(INDIRECT("fixtures!" &amp; [1]Dashboard!J1 &amp;378) - [1]Dashboard!K1/24,"TBC")</f>
        <v>TBC</v>
      </c>
      <c r="HX49" s="8"/>
      <c r="HY49" s="8" t="s">
        <v>17</v>
      </c>
      <c r="HZ49" s="8" t="s">
        <v>16</v>
      </c>
      <c r="IA49" s="9">
        <f>IF(ISBLANK([1]fixtures!$L378),"",[1]fixtures!$L378)</f>
        <v>0</v>
      </c>
      <c r="IB49" s="8" t="str">
        <f>IF(ISBLANK([1]fixtures!$L378),"",":")</f>
        <v>:</v>
      </c>
      <c r="IC49" s="10">
        <f>IF(ISBLANK([1]fixtures!$K378),"",[1]fixtures!$K378)</f>
        <v>2</v>
      </c>
      <c r="ID49" s="8" t="str">
        <f>IF(ISBLANK([1]fixtures!$L378),"",IF(IA49&gt;IC49,"W",IF(IA49=IC49,"D","L")))</f>
        <v>L</v>
      </c>
      <c r="IE49" s="8"/>
      <c r="IF49" s="8"/>
    </row>
    <row r="50" spans="1:240" x14ac:dyDescent="0.25">
      <c r="A50" s="188"/>
      <c r="B50" s="68"/>
      <c r="C50" s="187"/>
      <c r="D50" s="66"/>
      <c r="E50" s="66"/>
      <c r="F50" s="66"/>
      <c r="G50" s="67"/>
      <c r="H50" s="66"/>
      <c r="I50" s="68"/>
      <c r="J50" s="66"/>
      <c r="K50" s="66"/>
      <c r="L50" s="66"/>
      <c r="M50" s="186"/>
      <c r="N50" s="64"/>
      <c r="O50" s="185"/>
      <c r="P50" s="62"/>
      <c r="Q50" s="62"/>
      <c r="R50" s="62"/>
      <c r="S50" s="63"/>
      <c r="T50" s="62"/>
      <c r="U50" s="64"/>
      <c r="V50" s="62"/>
      <c r="W50" s="62"/>
      <c r="X50" s="62"/>
      <c r="Y50" s="184"/>
      <c r="Z50" s="61"/>
      <c r="AA50" s="183"/>
      <c r="AB50" s="59"/>
      <c r="AC50" s="59"/>
      <c r="AD50" s="59"/>
      <c r="AE50" s="60"/>
      <c r="AF50" s="59"/>
      <c r="AG50" s="61"/>
      <c r="AH50" s="59"/>
      <c r="AI50" s="59"/>
      <c r="AJ50" s="59"/>
      <c r="AK50" s="182"/>
      <c r="AL50" s="58"/>
      <c r="AM50" s="181"/>
      <c r="AN50" s="56"/>
      <c r="AO50" s="56"/>
      <c r="AP50" s="56"/>
      <c r="AQ50" s="57"/>
      <c r="AR50" s="56"/>
      <c r="AS50" s="58"/>
      <c r="AT50" s="56"/>
      <c r="AU50" s="56"/>
      <c r="AV50" s="56"/>
      <c r="AW50" s="180"/>
      <c r="AX50" s="55"/>
      <c r="AY50" s="179"/>
      <c r="AZ50" s="53"/>
      <c r="BA50" s="53"/>
      <c r="BB50" s="53"/>
      <c r="BC50" s="54"/>
      <c r="BD50" s="53"/>
      <c r="BE50" s="55"/>
      <c r="BF50" s="53"/>
      <c r="BG50" s="53"/>
      <c r="BH50" s="53"/>
      <c r="BI50" s="178"/>
      <c r="BJ50" s="52"/>
      <c r="BK50" s="177"/>
      <c r="BL50" s="50"/>
      <c r="BM50" s="50"/>
      <c r="BN50" s="50"/>
      <c r="BO50" s="51"/>
      <c r="BP50" s="50"/>
      <c r="BQ50" s="52"/>
      <c r="BR50" s="50"/>
      <c r="BS50" s="50"/>
      <c r="BT50" s="50"/>
      <c r="BU50" s="176"/>
      <c r="BV50" s="49"/>
      <c r="BW50" s="175"/>
      <c r="BX50" s="47"/>
      <c r="BY50" s="47"/>
      <c r="BZ50" s="47"/>
      <c r="CA50" s="48"/>
      <c r="CB50" s="47"/>
      <c r="CC50" s="49"/>
      <c r="CD50" s="47"/>
      <c r="CE50" s="47"/>
      <c r="CF50" s="47"/>
      <c r="CG50" s="174"/>
      <c r="CH50" s="46"/>
      <c r="CI50" s="173"/>
      <c r="CJ50" s="44"/>
      <c r="CK50" s="44"/>
      <c r="CL50" s="44"/>
      <c r="CM50" s="45"/>
      <c r="CN50" s="44"/>
      <c r="CO50" s="46"/>
      <c r="CP50" s="44"/>
      <c r="CQ50" s="44"/>
      <c r="CR50" s="44"/>
      <c r="CS50" s="172"/>
      <c r="CT50" s="43"/>
      <c r="CU50" s="171"/>
      <c r="CV50" s="41"/>
      <c r="CW50" s="41"/>
      <c r="CX50" s="41"/>
      <c r="CY50" s="42"/>
      <c r="CZ50" s="41"/>
      <c r="DA50" s="43"/>
      <c r="DB50" s="41"/>
      <c r="DC50" s="41"/>
      <c r="DD50" s="41"/>
      <c r="DE50" s="170"/>
      <c r="DF50" s="40"/>
      <c r="DG50" s="169"/>
      <c r="DH50" s="38"/>
      <c r="DI50" s="38"/>
      <c r="DJ50" s="38"/>
      <c r="DK50" s="39"/>
      <c r="DL50" s="38"/>
      <c r="DM50" s="40"/>
      <c r="DN50" s="38"/>
      <c r="DO50" s="38"/>
      <c r="DP50" s="38"/>
      <c r="DQ50" s="168"/>
      <c r="DR50" s="37"/>
      <c r="DS50" s="167"/>
      <c r="DT50" s="35"/>
      <c r="DU50" s="35"/>
      <c r="DV50" s="35"/>
      <c r="DW50" s="36"/>
      <c r="DX50" s="35"/>
      <c r="DY50" s="37"/>
      <c r="DZ50" s="35"/>
      <c r="EA50" s="35"/>
      <c r="EB50" s="35"/>
      <c r="EC50" s="166"/>
      <c r="ED50" s="34"/>
      <c r="EE50" s="190"/>
      <c r="EF50" s="32"/>
      <c r="EG50" s="32"/>
      <c r="EH50" s="32"/>
      <c r="EI50" s="33"/>
      <c r="EJ50" s="32"/>
      <c r="EK50" s="34"/>
      <c r="EL50" s="32"/>
      <c r="EM50" s="32"/>
      <c r="EN50" s="32"/>
      <c r="EO50" s="165"/>
      <c r="EP50" s="31"/>
      <c r="EQ50" s="164"/>
      <c r="ER50" s="29"/>
      <c r="ES50" s="29"/>
      <c r="ET50" s="29"/>
      <c r="EU50" s="30"/>
      <c r="EV50" s="29"/>
      <c r="EW50" s="31"/>
      <c r="EX50" s="29"/>
      <c r="EY50" s="29"/>
      <c r="EZ50" s="29"/>
      <c r="FA50" s="163"/>
      <c r="FB50" s="28"/>
      <c r="FC50" s="189"/>
      <c r="FD50" s="26"/>
      <c r="FE50" s="26"/>
      <c r="FF50" s="26"/>
      <c r="FG50" s="27"/>
      <c r="FH50" s="26"/>
      <c r="FI50" s="28"/>
      <c r="FJ50" s="26"/>
      <c r="FK50" s="26"/>
      <c r="FL50" s="26"/>
      <c r="FM50" s="162"/>
      <c r="FN50" s="25"/>
      <c r="FO50" s="161"/>
      <c r="FP50" s="23"/>
      <c r="FQ50" s="23"/>
      <c r="FR50" s="23"/>
      <c r="FS50" s="24"/>
      <c r="FT50" s="23"/>
      <c r="FU50" s="25"/>
      <c r="FV50" s="23"/>
      <c r="FW50" s="23"/>
      <c r="FX50" s="23"/>
      <c r="FY50" s="160"/>
      <c r="FZ50" s="22"/>
      <c r="GA50" s="159"/>
      <c r="GB50" s="20"/>
      <c r="GC50" s="20"/>
      <c r="GD50" s="20"/>
      <c r="GE50" s="21"/>
      <c r="GF50" s="20"/>
      <c r="GG50" s="22"/>
      <c r="GH50" s="20"/>
      <c r="GI50" s="20"/>
      <c r="GJ50" s="20"/>
      <c r="GK50" s="158"/>
      <c r="GL50" s="19"/>
      <c r="GM50" s="157"/>
      <c r="GN50" s="17"/>
      <c r="GO50" s="17"/>
      <c r="GP50" s="17"/>
      <c r="GQ50" s="18"/>
      <c r="GR50" s="17"/>
      <c r="GS50" s="19"/>
      <c r="GT50" s="17"/>
      <c r="GU50" s="17"/>
      <c r="GV50" s="17"/>
      <c r="GW50" s="156"/>
      <c r="GX50" s="16"/>
      <c r="GY50" s="155"/>
      <c r="GZ50" s="14"/>
      <c r="HA50" s="14"/>
      <c r="HB50" s="14"/>
      <c r="HC50" s="15"/>
      <c r="HD50" s="14"/>
      <c r="HE50" s="16"/>
      <c r="HF50" s="14"/>
      <c r="HG50" s="14"/>
      <c r="HH50" s="14"/>
      <c r="HI50" s="154"/>
      <c r="HJ50" s="13"/>
      <c r="HK50" s="153"/>
      <c r="HL50" s="11"/>
      <c r="HM50" s="11"/>
      <c r="HN50" s="11"/>
      <c r="HO50" s="12"/>
      <c r="HP50" s="11"/>
      <c r="HQ50" s="13"/>
      <c r="HR50" s="11"/>
      <c r="HS50" s="11"/>
      <c r="HT50" s="11"/>
      <c r="HU50" s="152"/>
      <c r="HV50" s="10"/>
      <c r="HW50" s="151"/>
      <c r="HX50" s="8"/>
      <c r="HY50" s="8"/>
      <c r="HZ50" s="8"/>
      <c r="IA50" s="9"/>
      <c r="IB50" s="8"/>
      <c r="IC50" s="10"/>
      <c r="ID50" s="8"/>
      <c r="IE50" s="8"/>
      <c r="IF50" s="8"/>
    </row>
    <row r="51" spans="1:240" x14ac:dyDescent="0.25">
      <c r="A51" s="188"/>
      <c r="B51" s="68"/>
      <c r="C51" s="187"/>
      <c r="D51" s="66"/>
      <c r="E51" s="66"/>
      <c r="F51" s="66"/>
      <c r="G51" s="66"/>
      <c r="H51" s="66"/>
      <c r="I51" s="66"/>
      <c r="J51" s="66"/>
      <c r="K51" s="66"/>
      <c r="L51" s="66"/>
      <c r="M51" s="186"/>
      <c r="N51" s="62"/>
      <c r="O51" s="185"/>
      <c r="P51" s="62"/>
      <c r="Q51" s="62"/>
      <c r="R51" s="62"/>
      <c r="S51" s="62"/>
      <c r="T51" s="62"/>
      <c r="U51" s="62"/>
      <c r="V51" s="62"/>
      <c r="W51" s="62"/>
      <c r="X51" s="62"/>
      <c r="Y51" s="184"/>
      <c r="Z51" s="59"/>
      <c r="AA51" s="183"/>
      <c r="AB51" s="59"/>
      <c r="AC51" s="59"/>
      <c r="AD51" s="59"/>
      <c r="AE51" s="59"/>
      <c r="AF51" s="59"/>
      <c r="AG51" s="59"/>
      <c r="AH51" s="59"/>
      <c r="AI51" s="59"/>
      <c r="AJ51" s="59"/>
      <c r="AK51" s="182"/>
      <c r="AL51" s="56"/>
      <c r="AM51" s="181"/>
      <c r="AN51" s="56"/>
      <c r="AO51" s="56"/>
      <c r="AP51" s="56"/>
      <c r="AQ51" s="56"/>
      <c r="AR51" s="56"/>
      <c r="AS51" s="56"/>
      <c r="AT51" s="56"/>
      <c r="AU51" s="56"/>
      <c r="AV51" s="56"/>
      <c r="AW51" s="180"/>
      <c r="AX51" s="53"/>
      <c r="AY51" s="179"/>
      <c r="AZ51" s="53"/>
      <c r="BA51" s="53"/>
      <c r="BB51" s="53"/>
      <c r="BC51" s="53"/>
      <c r="BD51" s="53"/>
      <c r="BE51" s="53"/>
      <c r="BF51" s="53"/>
      <c r="BG51" s="53"/>
      <c r="BH51" s="53"/>
      <c r="BI51" s="178"/>
      <c r="BJ51" s="52"/>
      <c r="BK51" s="177"/>
      <c r="BL51" s="50"/>
      <c r="BM51" s="50"/>
      <c r="BN51" s="50"/>
      <c r="BO51" s="50"/>
      <c r="BP51" s="50"/>
      <c r="BQ51" s="50"/>
      <c r="BR51" s="50"/>
      <c r="BS51" s="50"/>
      <c r="BT51" s="50"/>
      <c r="BU51" s="176"/>
      <c r="BV51" s="47"/>
      <c r="BW51" s="175"/>
      <c r="BX51" s="47"/>
      <c r="BY51" s="47"/>
      <c r="BZ51" s="47"/>
      <c r="CA51" s="47"/>
      <c r="CB51" s="47"/>
      <c r="CC51" s="47"/>
      <c r="CD51" s="47"/>
      <c r="CE51" s="47"/>
      <c r="CF51" s="47"/>
      <c r="CG51" s="174"/>
      <c r="CH51" s="46"/>
      <c r="CI51" s="173"/>
      <c r="CJ51" s="44"/>
      <c r="CK51" s="44"/>
      <c r="CL51" s="44"/>
      <c r="CM51" s="44"/>
      <c r="CN51" s="44"/>
      <c r="CO51" s="44"/>
      <c r="CP51" s="44"/>
      <c r="CQ51" s="44"/>
      <c r="CR51" s="44"/>
      <c r="CS51" s="172"/>
      <c r="CT51" s="41"/>
      <c r="CU51" s="171"/>
      <c r="CV51" s="41"/>
      <c r="CW51" s="41"/>
      <c r="CX51" s="41"/>
      <c r="CY51" s="41"/>
      <c r="CZ51" s="41"/>
      <c r="DA51" s="41"/>
      <c r="DB51" s="41"/>
      <c r="DC51" s="41"/>
      <c r="DD51" s="41"/>
      <c r="DE51" s="170"/>
      <c r="DF51" s="38"/>
      <c r="DG51" s="169"/>
      <c r="DH51" s="38"/>
      <c r="DI51" s="38"/>
      <c r="DJ51" s="38"/>
      <c r="DK51" s="38"/>
      <c r="DL51" s="38"/>
      <c r="DM51" s="38"/>
      <c r="DN51" s="38"/>
      <c r="DO51" s="38"/>
      <c r="DP51" s="38"/>
      <c r="DQ51" s="168"/>
      <c r="DR51" s="35"/>
      <c r="DS51" s="167"/>
      <c r="DT51" s="35"/>
      <c r="DU51" s="35"/>
      <c r="DV51" s="35"/>
      <c r="DW51" s="35"/>
      <c r="DX51" s="35"/>
      <c r="DY51" s="35"/>
      <c r="DZ51" s="35"/>
      <c r="EA51" s="35"/>
      <c r="EB51" s="35"/>
      <c r="EC51" s="166"/>
      <c r="ED51" s="32"/>
      <c r="EE51" s="125"/>
      <c r="EF51" s="32"/>
      <c r="EG51" s="32"/>
      <c r="EH51" s="32"/>
      <c r="EI51" s="32"/>
      <c r="EJ51" s="32"/>
      <c r="EK51" s="32"/>
      <c r="EL51" s="32"/>
      <c r="EM51" s="32"/>
      <c r="EN51" s="32"/>
      <c r="EO51" s="165"/>
      <c r="EP51" s="31"/>
      <c r="EQ51" s="164"/>
      <c r="ER51" s="29"/>
      <c r="ES51" s="29"/>
      <c r="ET51" s="29"/>
      <c r="EU51" s="29"/>
      <c r="EV51" s="29"/>
      <c r="EW51" s="29"/>
      <c r="EX51" s="29"/>
      <c r="EY51" s="29"/>
      <c r="EZ51" s="29"/>
      <c r="FA51" s="163"/>
      <c r="FB51" s="28"/>
      <c r="FC51" s="124"/>
      <c r="FD51" s="26"/>
      <c r="FE51" s="26"/>
      <c r="FF51" s="26"/>
      <c r="FG51" s="26"/>
      <c r="FH51" s="26"/>
      <c r="FI51" s="26"/>
      <c r="FJ51" s="26"/>
      <c r="FK51" s="26"/>
      <c r="FL51" s="26"/>
      <c r="FM51" s="162"/>
      <c r="FN51" s="25"/>
      <c r="FO51" s="161"/>
      <c r="FP51" s="23"/>
      <c r="FQ51" s="23"/>
      <c r="FR51" s="23"/>
      <c r="FS51" s="23"/>
      <c r="FT51" s="23"/>
      <c r="FU51" s="23"/>
      <c r="FV51" s="23"/>
      <c r="FW51" s="23"/>
      <c r="FX51" s="23"/>
      <c r="FY51" s="160"/>
      <c r="FZ51" s="20"/>
      <c r="GA51" s="159"/>
      <c r="GB51" s="20"/>
      <c r="GC51" s="20"/>
      <c r="GD51" s="20"/>
      <c r="GE51" s="20"/>
      <c r="GF51" s="20"/>
      <c r="GG51" s="20"/>
      <c r="GH51" s="20"/>
      <c r="GI51" s="20"/>
      <c r="GJ51" s="20"/>
      <c r="GK51" s="158"/>
      <c r="GL51" s="19"/>
      <c r="GM51" s="157"/>
      <c r="GN51" s="17"/>
      <c r="GO51" s="17"/>
      <c r="GP51" s="17"/>
      <c r="GQ51" s="17"/>
      <c r="GR51" s="17"/>
      <c r="GS51" s="17"/>
      <c r="GT51" s="17"/>
      <c r="GU51" s="17"/>
      <c r="GV51" s="17"/>
      <c r="GW51" s="156"/>
      <c r="GX51" s="16"/>
      <c r="GY51" s="155"/>
      <c r="GZ51" s="14"/>
      <c r="HA51" s="14"/>
      <c r="HB51" s="14"/>
      <c r="HC51" s="14"/>
      <c r="HD51" s="14"/>
      <c r="HE51" s="14"/>
      <c r="HF51" s="14"/>
      <c r="HG51" s="14"/>
      <c r="HH51" s="14"/>
      <c r="HI51" s="154"/>
      <c r="HJ51" s="13"/>
      <c r="HK51" s="153"/>
      <c r="HL51" s="11"/>
      <c r="HM51" s="11"/>
      <c r="HN51" s="11"/>
      <c r="HO51" s="11"/>
      <c r="HP51" s="11"/>
      <c r="HQ51" s="11"/>
      <c r="HR51" s="11"/>
      <c r="HS51" s="11"/>
      <c r="HT51" s="11"/>
      <c r="HU51" s="152"/>
      <c r="HV51" s="10"/>
      <c r="HW51" s="151"/>
      <c r="HX51" s="8"/>
      <c r="HY51" s="8"/>
      <c r="HZ51" s="8"/>
      <c r="IA51" s="8"/>
      <c r="IB51" s="8"/>
      <c r="IC51" s="8"/>
      <c r="ID51" s="8"/>
      <c r="IE51" s="8"/>
      <c r="IF51" s="8"/>
    </row>
    <row r="52" spans="1:240" s="2" customFormat="1" x14ac:dyDescent="0.25">
      <c r="A52" s="68" t="s">
        <v>11</v>
      </c>
      <c r="B52" s="68">
        <f>[1]tableTmp!$A$2</f>
        <v>2</v>
      </c>
      <c r="C52" s="150"/>
      <c r="D52" s="68"/>
      <c r="E52" s="68"/>
      <c r="F52" s="68"/>
      <c r="G52" s="67" t="s">
        <v>15</v>
      </c>
      <c r="H52" s="68"/>
      <c r="I52" s="68"/>
      <c r="J52" s="68"/>
      <c r="K52" s="67">
        <f>$B$54</f>
        <v>89</v>
      </c>
      <c r="L52" s="68"/>
      <c r="M52" s="64" t="s">
        <v>11</v>
      </c>
      <c r="N52" s="64">
        <f>[1]tableTmp!$A$3</f>
        <v>4</v>
      </c>
      <c r="O52" s="149"/>
      <c r="P52" s="64"/>
      <c r="Q52" s="64"/>
      <c r="R52" s="64"/>
      <c r="S52" s="63" t="s">
        <v>15</v>
      </c>
      <c r="T52" s="64"/>
      <c r="U52" s="64"/>
      <c r="V52" s="64"/>
      <c r="W52" s="63">
        <f>$N$54</f>
        <v>68</v>
      </c>
      <c r="X52" s="64"/>
      <c r="Y52" s="61" t="s">
        <v>11</v>
      </c>
      <c r="Z52" s="61">
        <f>[1]tableTmp!$A$4</f>
        <v>12</v>
      </c>
      <c r="AA52" s="148"/>
      <c r="AB52" s="61"/>
      <c r="AC52" s="61"/>
      <c r="AD52" s="61"/>
      <c r="AE52" s="60" t="s">
        <v>15</v>
      </c>
      <c r="AF52" s="61"/>
      <c r="AG52" s="61"/>
      <c r="AH52" s="61"/>
      <c r="AI52" s="60">
        <f>$Z$54</f>
        <v>48</v>
      </c>
      <c r="AJ52" s="61"/>
      <c r="AK52" s="58" t="s">
        <v>11</v>
      </c>
      <c r="AL52" s="58">
        <f>[1]tableTmp!$A$5</f>
        <v>16</v>
      </c>
      <c r="AM52" s="147"/>
      <c r="AN52" s="58"/>
      <c r="AO52" s="58"/>
      <c r="AP52" s="58"/>
      <c r="AQ52" s="57" t="s">
        <v>15</v>
      </c>
      <c r="AR52" s="58"/>
      <c r="AS52" s="58"/>
      <c r="AT52" s="58"/>
      <c r="AU52" s="57">
        <f>$AL$54</f>
        <v>39</v>
      </c>
      <c r="AV52" s="58"/>
      <c r="AW52" s="55" t="s">
        <v>11</v>
      </c>
      <c r="AX52" s="55">
        <f>[1]tableTmp!$A$6</f>
        <v>11</v>
      </c>
      <c r="AY52" s="146"/>
      <c r="AZ52" s="55"/>
      <c r="BA52" s="55"/>
      <c r="BB52" s="55"/>
      <c r="BC52" s="54" t="s">
        <v>15</v>
      </c>
      <c r="BD52" s="55"/>
      <c r="BE52" s="55"/>
      <c r="BF52" s="55"/>
      <c r="BG52" s="54">
        <f>$AX$54</f>
        <v>48</v>
      </c>
      <c r="BH52" s="55"/>
      <c r="BI52" s="52" t="s">
        <v>11</v>
      </c>
      <c r="BJ52" s="52">
        <f>[1]tableTmp!$A$7</f>
        <v>19</v>
      </c>
      <c r="BK52" s="145"/>
      <c r="BL52" s="52"/>
      <c r="BM52" s="52"/>
      <c r="BN52" s="52"/>
      <c r="BO52" s="51" t="s">
        <v>15</v>
      </c>
      <c r="BP52" s="52"/>
      <c r="BQ52" s="52"/>
      <c r="BR52" s="52"/>
      <c r="BS52" s="51">
        <f>$BJ$54</f>
        <v>24</v>
      </c>
      <c r="BT52" s="52"/>
      <c r="BU52" s="49" t="s">
        <v>11</v>
      </c>
      <c r="BV52" s="49">
        <f>[1]tableTmp!$A$8</f>
        <v>6</v>
      </c>
      <c r="BW52" s="144"/>
      <c r="BX52" s="49"/>
      <c r="BY52" s="49"/>
      <c r="BZ52" s="49"/>
      <c r="CA52" s="48" t="s">
        <v>15</v>
      </c>
      <c r="CB52" s="49"/>
      <c r="CC52" s="49"/>
      <c r="CD52" s="49"/>
      <c r="CE52" s="48">
        <f>$BV$54</f>
        <v>63</v>
      </c>
      <c r="CF52" s="49"/>
      <c r="CG52" s="46" t="s">
        <v>11</v>
      </c>
      <c r="CH52" s="46">
        <f>[1]tableTmp!$A$9</f>
        <v>10</v>
      </c>
      <c r="CI52" s="143"/>
      <c r="CJ52" s="46"/>
      <c r="CK52" s="46"/>
      <c r="CL52" s="46"/>
      <c r="CM52" s="45" t="s">
        <v>15</v>
      </c>
      <c r="CN52" s="46"/>
      <c r="CO52" s="46"/>
      <c r="CP52" s="46"/>
      <c r="CQ52" s="45">
        <f>$CH$54</f>
        <v>49</v>
      </c>
      <c r="CR52" s="46"/>
      <c r="CS52" s="43" t="s">
        <v>11</v>
      </c>
      <c r="CT52" s="43">
        <f>[1]tableTmp!$A$10</f>
        <v>15</v>
      </c>
      <c r="CU52" s="142"/>
      <c r="CV52" s="43"/>
      <c r="CW52" s="43"/>
      <c r="CX52" s="43"/>
      <c r="CY52" s="42" t="s">
        <v>15</v>
      </c>
      <c r="CZ52" s="43"/>
      <c r="DA52" s="43"/>
      <c r="DB52" s="43"/>
      <c r="DC52" s="42">
        <f>$CT$54</f>
        <v>48</v>
      </c>
      <c r="DD52" s="43"/>
      <c r="DE52" s="40" t="s">
        <v>11</v>
      </c>
      <c r="DF52" s="40">
        <f>[1]tableTmp!$A$11</f>
        <v>13</v>
      </c>
      <c r="DG52" s="141"/>
      <c r="DH52" s="40"/>
      <c r="DI52" s="40"/>
      <c r="DJ52" s="40"/>
      <c r="DK52" s="39" t="s">
        <v>15</v>
      </c>
      <c r="DL52" s="40"/>
      <c r="DM52" s="40"/>
      <c r="DN52" s="40"/>
      <c r="DO52" s="39">
        <f>$DF$54</f>
        <v>47</v>
      </c>
      <c r="DP52" s="40"/>
      <c r="DQ52" s="37" t="s">
        <v>11</v>
      </c>
      <c r="DR52" s="37">
        <f>[1]tableTmp!$A$12</f>
        <v>3</v>
      </c>
      <c r="DS52" s="140"/>
      <c r="DT52" s="37"/>
      <c r="DU52" s="37"/>
      <c r="DV52" s="37"/>
      <c r="DW52" s="36" t="s">
        <v>15</v>
      </c>
      <c r="DX52" s="37"/>
      <c r="DY52" s="37"/>
      <c r="DZ52" s="37"/>
      <c r="EA52" s="36">
        <f>$DR$54</f>
        <v>82</v>
      </c>
      <c r="EB52" s="37"/>
      <c r="EC52" s="34" t="s">
        <v>11</v>
      </c>
      <c r="ED52" s="34">
        <f>[1]tableTmp!$A$13</f>
        <v>18</v>
      </c>
      <c r="EE52" s="139"/>
      <c r="EF52" s="34"/>
      <c r="EG52" s="34"/>
      <c r="EH52" s="34"/>
      <c r="EI52" s="33" t="s">
        <v>15</v>
      </c>
      <c r="EJ52" s="34"/>
      <c r="EK52" s="34"/>
      <c r="EL52" s="34"/>
      <c r="EM52" s="33">
        <f>$ED$54</f>
        <v>26</v>
      </c>
      <c r="EN52" s="34"/>
      <c r="EO52" s="31" t="s">
        <v>11</v>
      </c>
      <c r="EP52" s="31">
        <f>[1]tableTmp!$A$14</f>
        <v>1</v>
      </c>
      <c r="EQ52" s="138"/>
      <c r="ER52" s="31"/>
      <c r="ES52" s="31"/>
      <c r="ET52" s="31"/>
      <c r="EU52" s="30" t="s">
        <v>15</v>
      </c>
      <c r="EV52" s="31"/>
      <c r="EW52" s="31"/>
      <c r="EX52" s="31"/>
      <c r="EY52" s="30">
        <f>$EP$54</f>
        <v>91</v>
      </c>
      <c r="EZ52" s="31"/>
      <c r="FA52" s="28" t="s">
        <v>11</v>
      </c>
      <c r="FB52" s="28">
        <f>[1]tableTmp!$A$15</f>
        <v>8</v>
      </c>
      <c r="FC52" s="137"/>
      <c r="FD52" s="28"/>
      <c r="FE52" s="28"/>
      <c r="FF52" s="28"/>
      <c r="FG52" s="27" t="s">
        <v>15</v>
      </c>
      <c r="FH52" s="28"/>
      <c r="FI52" s="28"/>
      <c r="FJ52" s="28"/>
      <c r="FK52" s="27">
        <f>$FB$54</f>
        <v>60</v>
      </c>
      <c r="FL52" s="28"/>
      <c r="FM52" s="25" t="s">
        <v>11</v>
      </c>
      <c r="FN52" s="25">
        <f>[1]tableTmp!$A$16</f>
        <v>7</v>
      </c>
      <c r="FO52" s="136"/>
      <c r="FP52" s="25"/>
      <c r="FQ52" s="25"/>
      <c r="FR52" s="25"/>
      <c r="FS52" s="24" t="s">
        <v>15</v>
      </c>
      <c r="FT52" s="25"/>
      <c r="FU52" s="25"/>
      <c r="FV52" s="25"/>
      <c r="FW52" s="24">
        <f>$FN$54</f>
        <v>60</v>
      </c>
      <c r="FX52" s="25"/>
      <c r="FY52" s="22" t="s">
        <v>11</v>
      </c>
      <c r="FZ52" s="22">
        <f>[1]tableTmp!$A$17</f>
        <v>17</v>
      </c>
      <c r="GA52" s="135"/>
      <c r="GB52" s="22"/>
      <c r="GC52" s="22"/>
      <c r="GD52" s="22"/>
      <c r="GE52" s="21" t="s">
        <v>15</v>
      </c>
      <c r="GF52" s="22"/>
      <c r="GG52" s="22"/>
      <c r="GH52" s="22"/>
      <c r="GI52" s="21">
        <f>$FZ$54</f>
        <v>36</v>
      </c>
      <c r="GJ52" s="22"/>
      <c r="GK52" s="19" t="s">
        <v>11</v>
      </c>
      <c r="GL52" s="19">
        <f>[1]tableTmp!$A$18</f>
        <v>20</v>
      </c>
      <c r="GM52" s="134"/>
      <c r="GN52" s="19"/>
      <c r="GO52" s="19"/>
      <c r="GP52" s="19"/>
      <c r="GQ52" s="18" t="s">
        <v>15</v>
      </c>
      <c r="GR52" s="19"/>
      <c r="GS52" s="19"/>
      <c r="GT52" s="19"/>
      <c r="GU52" s="18">
        <f>$GL$54</f>
        <v>16</v>
      </c>
      <c r="GV52" s="19"/>
      <c r="GW52" s="16" t="s">
        <v>11</v>
      </c>
      <c r="GX52" s="16">
        <f>[1]tableTmp!$A$19</f>
        <v>5</v>
      </c>
      <c r="GY52" s="133"/>
      <c r="GZ52" s="16"/>
      <c r="HA52" s="16"/>
      <c r="HB52" s="16"/>
      <c r="HC52" s="15" t="s">
        <v>15</v>
      </c>
      <c r="HD52" s="16"/>
      <c r="HE52" s="16"/>
      <c r="HF52" s="16"/>
      <c r="HG52" s="15">
        <f>$GX$54</f>
        <v>66</v>
      </c>
      <c r="HH52" s="16"/>
      <c r="HI52" s="13" t="s">
        <v>11</v>
      </c>
      <c r="HJ52" s="13">
        <f>[1]tableTmp!$A$20</f>
        <v>9</v>
      </c>
      <c r="HK52" s="132"/>
      <c r="HL52" s="13"/>
      <c r="HM52" s="13"/>
      <c r="HN52" s="13"/>
      <c r="HO52" s="12" t="s">
        <v>15</v>
      </c>
      <c r="HP52" s="13"/>
      <c r="HQ52" s="13"/>
      <c r="HR52" s="13"/>
      <c r="HS52" s="12">
        <f>$HJ$54</f>
        <v>52</v>
      </c>
      <c r="HT52" s="13"/>
      <c r="HU52" s="10" t="s">
        <v>11</v>
      </c>
      <c r="HV52" s="10">
        <f>[1]tableTmp!$A$21</f>
        <v>14</v>
      </c>
      <c r="HW52" s="131"/>
      <c r="HX52" s="10"/>
      <c r="HY52" s="10"/>
      <c r="HZ52" s="10"/>
      <c r="IA52" s="9" t="s">
        <v>15</v>
      </c>
      <c r="IB52" s="10"/>
      <c r="IC52" s="10"/>
      <c r="ID52" s="10"/>
      <c r="IE52" s="9">
        <f>$HV$54</f>
        <v>46</v>
      </c>
      <c r="IF52" s="10"/>
    </row>
    <row r="53" spans="1:240" hidden="1" x14ac:dyDescent="0.25">
      <c r="A53" s="90"/>
      <c r="B53" s="89"/>
      <c r="C53" s="120"/>
      <c r="D53" s="90" t="s">
        <v>14</v>
      </c>
      <c r="E53" s="66">
        <f>SUMIFS(G2:G51,F2:F51,"A")</f>
        <v>43</v>
      </c>
      <c r="F53" s="66"/>
      <c r="G53" s="66"/>
      <c r="H53" s="66"/>
      <c r="I53" s="66"/>
      <c r="J53" s="66"/>
      <c r="K53" s="66"/>
      <c r="L53" s="66"/>
      <c r="M53" s="87"/>
      <c r="N53" s="62"/>
      <c r="O53" s="62"/>
      <c r="P53" s="87" t="s">
        <v>14</v>
      </c>
      <c r="Q53" s="62">
        <f>SUMIFS(S2:S51,R2:R51,"A")</f>
        <v>28</v>
      </c>
      <c r="R53" s="62"/>
      <c r="S53" s="62"/>
      <c r="T53" s="62"/>
      <c r="U53" s="62"/>
      <c r="V53" s="62"/>
      <c r="W53" s="62"/>
      <c r="X53" s="62"/>
      <c r="Y53" s="108"/>
      <c r="Z53" s="59"/>
      <c r="AA53" s="119"/>
      <c r="AB53" s="108" t="s">
        <v>14</v>
      </c>
      <c r="AC53" s="59">
        <f>SUMIFS(AE2:AE51,AD2:AD51,"A")</f>
        <v>27</v>
      </c>
      <c r="AD53" s="59"/>
      <c r="AE53" s="59"/>
      <c r="AF53" s="59"/>
      <c r="AG53" s="59"/>
      <c r="AH53" s="59"/>
      <c r="AI53" s="59"/>
      <c r="AJ53" s="59"/>
      <c r="AK53" s="85"/>
      <c r="AL53" s="56"/>
      <c r="AM53" s="129"/>
      <c r="AN53" s="85" t="s">
        <v>14</v>
      </c>
      <c r="AO53" s="56">
        <f>SUMIFS(AQ2:AQ51,AP2:AP51,"A")</f>
        <v>27</v>
      </c>
      <c r="AP53" s="56"/>
      <c r="AQ53" s="56"/>
      <c r="AR53" s="56"/>
      <c r="AS53" s="56"/>
      <c r="AT53" s="56"/>
      <c r="AU53" s="56"/>
      <c r="AV53" s="56"/>
      <c r="AW53" s="106"/>
      <c r="AX53" s="53"/>
      <c r="AY53" s="118"/>
      <c r="AZ53" s="106" t="s">
        <v>14</v>
      </c>
      <c r="BA53" s="53">
        <f>SUMIFS(BC2:BC51,BB2:BB51,"A")</f>
        <v>25</v>
      </c>
      <c r="BB53" s="53"/>
      <c r="BC53" s="53"/>
      <c r="BD53" s="53"/>
      <c r="BE53" s="53"/>
      <c r="BF53" s="53"/>
      <c r="BG53" s="53"/>
      <c r="BH53" s="53"/>
      <c r="BI53" s="83"/>
      <c r="BJ53" s="50"/>
      <c r="BK53" s="128"/>
      <c r="BL53" s="83" t="s">
        <v>14</v>
      </c>
      <c r="BM53" s="50">
        <f>SUMIFS(BO2:BO51,BN2:BN51,"A")</f>
        <v>22</v>
      </c>
      <c r="BN53" s="50"/>
      <c r="BO53" s="50"/>
      <c r="BP53" s="50"/>
      <c r="BQ53" s="50"/>
      <c r="BR53" s="50"/>
      <c r="BS53" s="50"/>
      <c r="BT53" s="50"/>
      <c r="BU53" s="82"/>
      <c r="BV53" s="47"/>
      <c r="BW53" s="117"/>
      <c r="BX53" s="82" t="s">
        <v>14</v>
      </c>
      <c r="BY53" s="47">
        <f>SUMIFS(CA2:CA51,BZ2:BZ51,"A")</f>
        <v>33</v>
      </c>
      <c r="BZ53" s="47"/>
      <c r="CA53" s="47"/>
      <c r="CB53" s="47"/>
      <c r="CC53" s="47"/>
      <c r="CD53" s="47"/>
      <c r="CE53" s="47"/>
      <c r="CF53" s="47"/>
      <c r="CG53" s="81"/>
      <c r="CH53" s="44"/>
      <c r="CI53" s="127"/>
      <c r="CJ53" s="81" t="s">
        <v>14</v>
      </c>
      <c r="CK53" s="44">
        <f>SUMIFS(CM2:CM51,CL2:CL51,"A")</f>
        <v>20</v>
      </c>
      <c r="CL53" s="44"/>
      <c r="CM53" s="44"/>
      <c r="CN53" s="44"/>
      <c r="CO53" s="44"/>
      <c r="CP53" s="44"/>
      <c r="CQ53" s="44"/>
      <c r="CR53" s="44"/>
      <c r="CS53" s="102"/>
      <c r="CT53" s="41"/>
      <c r="CU53" s="116"/>
      <c r="CV53" s="102" t="s">
        <v>14</v>
      </c>
      <c r="CW53" s="41">
        <f>SUMIFS(CY2:CY51,CX2:CX51,"A")</f>
        <v>18</v>
      </c>
      <c r="CX53" s="41"/>
      <c r="CY53" s="41"/>
      <c r="CZ53" s="41"/>
      <c r="DA53" s="41"/>
      <c r="DB53" s="41"/>
      <c r="DC53" s="41"/>
      <c r="DD53" s="41"/>
      <c r="DE53" s="79"/>
      <c r="DF53" s="38"/>
      <c r="DG53" s="126"/>
      <c r="DH53" s="79" t="s">
        <v>14</v>
      </c>
      <c r="DI53" s="38">
        <f>SUMIFS(DK2:DK51,DJ2:DJ51,"A")</f>
        <v>24</v>
      </c>
      <c r="DJ53" s="38"/>
      <c r="DK53" s="38"/>
      <c r="DL53" s="38"/>
      <c r="DM53" s="38"/>
      <c r="DN53" s="38"/>
      <c r="DO53" s="38"/>
      <c r="DP53" s="38"/>
      <c r="DQ53" s="78"/>
      <c r="DR53" s="35"/>
      <c r="DS53" s="115"/>
      <c r="DT53" s="78" t="s">
        <v>14</v>
      </c>
      <c r="DU53" s="35">
        <f>SUMIFS(DW2:DW51,DV2:DV51,"A")</f>
        <v>37</v>
      </c>
      <c r="DV53" s="35"/>
      <c r="DW53" s="35"/>
      <c r="DX53" s="35"/>
      <c r="DY53" s="35"/>
      <c r="DZ53" s="35"/>
      <c r="EA53" s="35"/>
      <c r="EB53" s="35"/>
      <c r="EC53" s="99"/>
      <c r="ED53" s="32"/>
      <c r="EE53" s="125"/>
      <c r="EF53" s="99" t="s">
        <v>14</v>
      </c>
      <c r="EG53" s="32">
        <f>SUMIFS(EI2:EI51,EH2:EH51,"A")</f>
        <v>24</v>
      </c>
      <c r="EH53" s="32"/>
      <c r="EI53" s="32"/>
      <c r="EJ53" s="32"/>
      <c r="EK53" s="32"/>
      <c r="EL53" s="32"/>
      <c r="EM53" s="32"/>
      <c r="EN53" s="32"/>
      <c r="EO53" s="98"/>
      <c r="EP53" s="29"/>
      <c r="EQ53" s="114"/>
      <c r="ER53" s="98" t="s">
        <v>14</v>
      </c>
      <c r="ES53" s="29">
        <f>SUMIFS(EU2:EU51,ET2:ET51,"A")</f>
        <v>45</v>
      </c>
      <c r="ET53" s="29"/>
      <c r="EU53" s="29"/>
      <c r="EV53" s="29"/>
      <c r="EW53" s="29"/>
      <c r="EX53" s="29"/>
      <c r="EY53" s="29"/>
      <c r="EZ53" s="29"/>
      <c r="FA53" s="75"/>
      <c r="FB53" s="26"/>
      <c r="FC53" s="124"/>
      <c r="FD53" s="75" t="s">
        <v>14</v>
      </c>
      <c r="FE53" s="26">
        <f>SUMIFS(FG2:FG51,FF2:FF51,"A")</f>
        <v>26</v>
      </c>
      <c r="FF53" s="26"/>
      <c r="FG53" s="26"/>
      <c r="FH53" s="26"/>
      <c r="FI53" s="26"/>
      <c r="FJ53" s="26"/>
      <c r="FK53" s="26"/>
      <c r="FL53" s="26"/>
      <c r="FM53" s="96"/>
      <c r="FN53" s="23"/>
      <c r="FO53" s="113"/>
      <c r="FP53" s="96" t="s">
        <v>14</v>
      </c>
      <c r="FQ53" s="23">
        <f>SUMIFS(FS2:FS51,FR2:FR51,"A")</f>
        <v>36</v>
      </c>
      <c r="FR53" s="23"/>
      <c r="FS53" s="23"/>
      <c r="FT53" s="23"/>
      <c r="FU53" s="23"/>
      <c r="FV53" s="23"/>
      <c r="FW53" s="23"/>
      <c r="FX53" s="23"/>
      <c r="FY53" s="95"/>
      <c r="FZ53" s="20"/>
      <c r="GA53" s="123"/>
      <c r="GB53" s="95" t="s">
        <v>14</v>
      </c>
      <c r="GC53" s="20">
        <f>SUMIFS(GE2:GE51,GD2:GD51,"A")</f>
        <v>22</v>
      </c>
      <c r="GD53" s="20"/>
      <c r="GE53" s="20"/>
      <c r="GF53" s="20"/>
      <c r="GG53" s="20"/>
      <c r="GH53" s="20"/>
      <c r="GI53" s="20"/>
      <c r="GJ53" s="20"/>
      <c r="GK53" s="72"/>
      <c r="GL53" s="17"/>
      <c r="GM53" s="112"/>
      <c r="GN53" s="72" t="s">
        <v>14</v>
      </c>
      <c r="GO53" s="17">
        <f>SUMIFS(GQ2:GQ51,GP2:GP51,"A")</f>
        <v>16</v>
      </c>
      <c r="GP53" s="17"/>
      <c r="GQ53" s="17"/>
      <c r="GR53" s="17"/>
      <c r="GS53" s="17"/>
      <c r="GT53" s="17"/>
      <c r="GU53" s="17"/>
      <c r="GV53" s="17"/>
      <c r="GW53" s="93"/>
      <c r="GX53" s="14"/>
      <c r="GY53" s="122"/>
      <c r="GZ53" s="93" t="s">
        <v>14</v>
      </c>
      <c r="HA53" s="14">
        <f>SUMIFS(HC2:HC51,HB2:HB51,"A")</f>
        <v>36</v>
      </c>
      <c r="HB53" s="14"/>
      <c r="HC53" s="14"/>
      <c r="HD53" s="14"/>
      <c r="HE53" s="14"/>
      <c r="HF53" s="14"/>
      <c r="HG53" s="14"/>
      <c r="HH53" s="14"/>
      <c r="HI53" s="92"/>
      <c r="HJ53" s="11"/>
      <c r="HK53" s="111"/>
      <c r="HL53" s="92" t="s">
        <v>14</v>
      </c>
      <c r="HM53" s="11">
        <f>SUMIFS(HO2:HO51,HN2:HN51,"A")</f>
        <v>29</v>
      </c>
      <c r="HN53" s="11"/>
      <c r="HO53" s="11"/>
      <c r="HP53" s="11"/>
      <c r="HQ53" s="11"/>
      <c r="HR53" s="11"/>
      <c r="HS53" s="11"/>
      <c r="HT53" s="11"/>
      <c r="HU53" s="91"/>
      <c r="HV53" s="8"/>
      <c r="HW53" s="121"/>
      <c r="HX53" s="91" t="s">
        <v>14</v>
      </c>
      <c r="HY53" s="8">
        <f>SUMIFS(IA2:IA51,HZ2:HZ51,"A")</f>
        <v>24</v>
      </c>
      <c r="HZ53" s="8"/>
      <c r="IA53" s="8"/>
      <c r="IB53" s="8"/>
      <c r="IC53" s="8"/>
      <c r="ID53" s="8"/>
      <c r="IE53" s="8"/>
      <c r="IF53" s="8"/>
    </row>
    <row r="54" spans="1:240" hidden="1" x14ac:dyDescent="0.25">
      <c r="A54" s="90" t="s">
        <v>10</v>
      </c>
      <c r="B54" s="68">
        <f>3*B56+B57</f>
        <v>89</v>
      </c>
      <c r="C54" s="89"/>
      <c r="D54" s="90" t="s">
        <v>7</v>
      </c>
      <c r="E54" s="68">
        <f>SUM(G2:G51)</f>
        <v>91</v>
      </c>
      <c r="F54" s="66"/>
      <c r="G54" s="66" t="str">
        <f ca="1">INDIRECT(A$61&amp;J54)</f>
        <v>W</v>
      </c>
      <c r="H54" s="66"/>
      <c r="I54" s="66"/>
      <c r="J54" s="66">
        <f>LOOKUP(2,1 / (J2:J50&lt;&gt; ""),ROW(J2:J50))</f>
        <v>49</v>
      </c>
      <c r="K54" s="66"/>
      <c r="L54" s="66"/>
      <c r="M54" s="87" t="s">
        <v>10</v>
      </c>
      <c r="N54" s="62">
        <f>3*N56+N57</f>
        <v>68</v>
      </c>
      <c r="O54" s="62"/>
      <c r="P54" s="87" t="s">
        <v>7</v>
      </c>
      <c r="Q54" s="62">
        <f>SUM(S2:S51)</f>
        <v>76</v>
      </c>
      <c r="R54" s="62"/>
      <c r="S54" s="62" t="str">
        <f ca="1">INDIRECT(M$61&amp;V54)</f>
        <v>L</v>
      </c>
      <c r="T54" s="62"/>
      <c r="U54" s="62"/>
      <c r="V54" s="62">
        <f>LOOKUP(2,1 / (V2:V50&lt;&gt; ""),ROW(V2:V50))</f>
        <v>49</v>
      </c>
      <c r="W54" s="62"/>
      <c r="X54" s="62"/>
      <c r="Y54" s="108" t="s">
        <v>10</v>
      </c>
      <c r="Z54" s="59">
        <f>3*Z56+Z57</f>
        <v>48</v>
      </c>
      <c r="AA54" s="119"/>
      <c r="AB54" s="108" t="s">
        <v>7</v>
      </c>
      <c r="AC54" s="59">
        <f>SUM(AE2:AE51)</f>
        <v>54</v>
      </c>
      <c r="AD54" s="59"/>
      <c r="AE54" s="59" t="str">
        <f ca="1">INDIRECT(Y$61&amp;AH54)</f>
        <v>L</v>
      </c>
      <c r="AF54" s="59"/>
      <c r="AG54" s="59"/>
      <c r="AH54" s="59">
        <f>LOOKUP(2,1 / (AH2:AH50&lt;&gt; ""),ROW(AH2:AH50))</f>
        <v>49</v>
      </c>
      <c r="AI54" s="59"/>
      <c r="AJ54" s="59"/>
      <c r="AK54" s="85" t="s">
        <v>10</v>
      </c>
      <c r="AL54" s="56">
        <f>3*AL56+AL57</f>
        <v>39</v>
      </c>
      <c r="AM54" s="129"/>
      <c r="AN54" s="85" t="s">
        <v>7</v>
      </c>
      <c r="AO54" s="56">
        <f>SUM(AQ2:AQ51)</f>
        <v>56</v>
      </c>
      <c r="AP54" s="56"/>
      <c r="AQ54" s="56" t="str">
        <f ca="1">INDIRECT(AK$61&amp;AT54)</f>
        <v>L</v>
      </c>
      <c r="AR54" s="56"/>
      <c r="AS54" s="56"/>
      <c r="AT54" s="56">
        <f>LOOKUP(2,1 / (AT2:AT50&lt;&gt; ""),ROW(AT2:AT50))</f>
        <v>49</v>
      </c>
      <c r="AU54" s="56"/>
      <c r="AV54" s="56"/>
      <c r="AW54" s="106" t="s">
        <v>10</v>
      </c>
      <c r="AX54" s="53">
        <f>3*AX56+AX57</f>
        <v>48</v>
      </c>
      <c r="AY54" s="118"/>
      <c r="AZ54" s="106" t="s">
        <v>7</v>
      </c>
      <c r="BA54" s="53">
        <f>SUM(BC2:BC51)</f>
        <v>55</v>
      </c>
      <c r="BB54" s="53"/>
      <c r="BC54" s="53" t="str">
        <f ca="1">INDIRECT(AW$61&amp;BF54)</f>
        <v>L</v>
      </c>
      <c r="BD54" s="53"/>
      <c r="BE54" s="53"/>
      <c r="BF54" s="53">
        <f>LOOKUP(2,1 / (BF2:BF50&lt;&gt; ""),ROW(BF2:BF50))</f>
        <v>49</v>
      </c>
      <c r="BG54" s="53"/>
      <c r="BH54" s="53"/>
      <c r="BI54" s="83" t="s">
        <v>10</v>
      </c>
      <c r="BJ54" s="50">
        <f>3*BJ56+BJ57</f>
        <v>24</v>
      </c>
      <c r="BK54" s="128"/>
      <c r="BL54" s="83" t="s">
        <v>7</v>
      </c>
      <c r="BM54" s="50">
        <f>SUM(BO2:BO51)</f>
        <v>41</v>
      </c>
      <c r="BN54" s="50"/>
      <c r="BO54" s="50" t="str">
        <f ca="1">INDIRECT(BI$61&amp;BR54)</f>
        <v>L</v>
      </c>
      <c r="BP54" s="50"/>
      <c r="BQ54" s="50"/>
      <c r="BR54" s="50">
        <f>LOOKUP(2,1 / (BR2:BR50&lt;&gt; ""),ROW(BR2:BR50))</f>
        <v>49</v>
      </c>
      <c r="BS54" s="50"/>
      <c r="BT54" s="50"/>
      <c r="BU54" s="82" t="s">
        <v>10</v>
      </c>
      <c r="BV54" s="47">
        <f>3*BV56+BV57</f>
        <v>63</v>
      </c>
      <c r="BW54" s="117"/>
      <c r="BX54" s="82" t="s">
        <v>7</v>
      </c>
      <c r="BY54" s="47">
        <f>SUM(CA2:CA51)</f>
        <v>77</v>
      </c>
      <c r="BZ54" s="47"/>
      <c r="CA54" s="47" t="str">
        <f ca="1">INDIRECT(BU$61&amp;CD54)</f>
        <v>W</v>
      </c>
      <c r="CB54" s="47"/>
      <c r="CC54" s="47"/>
      <c r="CD54" s="47">
        <f>LOOKUP(2,1 / (CD2:CD50&lt;&gt; ""),ROW(CD2:CD50))</f>
        <v>49</v>
      </c>
      <c r="CE54" s="47"/>
      <c r="CF54" s="47"/>
      <c r="CG54" s="81" t="s">
        <v>10</v>
      </c>
      <c r="CH54" s="44">
        <f>3*CH56+CH57</f>
        <v>49</v>
      </c>
      <c r="CI54" s="127"/>
      <c r="CJ54" s="81" t="s">
        <v>7</v>
      </c>
      <c r="CK54" s="44">
        <f>SUM(CM2:CM51)</f>
        <v>57</v>
      </c>
      <c r="CL54" s="44"/>
      <c r="CM54" s="44" t="str">
        <f ca="1">INDIRECT(CG$61&amp;CP54)</f>
        <v>W</v>
      </c>
      <c r="CN54" s="44"/>
      <c r="CO54" s="44"/>
      <c r="CP54" s="44">
        <f>LOOKUP(2,1 / (CP2:CP50&lt;&gt; ""),ROW(CP2:CP50))</f>
        <v>49</v>
      </c>
      <c r="CQ54" s="44"/>
      <c r="CR54" s="44"/>
      <c r="CS54" s="102" t="s">
        <v>10</v>
      </c>
      <c r="CT54" s="41">
        <f>3*CT56+CT57</f>
        <v>48</v>
      </c>
      <c r="CU54" s="116"/>
      <c r="CV54" s="102" t="s">
        <v>7</v>
      </c>
      <c r="CW54" s="41">
        <f>SUM(CY2:CY51)</f>
        <v>40</v>
      </c>
      <c r="CX54" s="41"/>
      <c r="CY54" s="41" t="str">
        <f ca="1">INDIRECT(CS$61&amp;DB54)</f>
        <v>L</v>
      </c>
      <c r="CZ54" s="41"/>
      <c r="DA54" s="41"/>
      <c r="DB54" s="41">
        <f>LOOKUP(2,1 / (DB2:DB50&lt;&gt; ""),ROW(DB2:DB50))</f>
        <v>49</v>
      </c>
      <c r="DC54" s="41"/>
      <c r="DD54" s="41"/>
      <c r="DE54" s="79" t="s">
        <v>10</v>
      </c>
      <c r="DF54" s="38">
        <f>3*DF56+DF57</f>
        <v>47</v>
      </c>
      <c r="DG54" s="126"/>
      <c r="DH54" s="79" t="s">
        <v>7</v>
      </c>
      <c r="DI54" s="38">
        <f>SUM(DK2:DK51)</f>
        <v>55</v>
      </c>
      <c r="DJ54" s="38"/>
      <c r="DK54" s="38" t="str">
        <f ca="1">INDIRECT(DE$61&amp;DN54)</f>
        <v>W</v>
      </c>
      <c r="DL54" s="38"/>
      <c r="DM54" s="38"/>
      <c r="DN54" s="38">
        <f>LOOKUP(2,1 / (DN2:DN50&lt;&gt; ""),ROW(DN2:DN50))</f>
        <v>49</v>
      </c>
      <c r="DO54" s="38"/>
      <c r="DP54" s="38"/>
      <c r="DQ54" s="78" t="s">
        <v>10</v>
      </c>
      <c r="DR54" s="35">
        <f>3*DR56+DR57</f>
        <v>82</v>
      </c>
      <c r="DS54" s="115"/>
      <c r="DT54" s="78" t="s">
        <v>7</v>
      </c>
      <c r="DU54" s="35">
        <f>SUM(DW2:DW51)</f>
        <v>86</v>
      </c>
      <c r="DV54" s="35"/>
      <c r="DW54" s="35" t="str">
        <f ca="1">INDIRECT(DQ$61&amp;DZ54)</f>
        <v>W</v>
      </c>
      <c r="DX54" s="35"/>
      <c r="DY54" s="35"/>
      <c r="DZ54" s="35">
        <f>LOOKUP(2,1 / (DZ2:DZ50&lt;&gt; ""),ROW(DZ2:DZ50))</f>
        <v>49</v>
      </c>
      <c r="EA54" s="35"/>
      <c r="EB54" s="35"/>
      <c r="EC54" s="99" t="s">
        <v>10</v>
      </c>
      <c r="ED54" s="32">
        <f>3*ED56+ED57</f>
        <v>26</v>
      </c>
      <c r="EE54" s="125"/>
      <c r="EF54" s="99" t="s">
        <v>7</v>
      </c>
      <c r="EG54" s="32">
        <f>SUM(EI2:EI51)</f>
        <v>52</v>
      </c>
      <c r="EH54" s="32"/>
      <c r="EI54" s="32" t="str">
        <f ca="1">INDIRECT(EC$61&amp;EL54)</f>
        <v>L</v>
      </c>
      <c r="EJ54" s="32"/>
      <c r="EK54" s="32"/>
      <c r="EL54" s="32">
        <f>LOOKUP(2,1 / (EL2:EL50&lt;&gt; ""),ROW(EL2:EL50))</f>
        <v>49</v>
      </c>
      <c r="EM54" s="32"/>
      <c r="EN54" s="32"/>
      <c r="EO54" s="98" t="s">
        <v>10</v>
      </c>
      <c r="EP54" s="29">
        <f>3*EP56+EP57</f>
        <v>91</v>
      </c>
      <c r="EQ54" s="114"/>
      <c r="ER54" s="98" t="s">
        <v>7</v>
      </c>
      <c r="ES54" s="29">
        <f>SUM(EU2:EU51)</f>
        <v>96</v>
      </c>
      <c r="ET54" s="29"/>
      <c r="EU54" s="29" t="str">
        <f ca="1">INDIRECT(EO$61&amp;EX54)</f>
        <v>W</v>
      </c>
      <c r="EV54" s="29"/>
      <c r="EW54" s="29"/>
      <c r="EX54" s="29">
        <f>LOOKUP(2,1 / (EX2:EX50&lt;&gt; ""),ROW(EX2:EX50))</f>
        <v>49</v>
      </c>
      <c r="EY54" s="29"/>
      <c r="EZ54" s="29"/>
      <c r="FA54" s="75" t="s">
        <v>10</v>
      </c>
      <c r="FB54" s="26">
        <f>3*FB56+FB57</f>
        <v>60</v>
      </c>
      <c r="FC54" s="124"/>
      <c r="FD54" s="75" t="s">
        <v>7</v>
      </c>
      <c r="FE54" s="26">
        <f>SUM(FG2:FG51)</f>
        <v>57</v>
      </c>
      <c r="FF54" s="26"/>
      <c r="FG54" s="26" t="str">
        <f ca="1">INDIRECT(FA$61&amp;FJ54)</f>
        <v>W</v>
      </c>
      <c r="FH54" s="26"/>
      <c r="FI54" s="26"/>
      <c r="FJ54" s="26">
        <f>LOOKUP(2,1 / (FJ2:FJ50&lt;&gt; ""),ROW(FJ2:FJ50))</f>
        <v>49</v>
      </c>
      <c r="FK54" s="26"/>
      <c r="FL54" s="26"/>
      <c r="FM54" s="96" t="s">
        <v>10</v>
      </c>
      <c r="FN54" s="23">
        <f>3*FN56+FN57</f>
        <v>60</v>
      </c>
      <c r="FO54" s="113"/>
      <c r="FP54" s="96" t="s">
        <v>7</v>
      </c>
      <c r="FQ54" s="23">
        <f>SUM(FS2:FS51)</f>
        <v>85</v>
      </c>
      <c r="FR54" s="23"/>
      <c r="FS54" s="23" t="str">
        <f ca="1">INDIRECT(FM$61&amp;FV54)</f>
        <v>W</v>
      </c>
      <c r="FT54" s="23"/>
      <c r="FU54" s="23"/>
      <c r="FV54" s="23">
        <f>LOOKUP(2,1 / (FV2:FV50&lt;&gt; ""),ROW(FV2:FV50))</f>
        <v>49</v>
      </c>
      <c r="FW54" s="23"/>
      <c r="FX54" s="23"/>
      <c r="FY54" s="95" t="s">
        <v>10</v>
      </c>
      <c r="FZ54" s="20">
        <f>3*FZ56+FZ57</f>
        <v>36</v>
      </c>
      <c r="GA54" s="123"/>
      <c r="GB54" s="95" t="s">
        <v>7</v>
      </c>
      <c r="GC54" s="20">
        <f>SUM(GE2:GE51)</f>
        <v>49</v>
      </c>
      <c r="GD54" s="20"/>
      <c r="GE54" s="20" t="str">
        <f ca="1">INDIRECT(FY$61&amp;GH54)</f>
        <v>W</v>
      </c>
      <c r="GF54" s="20"/>
      <c r="GG54" s="20"/>
      <c r="GH54" s="20">
        <f>LOOKUP(2,1 / (GH2:GH50&lt;&gt; ""),ROW(GH2:GH50))</f>
        <v>49</v>
      </c>
      <c r="GI54" s="20"/>
      <c r="GJ54" s="20"/>
      <c r="GK54" s="72" t="s">
        <v>10</v>
      </c>
      <c r="GL54" s="17">
        <f>3*GL56+GL57</f>
        <v>16</v>
      </c>
      <c r="GM54" s="112"/>
      <c r="GN54" s="72" t="s">
        <v>7</v>
      </c>
      <c r="GO54" s="17">
        <f>SUM(GQ2:GQ51)</f>
        <v>35</v>
      </c>
      <c r="GP54" s="17"/>
      <c r="GQ54" s="17" t="str">
        <f ca="1">INDIRECT(GK$61&amp;GT54)</f>
        <v>L</v>
      </c>
      <c r="GR54" s="17"/>
      <c r="GS54" s="17"/>
      <c r="GT54" s="17">
        <f>LOOKUP(2,1 / (GT2:GT50&lt;&gt; ""),ROW(GT2:GT50))</f>
        <v>49</v>
      </c>
      <c r="GU54" s="17"/>
      <c r="GV54" s="17"/>
      <c r="GW54" s="93" t="s">
        <v>10</v>
      </c>
      <c r="GX54" s="14">
        <f>3*GX56+GX57</f>
        <v>66</v>
      </c>
      <c r="GY54" s="122"/>
      <c r="GZ54" s="93" t="s">
        <v>7</v>
      </c>
      <c r="HA54" s="14">
        <f>SUM(HC2:HC51)</f>
        <v>74</v>
      </c>
      <c r="HB54" s="14"/>
      <c r="HC54" s="14" t="str">
        <f ca="1">INDIRECT(GW$61&amp;HF54)</f>
        <v>W</v>
      </c>
      <c r="HD54" s="14"/>
      <c r="HE54" s="14"/>
      <c r="HF54" s="14">
        <f>LOOKUP(2,1 / (HF2:HF50&lt;&gt; ""),ROW(HF2:HF50))</f>
        <v>49</v>
      </c>
      <c r="HG54" s="14"/>
      <c r="HH54" s="14"/>
      <c r="HI54" s="92" t="s">
        <v>10</v>
      </c>
      <c r="HJ54" s="11">
        <f>3*HJ56+HJ57</f>
        <v>52</v>
      </c>
      <c r="HK54" s="111"/>
      <c r="HL54" s="92" t="s">
        <v>7</v>
      </c>
      <c r="HM54" s="11">
        <f>SUM(HO2:HO51)</f>
        <v>60</v>
      </c>
      <c r="HN54" s="11"/>
      <c r="HO54" s="11" t="str">
        <f ca="1">INDIRECT(HI$61&amp;HR54)</f>
        <v>L</v>
      </c>
      <c r="HP54" s="11"/>
      <c r="HQ54" s="11"/>
      <c r="HR54" s="11">
        <f>LOOKUP(2,1 / (HR2:HR50&lt;&gt; ""),ROW(HR2:HR50))</f>
        <v>49</v>
      </c>
      <c r="HS54" s="11"/>
      <c r="HT54" s="11"/>
      <c r="HU54" s="91" t="s">
        <v>10</v>
      </c>
      <c r="HV54" s="8">
        <f>3*HV56+HV57</f>
        <v>46</v>
      </c>
      <c r="HW54" s="121"/>
      <c r="HX54" s="91" t="s">
        <v>7</v>
      </c>
      <c r="HY54" s="8">
        <f>SUM(IA2:IA51)</f>
        <v>50</v>
      </c>
      <c r="HZ54" s="8"/>
      <c r="IA54" s="8" t="str">
        <f ca="1">INDIRECT(HU$61&amp;ID54)</f>
        <v>L</v>
      </c>
      <c r="IB54" s="8"/>
      <c r="IC54" s="8"/>
      <c r="ID54" s="8">
        <f>LOOKUP(2,1 / (ID2:ID50&lt;&gt; ""),ROW(ID2:ID50))</f>
        <v>49</v>
      </c>
      <c r="IE54" s="8"/>
      <c r="IF54" s="8"/>
    </row>
    <row r="55" spans="1:240" hidden="1" x14ac:dyDescent="0.25">
      <c r="A55" s="90" t="s">
        <v>8</v>
      </c>
      <c r="B55" s="68">
        <f>SUM(B56:B59)</f>
        <v>38</v>
      </c>
      <c r="C55" s="89"/>
      <c r="D55" s="90" t="s">
        <v>9</v>
      </c>
      <c r="E55" s="68">
        <f>SUM(I2:I51)</f>
        <v>29</v>
      </c>
      <c r="F55" s="66"/>
      <c r="G55" s="66" t="str">
        <f ca="1">INDIRECT(A$61&amp;J55)</f>
        <v>W</v>
      </c>
      <c r="H55" s="66"/>
      <c r="I55" s="66"/>
      <c r="J55" s="66">
        <f ca="1">IF(ISBLANK(INDIRECT(A$61&amp;J54-1)), LOOKUP(2,1 / (J$2:(INDIRECT(A$61&amp;J54-2)) &lt;&gt; ""),ROW(J$2:(INDIRECT(A$61&amp;J54-2)))),LOOKUP(2,1 / (J$2:(INDIRECT(A$61&amp;J54-1)) &lt;&gt; ""),ROW(J$2:(INDIRECT(A$61&amp;J54-1)))))</f>
        <v>48</v>
      </c>
      <c r="K55" s="66"/>
      <c r="L55" s="66"/>
      <c r="M55" s="87" t="s">
        <v>8</v>
      </c>
      <c r="N55" s="62">
        <f>SUM(N56:N59)</f>
        <v>38</v>
      </c>
      <c r="O55" s="62"/>
      <c r="P55" s="87" t="s">
        <v>9</v>
      </c>
      <c r="Q55" s="62">
        <f>SUM(U2:U51)</f>
        <v>61</v>
      </c>
      <c r="R55" s="62"/>
      <c r="S55" s="62" t="str">
        <f ca="1">INDIRECT(M$61&amp;V55)</f>
        <v>D</v>
      </c>
      <c r="T55" s="62"/>
      <c r="U55" s="62"/>
      <c r="V55" s="62">
        <f ca="1">IF(ISBLANK(INDIRECT(M$61&amp;V54-1)), LOOKUP(2,1 / (V$2:(INDIRECT(M$61&amp;V54-2)) &lt;&gt; ""),ROW(V$2:(INDIRECT(M$61&amp;V54-2)))),LOOKUP(2,1 / (V$2:(INDIRECT(M$61&amp;V54-1)) &lt;&gt; ""),ROW(V$2:(INDIRECT(M$61&amp;V54-1)))))</f>
        <v>48</v>
      </c>
      <c r="W55" s="62"/>
      <c r="X55" s="62"/>
      <c r="Y55" s="108" t="s">
        <v>8</v>
      </c>
      <c r="Z55" s="59">
        <f>SUM(Z56:Z59)</f>
        <v>38</v>
      </c>
      <c r="AA55" s="59"/>
      <c r="AB55" s="108" t="s">
        <v>9</v>
      </c>
      <c r="AC55" s="59">
        <f>SUM(AG2:AG51)</f>
        <v>67</v>
      </c>
      <c r="AD55" s="59"/>
      <c r="AE55" s="59" t="str">
        <f ca="1">INDIRECT(Y$61&amp;AH55)</f>
        <v>L</v>
      </c>
      <c r="AF55" s="59"/>
      <c r="AG55" s="59"/>
      <c r="AH55" s="59">
        <f ca="1">IF(ISBLANK(INDIRECT(Y$61&amp;AH54-1)), LOOKUP(2,1 / (AH$2:(INDIRECT(Y$61&amp;AH54-2)) &lt;&gt; ""),ROW(AH$2:(INDIRECT(Y$61&amp;AH54-2)))),LOOKUP(2,1 / (AH$2:(INDIRECT(Y$61&amp;AH54-1)) &lt;&gt; ""),ROW(AH$2:(INDIRECT(Y$61&amp;AH54-1)))))</f>
        <v>48</v>
      </c>
      <c r="AI55" s="59"/>
      <c r="AJ55" s="59"/>
      <c r="AK55" s="85" t="s">
        <v>8</v>
      </c>
      <c r="AL55" s="56">
        <f>SUM(AL56:AL59)</f>
        <v>38</v>
      </c>
      <c r="AM55" s="56"/>
      <c r="AN55" s="85" t="s">
        <v>9</v>
      </c>
      <c r="AO55" s="56">
        <f>SUM(AS2:AS51)</f>
        <v>65</v>
      </c>
      <c r="AP55" s="56"/>
      <c r="AQ55" s="56" t="str">
        <f ca="1">INDIRECT(AK$61&amp;AT55)</f>
        <v>W</v>
      </c>
      <c r="AR55" s="56"/>
      <c r="AS55" s="56"/>
      <c r="AT55" s="56">
        <f ca="1">IF(ISBLANK(INDIRECT(AK$61&amp;AT54-1)), LOOKUP(2,1 / (AT$2:(INDIRECT(AK$61&amp;AT54-2)) &lt;&gt; ""),ROW(AT$2:(INDIRECT(AK$61&amp;AT54-2)))),LOOKUP(2,1 / (AT$2:(INDIRECT(AK$61&amp;AT54-1)) &lt;&gt; ""),ROW(AT$2:(INDIRECT(AK$61&amp;AT54-1)))))</f>
        <v>48</v>
      </c>
      <c r="AU55" s="56"/>
      <c r="AV55" s="56"/>
      <c r="AW55" s="106" t="s">
        <v>8</v>
      </c>
      <c r="AX55" s="53">
        <f>SUM(AX56:AX59)</f>
        <v>38</v>
      </c>
      <c r="AY55" s="53"/>
      <c r="AZ55" s="106" t="s">
        <v>9</v>
      </c>
      <c r="BA55" s="53">
        <f>SUM(BE2:BE51)</f>
        <v>62</v>
      </c>
      <c r="BB55" s="53"/>
      <c r="BC55" s="53" t="str">
        <f ca="1">INDIRECT(AW$61&amp;BF55)</f>
        <v>L</v>
      </c>
      <c r="BD55" s="53"/>
      <c r="BE55" s="53"/>
      <c r="BF55" s="53">
        <f ca="1">IF(ISBLANK(INDIRECT(AW$61&amp;BF54-1)), LOOKUP(2,1 / (BF$2:(INDIRECT(AW$61&amp;BF54-2)) &lt;&gt; ""),ROW(BF$2:(INDIRECT(AW$61&amp;BF54-2)))),LOOKUP(2,1 / (BF$2:(INDIRECT(AW$61&amp;BF54-1)) &lt;&gt; ""),ROW(BF$2:(INDIRECT(AW$61&amp;BF54-1)))))</f>
        <v>48</v>
      </c>
      <c r="BG55" s="53"/>
      <c r="BH55" s="53"/>
      <c r="BI55" s="83" t="s">
        <v>8</v>
      </c>
      <c r="BJ55" s="50">
        <f>SUM(BJ56:BJ59)</f>
        <v>38</v>
      </c>
      <c r="BK55" s="50"/>
      <c r="BL55" s="83" t="s">
        <v>9</v>
      </c>
      <c r="BM55" s="50">
        <f>SUM(BQ2:BQ51)</f>
        <v>78</v>
      </c>
      <c r="BN55" s="50"/>
      <c r="BO55" s="50" t="str">
        <f ca="1">INDIRECT(BI$61&amp;BR55)</f>
        <v>L</v>
      </c>
      <c r="BP55" s="50"/>
      <c r="BQ55" s="50"/>
      <c r="BR55" s="50">
        <f ca="1">IF(ISBLANK(INDIRECT(BI$61&amp;BR54-1)), LOOKUP(2,1 / (BR$2:(INDIRECT(BI$61&amp;BR54-2)) &lt;&gt; ""),ROW(BR$2:(INDIRECT(BI$61&amp;BR54-2)))),LOOKUP(2,1 / (BR$2:(INDIRECT(BI$61&amp;BR54-1)) &lt;&gt; ""),ROW(BR$2:(INDIRECT(BI$61&amp;BR54-1)))))</f>
        <v>48</v>
      </c>
      <c r="BS55" s="50"/>
      <c r="BT55" s="50"/>
      <c r="BU55" s="82" t="s">
        <v>8</v>
      </c>
      <c r="BV55" s="47">
        <f>SUM(BV56:BV59)</f>
        <v>38</v>
      </c>
      <c r="BW55" s="47"/>
      <c r="BX55" s="82" t="s">
        <v>9</v>
      </c>
      <c r="BY55" s="47">
        <f>SUM(CC2:CC51)</f>
        <v>63</v>
      </c>
      <c r="BZ55" s="47"/>
      <c r="CA55" s="47" t="str">
        <f ca="1">INDIRECT(BU$61&amp;CD55)</f>
        <v>W</v>
      </c>
      <c r="CB55" s="47"/>
      <c r="CC55" s="47"/>
      <c r="CD55" s="47">
        <f ca="1">IF(ISBLANK(INDIRECT(BU$61&amp;CD54-1)), LOOKUP(2,1 / (CD$2:(INDIRECT(BU$61&amp;CD54-2)) &lt;&gt; ""),ROW(CD$2:(INDIRECT(BU$61&amp;CD54-2)))),LOOKUP(2,1 / (CD$2:(INDIRECT(BU$61&amp;CD54-1)) &lt;&gt; ""),ROW(CD$2:(INDIRECT(BU$61&amp;CD54-1)))))</f>
        <v>48</v>
      </c>
      <c r="CE55" s="47"/>
      <c r="CF55" s="47"/>
      <c r="CG55" s="81" t="s">
        <v>8</v>
      </c>
      <c r="CH55" s="44">
        <f>SUM(CH56:CH59)</f>
        <v>38</v>
      </c>
      <c r="CI55" s="44"/>
      <c r="CJ55" s="81" t="s">
        <v>9</v>
      </c>
      <c r="CK55" s="44">
        <f>SUM(CO2:CO51)</f>
        <v>58</v>
      </c>
      <c r="CL55" s="44"/>
      <c r="CM55" s="44" t="str">
        <f ca="1">INDIRECT(CG$61&amp;CP55)</f>
        <v>W</v>
      </c>
      <c r="CN55" s="44"/>
      <c r="CO55" s="44"/>
      <c r="CP55" s="44">
        <f ca="1">IF(ISBLANK(INDIRECT(CG$61&amp;CP54-1)), LOOKUP(2,1 / (CP$2:(INDIRECT(CG$61&amp;CP54-2)) &lt;&gt; ""),ROW(CP$2:(INDIRECT(CG$61&amp;CP54-2)))),LOOKUP(2,1 / (CP$2:(INDIRECT(CG$61&amp;CP54-1)) &lt;&gt; ""),ROW(CP$2:(INDIRECT(CG$61&amp;CP54-1)))))</f>
        <v>48</v>
      </c>
      <c r="CQ55" s="44"/>
      <c r="CR55" s="44"/>
      <c r="CS55" s="102" t="s">
        <v>8</v>
      </c>
      <c r="CT55" s="41">
        <f>SUM(CT56:CT59)</f>
        <v>38</v>
      </c>
      <c r="CU55" s="41"/>
      <c r="CV55" s="102" t="s">
        <v>9</v>
      </c>
      <c r="CW55" s="41">
        <f>SUM(DA2:DA51)</f>
        <v>51</v>
      </c>
      <c r="CX55" s="41"/>
      <c r="CY55" s="41" t="str">
        <f ca="1">INDIRECT(CS$61&amp;DB55)</f>
        <v>W</v>
      </c>
      <c r="CZ55" s="41"/>
      <c r="DA55" s="41"/>
      <c r="DB55" s="41">
        <f ca="1">IF(ISBLANK(INDIRECT(CS$61&amp;DB54-1)), LOOKUP(2,1 / (DB$2:(INDIRECT(CS$61&amp;DB54-2)) &lt;&gt; ""),ROW(DB$2:(INDIRECT(CS$61&amp;DB54-2)))),LOOKUP(2,1 / (DB$2:(INDIRECT(CS$61&amp;DB54-1)) &lt;&gt; ""),ROW(DB$2:(INDIRECT(CS$61&amp;DB54-1)))))</f>
        <v>48</v>
      </c>
      <c r="DC55" s="41"/>
      <c r="DD55" s="41"/>
      <c r="DE55" s="79" t="s">
        <v>8</v>
      </c>
      <c r="DF55" s="38">
        <f>SUM(DF56:DF59)</f>
        <v>38</v>
      </c>
      <c r="DG55" s="38"/>
      <c r="DH55" s="79" t="s">
        <v>9</v>
      </c>
      <c r="DI55" s="38">
        <f>SUM(DM2:DM51)</f>
        <v>61</v>
      </c>
      <c r="DJ55" s="38"/>
      <c r="DK55" s="38" t="str">
        <f ca="1">INDIRECT(DE$61&amp;DN55)</f>
        <v>L</v>
      </c>
      <c r="DL55" s="38"/>
      <c r="DM55" s="38"/>
      <c r="DN55" s="38">
        <f ca="1">IF(ISBLANK(INDIRECT(DE$61&amp;DN54-1)), LOOKUP(2,1 / (DN$2:(INDIRECT(DE$61&amp;DN54-2)) &lt;&gt; ""),ROW(DN$2:(INDIRECT(DE$61&amp;DN54-2)))),LOOKUP(2,1 / (DN$2:(INDIRECT(DE$61&amp;DN54-1)) &lt;&gt; ""),ROW(DN$2:(INDIRECT(DE$61&amp;DN54-1)))))</f>
        <v>48</v>
      </c>
      <c r="DO55" s="38"/>
      <c r="DP55" s="38"/>
      <c r="DQ55" s="78" t="s">
        <v>8</v>
      </c>
      <c r="DR55" s="35">
        <f>SUM(DR56:DR59)</f>
        <v>38</v>
      </c>
      <c r="DS55" s="35"/>
      <c r="DT55" s="78" t="s">
        <v>9</v>
      </c>
      <c r="DU55" s="35">
        <f>SUM(DY2:DY51)</f>
        <v>41</v>
      </c>
      <c r="DV55" s="35"/>
      <c r="DW55" s="35" t="str">
        <f ca="1">INDIRECT(DQ$61&amp;DZ55)</f>
        <v>D</v>
      </c>
      <c r="DX55" s="35"/>
      <c r="DY55" s="35"/>
      <c r="DZ55" s="35">
        <f ca="1">IF(ISBLANK(INDIRECT(DQ$61&amp;DZ54-1)), LOOKUP(2,1 / (DZ$2:(INDIRECT(DQ$61&amp;DZ54-2)) &lt;&gt; ""),ROW(DZ$2:(INDIRECT(DQ$61&amp;DZ54-2)))),LOOKUP(2,1 / (DZ$2:(INDIRECT(DQ$61&amp;DZ54-1)) &lt;&gt; ""),ROW(DZ$2:(INDIRECT(DQ$61&amp;DZ54-1)))))</f>
        <v>48</v>
      </c>
      <c r="EA55" s="35"/>
      <c r="EB55" s="35"/>
      <c r="EC55" s="99" t="s">
        <v>8</v>
      </c>
      <c r="ED55" s="32">
        <f>SUM(ED56:ED59)</f>
        <v>38</v>
      </c>
      <c r="EE55" s="32"/>
      <c r="EF55" s="99" t="s">
        <v>9</v>
      </c>
      <c r="EG55" s="32">
        <f>SUM(EK2:EK51)</f>
        <v>85</v>
      </c>
      <c r="EH55" s="32"/>
      <c r="EI55" s="32" t="str">
        <f ca="1">INDIRECT(EC$61&amp;EL55)</f>
        <v>L</v>
      </c>
      <c r="EJ55" s="32"/>
      <c r="EK55" s="32"/>
      <c r="EL55" s="32">
        <f ca="1">IF(ISBLANK(INDIRECT(EC$61&amp;EL54-1)), LOOKUP(2,1 / (EL$2:(INDIRECT(EC$61&amp;EL54-2)) &lt;&gt; ""),ROW(EL$2:(INDIRECT(EC$61&amp;EL54-2)))),LOOKUP(2,1 / (EL$2:(INDIRECT(EC$61&amp;EL54-1)) &lt;&gt; ""),ROW(EL$2:(INDIRECT(EC$61&amp;EL54-1)))))</f>
        <v>48</v>
      </c>
      <c r="EM55" s="32"/>
      <c r="EN55" s="32"/>
      <c r="EO55" s="98" t="s">
        <v>8</v>
      </c>
      <c r="EP55" s="29">
        <f>SUM(EP56:EP59)</f>
        <v>38</v>
      </c>
      <c r="EQ55" s="29"/>
      <c r="ER55" s="98" t="s">
        <v>9</v>
      </c>
      <c r="ES55" s="29">
        <f>SUM(EW2:EW51)</f>
        <v>34</v>
      </c>
      <c r="ET55" s="29"/>
      <c r="EU55" s="29" t="str">
        <f ca="1">INDIRECT(EO$61&amp;EX55)</f>
        <v>W</v>
      </c>
      <c r="EV55" s="29"/>
      <c r="EW55" s="29"/>
      <c r="EX55" s="29">
        <f ca="1">IF(ISBLANK(INDIRECT(EO$61&amp;EX54-1)), LOOKUP(2,1 / (EX$2:(INDIRECT(EO$61&amp;EX54-2)) &lt;&gt; ""),ROW(EX$2:(INDIRECT(EO$61&amp;EX54-2)))),LOOKUP(2,1 / (EX$2:(INDIRECT(EO$61&amp;EX54-1)) &lt;&gt; ""),ROW(EX$2:(INDIRECT(EO$61&amp;EX54-1)))))</f>
        <v>48</v>
      </c>
      <c r="EY55" s="29"/>
      <c r="EZ55" s="29"/>
      <c r="FA55" s="75" t="s">
        <v>8</v>
      </c>
      <c r="FB55" s="26">
        <f>SUM(FB56:FB59)</f>
        <v>38</v>
      </c>
      <c r="FC55" s="26"/>
      <c r="FD55" s="75" t="s">
        <v>9</v>
      </c>
      <c r="FE55" s="26">
        <f>SUM(FI2:FI51)</f>
        <v>58</v>
      </c>
      <c r="FF55" s="26"/>
      <c r="FG55" s="26" t="str">
        <f ca="1">INDIRECT(FA$61&amp;FJ55)</f>
        <v>W</v>
      </c>
      <c r="FH55" s="26"/>
      <c r="FI55" s="26"/>
      <c r="FJ55" s="26">
        <f ca="1">IF(ISBLANK(INDIRECT(FA$61&amp;FJ54-1)), LOOKUP(2,1 / (FJ$2:(INDIRECT(FA$61&amp;FJ54-2)) &lt;&gt; ""),ROW(FJ$2:(INDIRECT(FA$61&amp;FJ54-2)))),LOOKUP(2,1 / (FJ$2:(INDIRECT(FA$61&amp;FJ54-1)) &lt;&gt; ""),ROW(FJ$2:(INDIRECT(FA$61&amp;FJ54-1)))))</f>
        <v>48</v>
      </c>
      <c r="FK55" s="26"/>
      <c r="FL55" s="26"/>
      <c r="FM55" s="96" t="s">
        <v>8</v>
      </c>
      <c r="FN55" s="23">
        <f>SUM(FN56:FN59)</f>
        <v>38</v>
      </c>
      <c r="FO55" s="23"/>
      <c r="FP55" s="96" t="s">
        <v>9</v>
      </c>
      <c r="FQ55" s="23">
        <f>SUM(FU2:FU51)</f>
        <v>62</v>
      </c>
      <c r="FR55" s="23"/>
      <c r="FS55" s="23" t="str">
        <f ca="1">INDIRECT(FM$61&amp;FV55)</f>
        <v>L</v>
      </c>
      <c r="FT55" s="23"/>
      <c r="FU55" s="23"/>
      <c r="FV55" s="23">
        <f ca="1">IF(ISBLANK(INDIRECT(FM$61&amp;FV54-1)), LOOKUP(2,1 / (FV$2:(INDIRECT(FM$61&amp;FV54-2)) &lt;&gt; ""),ROW(FV$2:(INDIRECT(FM$61&amp;FV54-2)))),LOOKUP(2,1 / (FV$2:(INDIRECT(FM$61&amp;FV54-1)) &lt;&gt; ""),ROW(FV$2:(INDIRECT(FM$61&amp;FV54-1)))))</f>
        <v>48</v>
      </c>
      <c r="FW55" s="23"/>
      <c r="FX55" s="23"/>
      <c r="FY55" s="95" t="s">
        <v>8</v>
      </c>
      <c r="FZ55" s="20">
        <f>SUM(FZ56:FZ59)</f>
        <v>38</v>
      </c>
      <c r="GA55" s="20"/>
      <c r="GB55" s="95" t="s">
        <v>9</v>
      </c>
      <c r="GC55" s="20">
        <f>SUM(GG2:GG51)</f>
        <v>67</v>
      </c>
      <c r="GD55" s="20"/>
      <c r="GE55" s="20" t="str">
        <f ca="1">INDIRECT(FY$61&amp;GH55)</f>
        <v>L</v>
      </c>
      <c r="GF55" s="20"/>
      <c r="GG55" s="20"/>
      <c r="GH55" s="20">
        <f ca="1">IF(ISBLANK(INDIRECT(FY$61&amp;GH54-1)), LOOKUP(2,1 / (GH$2:(INDIRECT(FY$61&amp;GH54-2)) &lt;&gt; ""),ROW(GH$2:(INDIRECT(FY$61&amp;GH54-2)))),LOOKUP(2,1 / (GH$2:(INDIRECT(FY$61&amp;GH54-1)) &lt;&gt; ""),ROW(GH$2:(INDIRECT(FY$61&amp;GH54-1)))))</f>
        <v>48</v>
      </c>
      <c r="GI55" s="20"/>
      <c r="GJ55" s="20"/>
      <c r="GK55" s="72" t="s">
        <v>8</v>
      </c>
      <c r="GL55" s="17">
        <f>SUM(GL56:GL59)</f>
        <v>38</v>
      </c>
      <c r="GM55" s="17"/>
      <c r="GN55" s="72" t="s">
        <v>9</v>
      </c>
      <c r="GO55" s="17">
        <f>SUM(GS2:GS51)</f>
        <v>104</v>
      </c>
      <c r="GP55" s="17"/>
      <c r="GQ55" s="17" t="str">
        <f ca="1">INDIRECT(GK$61&amp;GT55)</f>
        <v>L</v>
      </c>
      <c r="GR55" s="17"/>
      <c r="GS55" s="17"/>
      <c r="GT55" s="17">
        <f ca="1">IF(ISBLANK(INDIRECT(GK$61&amp;GT54-1)), LOOKUP(2,1 / (GT$2:(INDIRECT(GK$61&amp;GT54-2)) &lt;&gt; ""),ROW(GT$2:(INDIRECT(GK$61&amp;GT54-2)))),LOOKUP(2,1 / (GT$2:(INDIRECT(GK$61&amp;GT54-1)) &lt;&gt; ""),ROW(GT$2:(INDIRECT(GK$61&amp;GT54-1)))))</f>
        <v>48</v>
      </c>
      <c r="GU55" s="17"/>
      <c r="GV55" s="17"/>
      <c r="GW55" s="93" t="s">
        <v>8</v>
      </c>
      <c r="GX55" s="14">
        <f>SUM(GX56:GX59)</f>
        <v>38</v>
      </c>
      <c r="GY55" s="14"/>
      <c r="GZ55" s="93" t="s">
        <v>9</v>
      </c>
      <c r="HA55" s="14">
        <f>SUM(HE2:HE51)</f>
        <v>61</v>
      </c>
      <c r="HB55" s="14"/>
      <c r="HC55" s="14" t="str">
        <f ca="1">INDIRECT(GW$61&amp;HF55)</f>
        <v>L</v>
      </c>
      <c r="HD55" s="14"/>
      <c r="HE55" s="14"/>
      <c r="HF55" s="14">
        <f ca="1">IF(ISBLANK(INDIRECT(GW$61&amp;HF54-1)), LOOKUP(2,1 / (HF$2:(INDIRECT(GW$61&amp;HF54-2)) &lt;&gt; ""),ROW(HF$2:(INDIRECT(GW$61&amp;HF54-2)))),LOOKUP(2,1 / (HF$2:(INDIRECT(GW$61&amp;HF54-1)) &lt;&gt; ""),ROW(HF$2:(INDIRECT(GW$61&amp;HF54-1)))))</f>
        <v>48</v>
      </c>
      <c r="HG55" s="14"/>
      <c r="HH55" s="14"/>
      <c r="HI55" s="92" t="s">
        <v>8</v>
      </c>
      <c r="HJ55" s="11">
        <f>SUM(HJ56:HJ59)</f>
        <v>38</v>
      </c>
      <c r="HK55" s="11"/>
      <c r="HL55" s="92" t="s">
        <v>9</v>
      </c>
      <c r="HM55" s="11">
        <f>SUM(HQ2:HQ51)</f>
        <v>74</v>
      </c>
      <c r="HN55" s="11"/>
      <c r="HO55" s="11" t="str">
        <f ca="1">INDIRECT(HI$61&amp;HR55)</f>
        <v>W</v>
      </c>
      <c r="HP55" s="11"/>
      <c r="HQ55" s="11"/>
      <c r="HR55" s="11">
        <f ca="1">IF(ISBLANK(INDIRECT(HI$61&amp;HR54-1)), LOOKUP(2,1 / (HR$2:(INDIRECT(HI$61&amp;HR54-2)) &lt;&gt; ""),ROW(HR$2:(INDIRECT(HI$61&amp;HR54-2)))),LOOKUP(2,1 / (HR$2:(INDIRECT(HI$61&amp;HR54-1)) &lt;&gt; ""),ROW(HR$2:(INDIRECT(HI$61&amp;HR54-1)))))</f>
        <v>48</v>
      </c>
      <c r="HS55" s="11"/>
      <c r="HT55" s="11"/>
      <c r="HU55" s="91" t="s">
        <v>8</v>
      </c>
      <c r="HV55" s="8">
        <f>SUM(HV56:HV59)</f>
        <v>38</v>
      </c>
      <c r="HW55" s="8"/>
      <c r="HX55" s="91" t="s">
        <v>9</v>
      </c>
      <c r="HY55" s="8">
        <f>SUM(IC2:IC51)</f>
        <v>65</v>
      </c>
      <c r="HZ55" s="8"/>
      <c r="IA55" s="8" t="str">
        <f ca="1">INDIRECT(HU$61&amp;ID55)</f>
        <v>L</v>
      </c>
      <c r="IB55" s="8"/>
      <c r="IC55" s="8"/>
      <c r="ID55" s="8">
        <f ca="1">IF(ISBLANK(INDIRECT(HU$61&amp;ID54-1)), LOOKUP(2,1 / (ID$2:(INDIRECT(HU$61&amp;ID54-2)) &lt;&gt; ""),ROW(ID$2:(INDIRECT(HU$61&amp;ID54-2)))),LOOKUP(2,1 / (ID$2:(INDIRECT(HU$61&amp;ID54-1)) &lt;&gt; ""),ROW(ID$2:(INDIRECT(HU$61&amp;ID54-1)))))</f>
        <v>48</v>
      </c>
      <c r="IE55" s="8"/>
      <c r="IF55" s="8"/>
    </row>
    <row r="56" spans="1:240" hidden="1" x14ac:dyDescent="0.25">
      <c r="A56" s="90" t="s">
        <v>6</v>
      </c>
      <c r="B56" s="68">
        <f>COUNTIF(J2:J51,"W")</f>
        <v>28</v>
      </c>
      <c r="C56" s="120"/>
      <c r="D56" s="90" t="s">
        <v>5</v>
      </c>
      <c r="E56" s="130">
        <f>E54 - E55</f>
        <v>62</v>
      </c>
      <c r="F56" s="66"/>
      <c r="G56" s="66" t="str">
        <f ca="1">INDIRECT(A$61&amp;J56)</f>
        <v>W</v>
      </c>
      <c r="H56" s="66"/>
      <c r="I56" s="66"/>
      <c r="J56" s="66">
        <f ca="1">IF(ISBLANK(INDIRECT(A$61&amp;J55-1)), LOOKUP(2,1 / (J$2:(INDIRECT(A$61&amp;J55-2)) &lt;&gt; ""),ROW(J$2:(INDIRECT(A$61&amp;J55-2)))),LOOKUP(2,1 / (J$2:(INDIRECT(A$61&amp;J55-1)) &lt;&gt; ""),ROW(J$2:(INDIRECT(A$61&amp;J55-1)))))</f>
        <v>47</v>
      </c>
      <c r="K56" s="66"/>
      <c r="L56" s="66"/>
      <c r="M56" s="87" t="s">
        <v>6</v>
      </c>
      <c r="N56" s="62">
        <f>COUNTIF(V2:V51,"W")</f>
        <v>20</v>
      </c>
      <c r="O56" s="62"/>
      <c r="P56" s="87" t="s">
        <v>5</v>
      </c>
      <c r="Q56" s="62">
        <f>Q54 - Q55</f>
        <v>15</v>
      </c>
      <c r="R56" s="62"/>
      <c r="S56" s="62" t="str">
        <f ca="1">INDIRECT(M$61&amp;V56)</f>
        <v>L</v>
      </c>
      <c r="T56" s="62"/>
      <c r="U56" s="62"/>
      <c r="V56" s="62">
        <f ca="1">IF(ISBLANK(INDIRECT(M$61&amp;V55-1)), LOOKUP(2,1 / (V$2:(INDIRECT(M$61&amp;V55-2)) &lt;&gt; ""),ROW(V$2:(INDIRECT(M$61&amp;V55-2)))),LOOKUP(2,1 / (V$2:(INDIRECT(M$61&amp;V55-1)) &lt;&gt; ""),ROW(V$2:(INDIRECT(M$61&amp;V55-1)))))</f>
        <v>47</v>
      </c>
      <c r="W56" s="62"/>
      <c r="X56" s="62"/>
      <c r="Y56" s="108" t="s">
        <v>6</v>
      </c>
      <c r="Z56" s="59">
        <f>COUNTIF(AH2:AH51,"W")</f>
        <v>13</v>
      </c>
      <c r="AA56" s="119"/>
      <c r="AB56" s="108" t="s">
        <v>5</v>
      </c>
      <c r="AC56" s="59">
        <f>AC54 - AC55</f>
        <v>-13</v>
      </c>
      <c r="AD56" s="59"/>
      <c r="AE56" s="59" t="str">
        <f ca="1">INDIRECT(Y$61&amp;AH56)</f>
        <v>L</v>
      </c>
      <c r="AF56" s="59"/>
      <c r="AG56" s="59"/>
      <c r="AH56" s="59">
        <f ca="1">IF(ISBLANK(INDIRECT(Y$61&amp;AH55-1)), LOOKUP(2,1 / (AH$2:(INDIRECT(Y$61&amp;AH55-2)) &lt;&gt; ""),ROW(AH$2:(INDIRECT(Y$61&amp;AH55-2)))),LOOKUP(2,1 / (AH$2:(INDIRECT(Y$61&amp;AH55-1)) &lt;&gt; ""),ROW(AH$2:(INDIRECT(Y$61&amp;AH55-1)))))</f>
        <v>47</v>
      </c>
      <c r="AI56" s="59"/>
      <c r="AJ56" s="59"/>
      <c r="AK56" s="85" t="s">
        <v>6</v>
      </c>
      <c r="AL56" s="56">
        <f>COUNTIF(AT2:AT51,"W")</f>
        <v>10</v>
      </c>
      <c r="AM56" s="129"/>
      <c r="AN56" s="85" t="s">
        <v>5</v>
      </c>
      <c r="AO56" s="56">
        <f>AO54 - AO55</f>
        <v>-9</v>
      </c>
      <c r="AP56" s="56"/>
      <c r="AQ56" s="56" t="str">
        <f ca="1">INDIRECT(AK$61&amp;AT56)</f>
        <v>D</v>
      </c>
      <c r="AR56" s="56"/>
      <c r="AS56" s="56"/>
      <c r="AT56" s="56">
        <f ca="1">IF(ISBLANK(INDIRECT(AK$61&amp;AT55-1)), LOOKUP(2,1 / (AT$2:(INDIRECT(AK$61&amp;AT55-2)) &lt;&gt; ""),ROW(AT$2:(INDIRECT(AK$61&amp;AT55-2)))),LOOKUP(2,1 / (AT$2:(INDIRECT(AK$61&amp;AT55-1)) &lt;&gt; ""),ROW(AT$2:(INDIRECT(AK$61&amp;AT55-1)))))</f>
        <v>47</v>
      </c>
      <c r="AU56" s="56"/>
      <c r="AV56" s="56"/>
      <c r="AW56" s="106" t="s">
        <v>6</v>
      </c>
      <c r="AX56" s="53">
        <f>COUNTIF(BF2:BF51,"W")</f>
        <v>12</v>
      </c>
      <c r="AY56" s="118"/>
      <c r="AZ56" s="106" t="s">
        <v>5</v>
      </c>
      <c r="BA56" s="53">
        <f>BA54 - BA55</f>
        <v>-7</v>
      </c>
      <c r="BB56" s="53"/>
      <c r="BC56" s="53" t="str">
        <f ca="1">INDIRECT(AW$61&amp;BF56)</f>
        <v>D</v>
      </c>
      <c r="BD56" s="53"/>
      <c r="BE56" s="53"/>
      <c r="BF56" s="53">
        <f ca="1">IF(ISBLANK(INDIRECT(AW$61&amp;BF55-1)), LOOKUP(2,1 / (BF$2:(INDIRECT(AW$61&amp;BF55-2)) &lt;&gt; ""),ROW(BF$2:(INDIRECT(AW$61&amp;BF55-2)))),LOOKUP(2,1 / (BF$2:(INDIRECT(AW$61&amp;BF55-1)) &lt;&gt; ""),ROW(BF$2:(INDIRECT(AW$61&amp;BF55-1)))))</f>
        <v>47</v>
      </c>
      <c r="BG56" s="53"/>
      <c r="BH56" s="53"/>
      <c r="BI56" s="83" t="s">
        <v>6</v>
      </c>
      <c r="BJ56" s="50">
        <f>COUNTIF(BR2:BR51,"W")</f>
        <v>5</v>
      </c>
      <c r="BK56" s="128"/>
      <c r="BL56" s="83" t="s">
        <v>5</v>
      </c>
      <c r="BM56" s="50">
        <f>BM54 - BM55</f>
        <v>-37</v>
      </c>
      <c r="BN56" s="50"/>
      <c r="BO56" s="50" t="str">
        <f ca="1">INDIRECT(BI$61&amp;BR56)</f>
        <v>L</v>
      </c>
      <c r="BP56" s="50"/>
      <c r="BQ56" s="50"/>
      <c r="BR56" s="50">
        <f ca="1">IF(ISBLANK(INDIRECT(BI$61&amp;BR55-1)), LOOKUP(2,1 / (BR$2:(INDIRECT(BI$61&amp;BR55-2)) &lt;&gt; ""),ROW(BR$2:(INDIRECT(BI$61&amp;BR55-2)))),LOOKUP(2,1 / (BR$2:(INDIRECT(BI$61&amp;BR55-1)) &lt;&gt; ""),ROW(BR$2:(INDIRECT(BI$61&amp;BR55-1)))))</f>
        <v>47</v>
      </c>
      <c r="BS56" s="50"/>
      <c r="BT56" s="50"/>
      <c r="BU56" s="82" t="s">
        <v>6</v>
      </c>
      <c r="BV56" s="47">
        <f>COUNTIF(CD2:CD51,"W")</f>
        <v>18</v>
      </c>
      <c r="BW56" s="117"/>
      <c r="BX56" s="82" t="s">
        <v>5</v>
      </c>
      <c r="BY56" s="47">
        <f>BY54 - BY55</f>
        <v>14</v>
      </c>
      <c r="BZ56" s="47"/>
      <c r="CA56" s="47" t="str">
        <f ca="1">INDIRECT(BU$61&amp;CD56)</f>
        <v>W</v>
      </c>
      <c r="CB56" s="47"/>
      <c r="CC56" s="47"/>
      <c r="CD56" s="47">
        <f ca="1">IF(ISBLANK(INDIRECT(BU$61&amp;CD55-1)), LOOKUP(2,1 / (CD$2:(INDIRECT(BU$61&amp;CD55-2)) &lt;&gt; ""),ROW(CD$2:(INDIRECT(BU$61&amp;CD55-2)))),LOOKUP(2,1 / (CD$2:(INDIRECT(BU$61&amp;CD55-1)) &lt;&gt; ""),ROW(CD$2:(INDIRECT(BU$61&amp;CD55-1)))))</f>
        <v>47</v>
      </c>
      <c r="CE56" s="47"/>
      <c r="CF56" s="47"/>
      <c r="CG56" s="81" t="s">
        <v>6</v>
      </c>
      <c r="CH56" s="44">
        <f>COUNTIF(CP2:CP51,"W")</f>
        <v>13</v>
      </c>
      <c r="CI56" s="127"/>
      <c r="CJ56" s="81" t="s">
        <v>5</v>
      </c>
      <c r="CK56" s="44">
        <f>CK54 - CK55</f>
        <v>-1</v>
      </c>
      <c r="CL56" s="44"/>
      <c r="CM56" s="44" t="str">
        <f ca="1">INDIRECT(CG$61&amp;CP56)</f>
        <v>W</v>
      </c>
      <c r="CN56" s="44"/>
      <c r="CO56" s="44"/>
      <c r="CP56" s="44">
        <f ca="1">IF(ISBLANK(INDIRECT(CG$61&amp;CP55-1)), LOOKUP(2,1 / (CP$2:(INDIRECT(CG$61&amp;CP55-2)) &lt;&gt; ""),ROW(CP$2:(INDIRECT(CG$61&amp;CP55-2)))),LOOKUP(2,1 / (CP$2:(INDIRECT(CG$61&amp;CP55-1)) &lt;&gt; ""),ROW(CP$2:(INDIRECT(CG$61&amp;CP55-1)))))</f>
        <v>47</v>
      </c>
      <c r="CQ56" s="44"/>
      <c r="CR56" s="44"/>
      <c r="CS56" s="102" t="s">
        <v>6</v>
      </c>
      <c r="CT56" s="41">
        <f>COUNTIF(DB2:DB51,"W")</f>
        <v>13</v>
      </c>
      <c r="CU56" s="116"/>
      <c r="CV56" s="102" t="s">
        <v>5</v>
      </c>
      <c r="CW56" s="41">
        <f>CW54 - CW55</f>
        <v>-11</v>
      </c>
      <c r="CX56" s="41"/>
      <c r="CY56" s="41" t="str">
        <f ca="1">INDIRECT(CS$61&amp;DB56)</f>
        <v>D</v>
      </c>
      <c r="CZ56" s="41"/>
      <c r="DA56" s="41"/>
      <c r="DB56" s="41">
        <f ca="1">IF(ISBLANK(INDIRECT(CS$61&amp;DB55-1)), LOOKUP(2,1 / (DB$2:(INDIRECT(CS$61&amp;DB55-2)) &lt;&gt; ""),ROW(DB$2:(INDIRECT(CS$61&amp;DB55-2)))),LOOKUP(2,1 / (DB$2:(INDIRECT(CS$61&amp;DB55-1)) &lt;&gt; ""),ROW(DB$2:(INDIRECT(CS$61&amp;DB55-1)))))</f>
        <v>47</v>
      </c>
      <c r="DC56" s="41"/>
      <c r="DD56" s="41"/>
      <c r="DE56" s="79" t="s">
        <v>6</v>
      </c>
      <c r="DF56" s="38">
        <f>COUNTIF(DN2:DN51,"W")</f>
        <v>13</v>
      </c>
      <c r="DG56" s="126"/>
      <c r="DH56" s="79" t="s">
        <v>5</v>
      </c>
      <c r="DI56" s="38">
        <f>DI54 - DI55</f>
        <v>-6</v>
      </c>
      <c r="DJ56" s="38"/>
      <c r="DK56" s="38" t="str">
        <f ca="1">INDIRECT(DE$61&amp;DN56)</f>
        <v>D</v>
      </c>
      <c r="DL56" s="38"/>
      <c r="DM56" s="38"/>
      <c r="DN56" s="38">
        <f ca="1">IF(ISBLANK(INDIRECT(DE$61&amp;DN55-1)), LOOKUP(2,1 / (DN$2:(INDIRECT(DE$61&amp;DN55-2)) &lt;&gt; ""),ROW(DN$2:(INDIRECT(DE$61&amp;DN55-2)))),LOOKUP(2,1 / (DN$2:(INDIRECT(DE$61&amp;DN55-1)) &lt;&gt; ""),ROW(DN$2:(INDIRECT(DE$61&amp;DN55-1)))))</f>
        <v>47</v>
      </c>
      <c r="DO56" s="38"/>
      <c r="DP56" s="38"/>
      <c r="DQ56" s="78" t="s">
        <v>6</v>
      </c>
      <c r="DR56" s="35">
        <f>COUNTIF(DZ2:DZ51,"W")</f>
        <v>24</v>
      </c>
      <c r="DS56" s="115"/>
      <c r="DT56" s="78" t="s">
        <v>5</v>
      </c>
      <c r="DU56" s="35">
        <f>DU54 - DU55</f>
        <v>45</v>
      </c>
      <c r="DV56" s="35"/>
      <c r="DW56" s="35" t="str">
        <f ca="1">INDIRECT(DQ$61&amp;DZ56)</f>
        <v>W</v>
      </c>
      <c r="DX56" s="35"/>
      <c r="DY56" s="35"/>
      <c r="DZ56" s="35">
        <f ca="1">IF(ISBLANK(INDIRECT(DQ$61&amp;DZ55-1)), LOOKUP(2,1 / (DZ$2:(INDIRECT(DQ$61&amp;DZ55-2)) &lt;&gt; ""),ROW(DZ$2:(INDIRECT(DQ$61&amp;DZ55-2)))),LOOKUP(2,1 / (DZ$2:(INDIRECT(DQ$61&amp;DZ55-1)) &lt;&gt; ""),ROW(DZ$2:(INDIRECT(DQ$61&amp;DZ55-1)))))</f>
        <v>47</v>
      </c>
      <c r="EA56" s="35"/>
      <c r="EB56" s="35"/>
      <c r="EC56" s="99" t="s">
        <v>6</v>
      </c>
      <c r="ED56" s="32">
        <f>COUNTIF(EL2:EL51,"W")</f>
        <v>6</v>
      </c>
      <c r="EE56" s="125"/>
      <c r="EF56" s="99" t="s">
        <v>5</v>
      </c>
      <c r="EG56" s="32">
        <f>EG54 - EG55</f>
        <v>-33</v>
      </c>
      <c r="EH56" s="32"/>
      <c r="EI56" s="32" t="str">
        <f ca="1">INDIRECT(EC$61&amp;EL56)</f>
        <v>D</v>
      </c>
      <c r="EJ56" s="32"/>
      <c r="EK56" s="32"/>
      <c r="EL56" s="32">
        <f ca="1">IF(ISBLANK(INDIRECT(EC$61&amp;EL55-1)), LOOKUP(2,1 / (EL$2:(INDIRECT(EC$61&amp;EL55-2)) &lt;&gt; ""),ROW(EL$2:(INDIRECT(EC$61&amp;EL55-2)))),LOOKUP(2,1 / (EL$2:(INDIRECT(EC$61&amp;EL55-1)) &lt;&gt; ""),ROW(EL$2:(INDIRECT(EC$61&amp;EL55-1)))))</f>
        <v>47</v>
      </c>
      <c r="EM56" s="32"/>
      <c r="EN56" s="32"/>
      <c r="EO56" s="98" t="s">
        <v>6</v>
      </c>
      <c r="EP56" s="29">
        <f>COUNTIF(EX2:EX51,"W")</f>
        <v>28</v>
      </c>
      <c r="EQ56" s="114"/>
      <c r="ER56" s="98" t="s">
        <v>5</v>
      </c>
      <c r="ES56" s="29">
        <f>ES54 - ES55</f>
        <v>62</v>
      </c>
      <c r="ET56" s="29"/>
      <c r="EU56" s="29" t="str">
        <f ca="1">INDIRECT(EO$61&amp;EX56)</f>
        <v>W</v>
      </c>
      <c r="EV56" s="29"/>
      <c r="EW56" s="29"/>
      <c r="EX56" s="29">
        <f ca="1">IF(ISBLANK(INDIRECT(EO$61&amp;EX55-1)), LOOKUP(2,1 / (EX$2:(INDIRECT(EO$61&amp;EX55-2)) &lt;&gt; ""),ROW(EX$2:(INDIRECT(EO$61&amp;EX55-2)))),LOOKUP(2,1 / (EX$2:(INDIRECT(EO$61&amp;EX55-1)) &lt;&gt; ""),ROW(EX$2:(INDIRECT(EO$61&amp;EX55-1)))))</f>
        <v>47</v>
      </c>
      <c r="EY56" s="29"/>
      <c r="EZ56" s="29"/>
      <c r="FA56" s="75" t="s">
        <v>6</v>
      </c>
      <c r="FB56" s="26">
        <f>COUNTIF(FJ2:FJ51,"W")</f>
        <v>18</v>
      </c>
      <c r="FC56" s="124"/>
      <c r="FD56" s="75" t="s">
        <v>5</v>
      </c>
      <c r="FE56" s="26">
        <f>FE54 - FE55</f>
        <v>-1</v>
      </c>
      <c r="FF56" s="26"/>
      <c r="FG56" s="26" t="str">
        <f ca="1">INDIRECT(FA$61&amp;FJ56)</f>
        <v>L</v>
      </c>
      <c r="FH56" s="26"/>
      <c r="FI56" s="26"/>
      <c r="FJ56" s="26">
        <f ca="1">IF(ISBLANK(INDIRECT(FA$61&amp;FJ55-1)), LOOKUP(2,1 / (FJ$2:(INDIRECT(FA$61&amp;FJ55-2)) &lt;&gt; ""),ROW(FJ$2:(INDIRECT(FA$61&amp;FJ55-2)))),LOOKUP(2,1 / (FJ$2:(INDIRECT(FA$61&amp;FJ55-1)) &lt;&gt; ""),ROW(FJ$2:(INDIRECT(FA$61&amp;FJ55-1)))))</f>
        <v>47</v>
      </c>
      <c r="FK56" s="26"/>
      <c r="FL56" s="26"/>
      <c r="FM56" s="96" t="s">
        <v>6</v>
      </c>
      <c r="FN56" s="23">
        <f>COUNTIF(FV2:FV51,"W")</f>
        <v>18</v>
      </c>
      <c r="FO56" s="113"/>
      <c r="FP56" s="96" t="s">
        <v>5</v>
      </c>
      <c r="FQ56" s="23">
        <f>FQ54 - FQ55</f>
        <v>23</v>
      </c>
      <c r="FR56" s="23"/>
      <c r="FS56" s="23" t="str">
        <f ca="1">INDIRECT(FM$61&amp;FV56)</f>
        <v>D</v>
      </c>
      <c r="FT56" s="23"/>
      <c r="FU56" s="23"/>
      <c r="FV56" s="23">
        <f ca="1">IF(ISBLANK(INDIRECT(FM$61&amp;FV55-1)), LOOKUP(2,1 / (FV$2:(INDIRECT(FM$61&amp;FV55-2)) &lt;&gt; ""),ROW(FV$2:(INDIRECT(FM$61&amp;FV55-2)))),LOOKUP(2,1 / (FV$2:(INDIRECT(FM$61&amp;FV55-1)) &lt;&gt; ""),ROW(FV$2:(INDIRECT(FM$61&amp;FV55-1)))))</f>
        <v>47</v>
      </c>
      <c r="FW56" s="23"/>
      <c r="FX56" s="23"/>
      <c r="FY56" s="95" t="s">
        <v>6</v>
      </c>
      <c r="FZ56" s="20">
        <f>COUNTIF(GH2:GH51,"W")</f>
        <v>9</v>
      </c>
      <c r="GA56" s="123"/>
      <c r="GB56" s="95" t="s">
        <v>5</v>
      </c>
      <c r="GC56" s="20">
        <f>GC54 - GC55</f>
        <v>-18</v>
      </c>
      <c r="GD56" s="20"/>
      <c r="GE56" s="20" t="str">
        <f ca="1">INDIRECT(FY$61&amp;GH56)</f>
        <v>W</v>
      </c>
      <c r="GF56" s="20"/>
      <c r="GG56" s="20"/>
      <c r="GH56" s="20">
        <f ca="1">IF(ISBLANK(INDIRECT(FY$61&amp;GH55-1)), LOOKUP(2,1 / (GH$2:(INDIRECT(FY$61&amp;GH55-2)) &lt;&gt; ""),ROW(GH$2:(INDIRECT(FY$61&amp;GH55-2)))),LOOKUP(2,1 / (GH$2:(INDIRECT(FY$61&amp;GH55-1)) &lt;&gt; ""),ROW(GH$2:(INDIRECT(FY$61&amp;GH55-1)))))</f>
        <v>47</v>
      </c>
      <c r="GI56" s="20"/>
      <c r="GJ56" s="20"/>
      <c r="GK56" s="72" t="s">
        <v>6</v>
      </c>
      <c r="GL56" s="17">
        <f>COUNTIF(GT2:GT51,"W")</f>
        <v>3</v>
      </c>
      <c r="GM56" s="112"/>
      <c r="GN56" s="72" t="s">
        <v>5</v>
      </c>
      <c r="GO56" s="17">
        <f>GO54 - GO55</f>
        <v>-69</v>
      </c>
      <c r="GP56" s="17"/>
      <c r="GQ56" s="17" t="str">
        <f ca="1">INDIRECT(GK$61&amp;GT56)</f>
        <v>L</v>
      </c>
      <c r="GR56" s="17"/>
      <c r="GS56" s="17"/>
      <c r="GT56" s="17">
        <f ca="1">IF(ISBLANK(INDIRECT(GK$61&amp;GT55-1)), LOOKUP(2,1 / (GT$2:(INDIRECT(GK$61&amp;GT55-2)) &lt;&gt; ""),ROW(GT$2:(INDIRECT(GK$61&amp;GT55-2)))),LOOKUP(2,1 / (GT$2:(INDIRECT(GK$61&amp;GT55-1)) &lt;&gt; ""),ROW(GT$2:(INDIRECT(GK$61&amp;GT55-1)))))</f>
        <v>47</v>
      </c>
      <c r="GU56" s="17"/>
      <c r="GV56" s="17"/>
      <c r="GW56" s="93" t="s">
        <v>6</v>
      </c>
      <c r="GX56" s="14">
        <f>COUNTIF(HF2:HF51,"W")</f>
        <v>20</v>
      </c>
      <c r="GY56" s="122"/>
      <c r="GZ56" s="93" t="s">
        <v>5</v>
      </c>
      <c r="HA56" s="14">
        <f>HA54 - HA55</f>
        <v>13</v>
      </c>
      <c r="HB56" s="14"/>
      <c r="HC56" s="14" t="str">
        <f ca="1">INDIRECT(GW$61&amp;HF56)</f>
        <v>W</v>
      </c>
      <c r="HD56" s="14"/>
      <c r="HE56" s="14"/>
      <c r="HF56" s="14">
        <f ca="1">IF(ISBLANK(INDIRECT(GW$61&amp;HF55-1)), LOOKUP(2,1 / (HF$2:(INDIRECT(GW$61&amp;HF55-2)) &lt;&gt; ""),ROW(HF$2:(INDIRECT(GW$61&amp;HF55-2)))),LOOKUP(2,1 / (HF$2:(INDIRECT(GW$61&amp;HF55-1)) &lt;&gt; ""),ROW(HF$2:(INDIRECT(GW$61&amp;HF55-1)))))</f>
        <v>47</v>
      </c>
      <c r="HG56" s="14"/>
      <c r="HH56" s="14"/>
      <c r="HI56" s="92" t="s">
        <v>6</v>
      </c>
      <c r="HJ56" s="11">
        <f>COUNTIF(HR2:HR51,"W")</f>
        <v>14</v>
      </c>
      <c r="HK56" s="111"/>
      <c r="HL56" s="92" t="s">
        <v>5</v>
      </c>
      <c r="HM56" s="11">
        <f>HM54 - HM55</f>
        <v>-14</v>
      </c>
      <c r="HN56" s="11"/>
      <c r="HO56" s="11" t="str">
        <f ca="1">INDIRECT(HI$61&amp;HR56)</f>
        <v>L</v>
      </c>
      <c r="HP56" s="11"/>
      <c r="HQ56" s="11"/>
      <c r="HR56" s="11">
        <f ca="1">IF(ISBLANK(INDIRECT(HI$61&amp;HR55-1)), LOOKUP(2,1 / (HR$2:(INDIRECT(HI$61&amp;HR55-2)) &lt;&gt; ""),ROW(HR$2:(INDIRECT(HI$61&amp;HR55-2)))),LOOKUP(2,1 / (HR$2:(INDIRECT(HI$61&amp;HR55-1)) &lt;&gt; ""),ROW(HR$2:(INDIRECT(HI$61&amp;HR55-1)))))</f>
        <v>47</v>
      </c>
      <c r="HS56" s="11"/>
      <c r="HT56" s="11"/>
      <c r="HU56" s="91" t="s">
        <v>6</v>
      </c>
      <c r="HV56" s="8">
        <f>COUNTIF(ID2:ID51,"W")</f>
        <v>13</v>
      </c>
      <c r="HW56" s="121"/>
      <c r="HX56" s="91" t="s">
        <v>5</v>
      </c>
      <c r="HY56" s="8">
        <f>HY54 - HY55</f>
        <v>-15</v>
      </c>
      <c r="HZ56" s="8"/>
      <c r="IA56" s="8" t="str">
        <f ca="1">INDIRECT(HU$61&amp;ID56)</f>
        <v>L</v>
      </c>
      <c r="IB56" s="8"/>
      <c r="IC56" s="8"/>
      <c r="ID56" s="8">
        <f ca="1">IF(ISBLANK(INDIRECT(HU$61&amp;ID55-1)), LOOKUP(2,1 / (ID$2:(INDIRECT(HU$61&amp;ID55-2)) &lt;&gt; ""),ROW(ID$2:(INDIRECT(HU$61&amp;ID55-2)))),LOOKUP(2,1 / (ID$2:(INDIRECT(HU$61&amp;ID55-1)) &lt;&gt; ""),ROW(ID$2:(INDIRECT(HU$61&amp;ID55-1)))))</f>
        <v>47</v>
      </c>
      <c r="IE56" s="8"/>
      <c r="IF56" s="8"/>
    </row>
    <row r="57" spans="1:240" hidden="1" x14ac:dyDescent="0.25">
      <c r="A57" s="90" t="s">
        <v>4</v>
      </c>
      <c r="B57" s="68">
        <f>COUNTIF(J2:J51,"D")</f>
        <v>5</v>
      </c>
      <c r="C57" s="120"/>
      <c r="D57" s="90" t="s">
        <v>3</v>
      </c>
      <c r="E57" s="68" t="str">
        <f ca="1">G54&amp;G55&amp;G56&amp;G57&amp;G58</f>
        <v>WWWWW</v>
      </c>
      <c r="F57" s="66"/>
      <c r="G57" s="66" t="str">
        <f ca="1">INDIRECT(A$61&amp;J57)</f>
        <v>W</v>
      </c>
      <c r="H57" s="66"/>
      <c r="I57" s="66"/>
      <c r="J57" s="66">
        <f ca="1">IF(ISBLANK(INDIRECT(A$61&amp;J56-1)), LOOKUP(2,1 / (J$2:(INDIRECT(A$61&amp;J56-2)) &lt;&gt; ""),ROW(J$2:(INDIRECT(A$61&amp;J56-2)))),LOOKUP(2,1 / (J$2:(INDIRECT(A$61&amp;J56-1)) &lt;&gt; ""),ROW(J$2:(INDIRECT(A$61&amp;J56-1)))))</f>
        <v>45</v>
      </c>
      <c r="K57" s="66"/>
      <c r="L57" s="66"/>
      <c r="M57" s="87" t="s">
        <v>4</v>
      </c>
      <c r="N57" s="62">
        <f>COUNTIF(V2:V51,"D")</f>
        <v>8</v>
      </c>
      <c r="O57" s="62"/>
      <c r="P57" s="87" t="s">
        <v>3</v>
      </c>
      <c r="Q57" s="62" t="str">
        <f ca="1">S54&amp;S55&amp;S56&amp;S57&amp;S58</f>
        <v>LDLDW</v>
      </c>
      <c r="R57" s="62"/>
      <c r="S57" s="62" t="str">
        <f ca="1">INDIRECT(M$61&amp;V57)</f>
        <v>D</v>
      </c>
      <c r="T57" s="62"/>
      <c r="U57" s="62"/>
      <c r="V57" s="62">
        <f ca="1">IF(ISBLANK(INDIRECT(M$61&amp;V56-1)), LOOKUP(2,1 / (V$2:(INDIRECT(M$61&amp;V56-2)) &lt;&gt; ""),ROW(V$2:(INDIRECT(M$61&amp;V56-2)))),LOOKUP(2,1 / (V$2:(INDIRECT(M$61&amp;V56-1)) &lt;&gt; ""),ROW(V$2:(INDIRECT(M$61&amp;V56-1)))))</f>
        <v>45</v>
      </c>
      <c r="W57" s="62"/>
      <c r="X57" s="62"/>
      <c r="Y57" s="108" t="s">
        <v>4</v>
      </c>
      <c r="Z57" s="59">
        <f>COUNTIF(AH2:AH51,"D")</f>
        <v>9</v>
      </c>
      <c r="AA57" s="119"/>
      <c r="AB57" s="108" t="s">
        <v>3</v>
      </c>
      <c r="AC57" s="59" t="str">
        <f ca="1">AE54&amp;AE55&amp;AE56&amp;AE57&amp;AE58</f>
        <v>LLLWW</v>
      </c>
      <c r="AD57" s="59"/>
      <c r="AE57" s="59" t="str">
        <f ca="1">INDIRECT(Y$61&amp;AH57)</f>
        <v>W</v>
      </c>
      <c r="AF57" s="59"/>
      <c r="AG57" s="59"/>
      <c r="AH57" s="59">
        <f ca="1">IF(ISBLANK(INDIRECT(Y$61&amp;AH56-1)), LOOKUP(2,1 / (AH$2:(INDIRECT(Y$61&amp;AH56-2)) &lt;&gt; ""),ROW(AH$2:(INDIRECT(Y$61&amp;AH56-2)))),LOOKUP(2,1 / (AH$2:(INDIRECT(Y$61&amp;AH56-1)) &lt;&gt; ""),ROW(AH$2:(INDIRECT(Y$61&amp;AH56-1)))))</f>
        <v>45</v>
      </c>
      <c r="AI57" s="59"/>
      <c r="AJ57" s="59"/>
      <c r="AK57" s="85" t="s">
        <v>4</v>
      </c>
      <c r="AL57" s="56">
        <f>COUNTIF(AT2:AT51,"D")</f>
        <v>9</v>
      </c>
      <c r="AM57" s="129"/>
      <c r="AN57" s="85" t="s">
        <v>3</v>
      </c>
      <c r="AO57" s="56" t="str">
        <f ca="1">AQ54&amp;AQ55&amp;AQ56&amp;AQ57&amp;AQ58</f>
        <v>LWDLW</v>
      </c>
      <c r="AP57" s="56"/>
      <c r="AQ57" s="56" t="str">
        <f ca="1">INDIRECT(AK$61&amp;AT57)</f>
        <v>L</v>
      </c>
      <c r="AR57" s="56"/>
      <c r="AS57" s="56"/>
      <c r="AT57" s="56">
        <f ca="1">IF(ISBLANK(INDIRECT(AK$61&amp;AT56-1)), LOOKUP(2,1 / (AT$2:(INDIRECT(AK$61&amp;AT56-2)) &lt;&gt; ""),ROW(AT$2:(INDIRECT(AK$61&amp;AT56-2)))),LOOKUP(2,1 / (AT$2:(INDIRECT(AK$61&amp;AT56-1)) &lt;&gt; ""),ROW(AT$2:(INDIRECT(AK$61&amp;AT56-1)))))</f>
        <v>45</v>
      </c>
      <c r="AU57" s="56"/>
      <c r="AV57" s="56"/>
      <c r="AW57" s="106" t="s">
        <v>4</v>
      </c>
      <c r="AX57" s="53">
        <f>COUNTIF(BF2:BF51,"D")</f>
        <v>12</v>
      </c>
      <c r="AY57" s="118"/>
      <c r="AZ57" s="106" t="s">
        <v>3</v>
      </c>
      <c r="BA57" s="53" t="str">
        <f ca="1">BC54&amp;BC55&amp;BC56&amp;BC57&amp;BC58</f>
        <v>LLDWL</v>
      </c>
      <c r="BB57" s="53"/>
      <c r="BC57" s="53" t="str">
        <f ca="1">INDIRECT(AW$61&amp;BF57)</f>
        <v>W</v>
      </c>
      <c r="BD57" s="53"/>
      <c r="BE57" s="53"/>
      <c r="BF57" s="53">
        <f ca="1">IF(ISBLANK(INDIRECT(AW$61&amp;BF56-1)), LOOKUP(2,1 / (BF$2:(INDIRECT(AW$61&amp;BF56-2)) &lt;&gt; ""),ROW(BF$2:(INDIRECT(AW$61&amp;BF56-2)))),LOOKUP(2,1 / (BF$2:(INDIRECT(AW$61&amp;BF56-1)) &lt;&gt; ""),ROW(BF$2:(INDIRECT(AW$61&amp;BF56-1)))))</f>
        <v>46</v>
      </c>
      <c r="BG57" s="53"/>
      <c r="BH57" s="53"/>
      <c r="BI57" s="83" t="s">
        <v>4</v>
      </c>
      <c r="BJ57" s="50">
        <f>COUNTIF(BR2:BR51,"D")</f>
        <v>9</v>
      </c>
      <c r="BK57" s="128"/>
      <c r="BL57" s="83" t="s">
        <v>3</v>
      </c>
      <c r="BM57" s="50" t="str">
        <f ca="1">BO54&amp;BO55&amp;BO56&amp;BO57&amp;BO58</f>
        <v>LLLDW</v>
      </c>
      <c r="BN57" s="50"/>
      <c r="BO57" s="50" t="str">
        <f ca="1">INDIRECT(BI$61&amp;BR57)</f>
        <v>D</v>
      </c>
      <c r="BP57" s="50"/>
      <c r="BQ57" s="50"/>
      <c r="BR57" s="50">
        <f ca="1">IF(ISBLANK(INDIRECT(BI$61&amp;BR56-1)), LOOKUP(2,1 / (BR$2:(INDIRECT(BI$61&amp;BR56-2)) &lt;&gt; ""),ROW(BR$2:(INDIRECT(BI$61&amp;BR56-2)))),LOOKUP(2,1 / (BR$2:(INDIRECT(BI$61&amp;BR56-1)) &lt;&gt; ""),ROW(BR$2:(INDIRECT(BI$61&amp;BR56-1)))))</f>
        <v>45</v>
      </c>
      <c r="BS57" s="50"/>
      <c r="BT57" s="50"/>
      <c r="BU57" s="82" t="s">
        <v>4</v>
      </c>
      <c r="BV57" s="47">
        <f>COUNTIF(CD2:CD51,"D")</f>
        <v>9</v>
      </c>
      <c r="BW57" s="117"/>
      <c r="BX57" s="82" t="s">
        <v>3</v>
      </c>
      <c r="BY57" s="47" t="str">
        <f ca="1">CA54&amp;CA55&amp;CA56&amp;CA57&amp;CA58</f>
        <v>WWWWW</v>
      </c>
      <c r="BZ57" s="47"/>
      <c r="CA57" s="47" t="str">
        <f ca="1">INDIRECT(BU$61&amp;CD57)</f>
        <v>W</v>
      </c>
      <c r="CB57" s="47"/>
      <c r="CC57" s="47"/>
      <c r="CD57" s="47">
        <f ca="1">IF(ISBLANK(INDIRECT(BU$61&amp;CD56-1)), LOOKUP(2,1 / (CD$2:(INDIRECT(BU$61&amp;CD56-2)) &lt;&gt; ""),ROW(CD$2:(INDIRECT(BU$61&amp;CD56-2)))),LOOKUP(2,1 / (CD$2:(INDIRECT(BU$61&amp;CD56-1)) &lt;&gt; ""),ROW(CD$2:(INDIRECT(BU$61&amp;CD56-1)))))</f>
        <v>46</v>
      </c>
      <c r="CE57" s="47"/>
      <c r="CF57" s="47"/>
      <c r="CG57" s="81" t="s">
        <v>4</v>
      </c>
      <c r="CH57" s="44">
        <f>COUNTIF(CP2:CP51,"D")</f>
        <v>10</v>
      </c>
      <c r="CI57" s="127"/>
      <c r="CJ57" s="81" t="s">
        <v>3</v>
      </c>
      <c r="CK57" s="44" t="str">
        <f ca="1">CM54&amp;CM55&amp;CM56&amp;CM57&amp;CM58</f>
        <v>WWWDW</v>
      </c>
      <c r="CL57" s="44"/>
      <c r="CM57" s="44" t="str">
        <f ca="1">INDIRECT(CG$61&amp;CP57)</f>
        <v>D</v>
      </c>
      <c r="CN57" s="44"/>
      <c r="CO57" s="44"/>
      <c r="CP57" s="44">
        <f ca="1">IF(ISBLANK(INDIRECT(CG$61&amp;CP56-1)), LOOKUP(2,1 / (CP$2:(INDIRECT(CG$61&amp;CP56-2)) &lt;&gt; ""),ROW(CP$2:(INDIRECT(CG$61&amp;CP56-2)))),LOOKUP(2,1 / (CP$2:(INDIRECT(CG$61&amp;CP56-1)) &lt;&gt; ""),ROW(CP$2:(INDIRECT(CG$61&amp;CP56-1)))))</f>
        <v>45</v>
      </c>
      <c r="CQ57" s="44"/>
      <c r="CR57" s="44"/>
      <c r="CS57" s="102" t="s">
        <v>4</v>
      </c>
      <c r="CT57" s="41">
        <f>COUNTIF(DB2:DB51,"D")</f>
        <v>9</v>
      </c>
      <c r="CU57" s="116"/>
      <c r="CV57" s="102" t="s">
        <v>3</v>
      </c>
      <c r="CW57" s="41" t="str">
        <f ca="1">CY54&amp;CY55&amp;CY56&amp;CY57&amp;CY58</f>
        <v>LWDWW</v>
      </c>
      <c r="CX57" s="41"/>
      <c r="CY57" s="41" t="str">
        <f ca="1">INDIRECT(CS$61&amp;DB57)</f>
        <v>W</v>
      </c>
      <c r="CZ57" s="41"/>
      <c r="DA57" s="41"/>
      <c r="DB57" s="41">
        <f ca="1">IF(ISBLANK(INDIRECT(CS$61&amp;DB56-1)), LOOKUP(2,1 / (DB$2:(INDIRECT(CS$61&amp;DB56-2)) &lt;&gt; ""),ROW(DB$2:(INDIRECT(CS$61&amp;DB56-2)))),LOOKUP(2,1 / (DB$2:(INDIRECT(CS$61&amp;DB56-1)) &lt;&gt; ""),ROW(DB$2:(INDIRECT(CS$61&amp;DB56-1)))))</f>
        <v>45</v>
      </c>
      <c r="DC57" s="41"/>
      <c r="DD57" s="41"/>
      <c r="DE57" s="79" t="s">
        <v>4</v>
      </c>
      <c r="DF57" s="38">
        <f>COUNTIF(DN2:DN51,"D")</f>
        <v>8</v>
      </c>
      <c r="DG57" s="126"/>
      <c r="DH57" s="79" t="s">
        <v>3</v>
      </c>
      <c r="DI57" s="38" t="str">
        <f ca="1">DK54&amp;DK55&amp;DK56&amp;DK57&amp;DK58</f>
        <v>WLDDL</v>
      </c>
      <c r="DJ57" s="38"/>
      <c r="DK57" s="38" t="str">
        <f ca="1">INDIRECT(DE$61&amp;DN57)</f>
        <v>D</v>
      </c>
      <c r="DL57" s="38"/>
      <c r="DM57" s="38"/>
      <c r="DN57" s="38">
        <f ca="1">IF(ISBLANK(INDIRECT(DE$61&amp;DN56-1)), LOOKUP(2,1 / (DN$2:(INDIRECT(DE$61&amp;DN56-2)) &lt;&gt; ""),ROW(DN$2:(INDIRECT(DE$61&amp;DN56-2)))),LOOKUP(2,1 / (DN$2:(INDIRECT(DE$61&amp;DN56-1)) &lt;&gt; ""),ROW(DN$2:(INDIRECT(DE$61&amp;DN56-1)))))</f>
        <v>45</v>
      </c>
      <c r="DO57" s="38"/>
      <c r="DP57" s="38"/>
      <c r="DQ57" s="78" t="s">
        <v>4</v>
      </c>
      <c r="DR57" s="35">
        <f>COUNTIF(DZ2:DZ51,"D")</f>
        <v>10</v>
      </c>
      <c r="DS57" s="115"/>
      <c r="DT57" s="78" t="s">
        <v>3</v>
      </c>
      <c r="DU57" s="35" t="str">
        <f ca="1">DW54&amp;DW55&amp;DW56&amp;DW57&amp;DW58</f>
        <v>WDWDL</v>
      </c>
      <c r="DV57" s="35"/>
      <c r="DW57" s="35" t="str">
        <f ca="1">INDIRECT(DQ$61&amp;DZ57)</f>
        <v>D</v>
      </c>
      <c r="DX57" s="35"/>
      <c r="DY57" s="35"/>
      <c r="DZ57" s="35">
        <f ca="1">IF(ISBLANK(INDIRECT(DQ$61&amp;DZ56-1)), LOOKUP(2,1 / (DZ$2:(INDIRECT(DQ$61&amp;DZ56-2)) &lt;&gt; ""),ROW(DZ$2:(INDIRECT(DQ$61&amp;DZ56-2)))),LOOKUP(2,1 / (DZ$2:(INDIRECT(DQ$61&amp;DZ56-1)) &lt;&gt; ""),ROW(DZ$2:(INDIRECT(DQ$61&amp;DZ56-1)))))</f>
        <v>45</v>
      </c>
      <c r="EA57" s="35"/>
      <c r="EB57" s="35"/>
      <c r="EC57" s="99" t="s">
        <v>4</v>
      </c>
      <c r="ED57" s="32">
        <f>COUNTIF(EL2:EL51,"D")</f>
        <v>8</v>
      </c>
      <c r="EE57" s="125"/>
      <c r="EF57" s="99" t="s">
        <v>3</v>
      </c>
      <c r="EG57" s="32" t="str">
        <f ca="1">EI54&amp;EI55&amp;EI56&amp;EI57&amp;EI58</f>
        <v>LLDLL</v>
      </c>
      <c r="EH57" s="32"/>
      <c r="EI57" s="32" t="str">
        <f ca="1">INDIRECT(EC$61&amp;EL57)</f>
        <v>L</v>
      </c>
      <c r="EJ57" s="32"/>
      <c r="EK57" s="32"/>
      <c r="EL57" s="32">
        <f ca="1">IF(ISBLANK(INDIRECT(EC$61&amp;EL56-1)), LOOKUP(2,1 / (EL$2:(INDIRECT(EC$61&amp;EL56-2)) &lt;&gt; ""),ROW(EL$2:(INDIRECT(EC$61&amp;EL56-2)))),LOOKUP(2,1 / (EL$2:(INDIRECT(EC$61&amp;EL56-1)) &lt;&gt; ""),ROW(EL$2:(INDIRECT(EC$61&amp;EL56-1)))))</f>
        <v>45</v>
      </c>
      <c r="EM57" s="32"/>
      <c r="EN57" s="32"/>
      <c r="EO57" s="98" t="s">
        <v>4</v>
      </c>
      <c r="EP57" s="29">
        <f>COUNTIF(EX2:EX51,"D")</f>
        <v>7</v>
      </c>
      <c r="EQ57" s="114"/>
      <c r="ER57" s="98" t="s">
        <v>3</v>
      </c>
      <c r="ES57" s="29" t="str">
        <f ca="1">EU54&amp;EU55&amp;EU56&amp;EU57&amp;EU58</f>
        <v>WWWWW</v>
      </c>
      <c r="ET57" s="29"/>
      <c r="EU57" s="29" t="str">
        <f ca="1">INDIRECT(EO$61&amp;EX57)</f>
        <v>W</v>
      </c>
      <c r="EV57" s="29"/>
      <c r="EW57" s="29"/>
      <c r="EX57" s="29">
        <f ca="1">IF(ISBLANK(INDIRECT(EO$61&amp;EX56-1)), LOOKUP(2,1 / (EX$2:(INDIRECT(EO$61&amp;EX56-2)) &lt;&gt; ""),ROW(EX$2:(INDIRECT(EO$61&amp;EX56-2)))),LOOKUP(2,1 / (EX$2:(INDIRECT(EO$61&amp;EX56-1)) &lt;&gt; ""),ROW(EX$2:(INDIRECT(EO$61&amp;EX56-1)))))</f>
        <v>46</v>
      </c>
      <c r="EY57" s="29"/>
      <c r="EZ57" s="29"/>
      <c r="FA57" s="75" t="s">
        <v>4</v>
      </c>
      <c r="FB57" s="26">
        <f>COUNTIF(FJ2:FJ51,"D")</f>
        <v>6</v>
      </c>
      <c r="FC57" s="124"/>
      <c r="FD57" s="75" t="s">
        <v>3</v>
      </c>
      <c r="FE57" s="26" t="str">
        <f ca="1">FG54&amp;FG55&amp;FG56&amp;FG57&amp;FG58</f>
        <v>WWLLD</v>
      </c>
      <c r="FF57" s="26"/>
      <c r="FG57" s="26" t="str">
        <f ca="1">INDIRECT(FA$61&amp;FJ57)</f>
        <v>L</v>
      </c>
      <c r="FH57" s="26"/>
      <c r="FI57" s="26"/>
      <c r="FJ57" s="26">
        <f ca="1">IF(ISBLANK(INDIRECT(FA$61&amp;FJ56-1)), LOOKUP(2,1 / (FJ$2:(INDIRECT(FA$61&amp;FJ56-2)) &lt;&gt; ""),ROW(FJ$2:(INDIRECT(FA$61&amp;FJ56-2)))),LOOKUP(2,1 / (FJ$2:(INDIRECT(FA$61&amp;FJ56-1)) &lt;&gt; ""),ROW(FJ$2:(INDIRECT(FA$61&amp;FJ56-1)))))</f>
        <v>46</v>
      </c>
      <c r="FK57" s="26"/>
      <c r="FL57" s="26"/>
      <c r="FM57" s="96" t="s">
        <v>4</v>
      </c>
      <c r="FN57" s="23">
        <f>COUNTIF(FV2:FV51,"D")</f>
        <v>6</v>
      </c>
      <c r="FO57" s="113"/>
      <c r="FP57" s="96" t="s">
        <v>3</v>
      </c>
      <c r="FQ57" s="23" t="str">
        <f ca="1">FS54&amp;FS55&amp;FS56&amp;FS57&amp;FS58</f>
        <v>WLDWW</v>
      </c>
      <c r="FR57" s="23"/>
      <c r="FS57" s="23" t="str">
        <f ca="1">INDIRECT(FM$61&amp;FV57)</f>
        <v>W</v>
      </c>
      <c r="FT57" s="23"/>
      <c r="FU57" s="23"/>
      <c r="FV57" s="23">
        <f ca="1">IF(ISBLANK(INDIRECT(FM$61&amp;FV56-1)), LOOKUP(2,1 / (FV$2:(INDIRECT(FM$61&amp;FV56-2)) &lt;&gt; ""),ROW(FV$2:(INDIRECT(FM$61&amp;FV56-2)))),LOOKUP(2,1 / (FV$2:(INDIRECT(FM$61&amp;FV56-1)) &lt;&gt; ""),ROW(FV$2:(INDIRECT(FM$61&amp;FV56-1)))))</f>
        <v>46</v>
      </c>
      <c r="FW57" s="23"/>
      <c r="FX57" s="23"/>
      <c r="FY57" s="95" t="s">
        <v>4</v>
      </c>
      <c r="FZ57" s="20">
        <f>COUNTIF(GH2:GH51,"D")</f>
        <v>9</v>
      </c>
      <c r="GA57" s="123"/>
      <c r="GB57" s="95" t="s">
        <v>3</v>
      </c>
      <c r="GC57" s="20" t="str">
        <f ca="1">GE54&amp;GE55&amp;GE56&amp;GE57&amp;GE58</f>
        <v>WLWLL</v>
      </c>
      <c r="GD57" s="20"/>
      <c r="GE57" s="20" t="str">
        <f ca="1">INDIRECT(FY$61&amp;GH57)</f>
        <v>L</v>
      </c>
      <c r="GF57" s="20"/>
      <c r="GG57" s="20"/>
      <c r="GH57" s="20">
        <f ca="1">IF(ISBLANK(INDIRECT(FY$61&amp;GH56-1)), LOOKUP(2,1 / (GH$2:(INDIRECT(FY$61&amp;GH56-2)) &lt;&gt; ""),ROW(GH$2:(INDIRECT(FY$61&amp;GH56-2)))),LOOKUP(2,1 / (GH$2:(INDIRECT(FY$61&amp;GH56-1)) &lt;&gt; ""),ROW(GH$2:(INDIRECT(FY$61&amp;GH56-1)))))</f>
        <v>45</v>
      </c>
      <c r="GI57" s="20"/>
      <c r="GJ57" s="20"/>
      <c r="GK57" s="72" t="s">
        <v>4</v>
      </c>
      <c r="GL57" s="17">
        <f>COUNTIF(GT2:GT51,"D")</f>
        <v>7</v>
      </c>
      <c r="GM57" s="112"/>
      <c r="GN57" s="72" t="s">
        <v>3</v>
      </c>
      <c r="GO57" s="17" t="str">
        <f ca="1">GQ54&amp;GQ55&amp;GQ56&amp;GQ57&amp;GQ58</f>
        <v>LLLLL</v>
      </c>
      <c r="GP57" s="17"/>
      <c r="GQ57" s="17" t="str">
        <f ca="1">INDIRECT(GK$61&amp;GT57)</f>
        <v>L</v>
      </c>
      <c r="GR57" s="17"/>
      <c r="GS57" s="17"/>
      <c r="GT57" s="17">
        <f ca="1">IF(ISBLANK(INDIRECT(GK$61&amp;GT56-1)), LOOKUP(2,1 / (GT$2:(INDIRECT(GK$61&amp;GT56-2)) &lt;&gt; ""),ROW(GT$2:(INDIRECT(GK$61&amp;GT56-2)))),LOOKUP(2,1 / (GT$2:(INDIRECT(GK$61&amp;GT56-1)) &lt;&gt; ""),ROW(GT$2:(INDIRECT(GK$61&amp;GT56-1)))))</f>
        <v>45</v>
      </c>
      <c r="GU57" s="17"/>
      <c r="GV57" s="17"/>
      <c r="GW57" s="93" t="s">
        <v>4</v>
      </c>
      <c r="GX57" s="14">
        <f>COUNTIF(HF2:HF51,"D")</f>
        <v>6</v>
      </c>
      <c r="GY57" s="122"/>
      <c r="GZ57" s="93" t="s">
        <v>3</v>
      </c>
      <c r="HA57" s="14" t="str">
        <f ca="1">HC54&amp;HC55&amp;HC56&amp;HC57&amp;HC58</f>
        <v>WLWLL</v>
      </c>
      <c r="HB57" s="14"/>
      <c r="HC57" s="14" t="str">
        <f ca="1">INDIRECT(GW$61&amp;HF57)</f>
        <v>L</v>
      </c>
      <c r="HD57" s="14"/>
      <c r="HE57" s="14"/>
      <c r="HF57" s="14">
        <f ca="1">IF(ISBLANK(INDIRECT(GW$61&amp;HF56-1)), LOOKUP(2,1 / (HF$2:(INDIRECT(GW$61&amp;HF56-2)) &lt;&gt; ""),ROW(HF$2:(INDIRECT(GW$61&amp;HF56-2)))),LOOKUP(2,1 / (HF$2:(INDIRECT(GW$61&amp;HF56-1)) &lt;&gt; ""),ROW(HF$2:(INDIRECT(GW$61&amp;HF56-1)))))</f>
        <v>46</v>
      </c>
      <c r="HG57" s="14"/>
      <c r="HH57" s="14"/>
      <c r="HI57" s="92" t="s">
        <v>4</v>
      </c>
      <c r="HJ57" s="11">
        <f>COUNTIF(HR2:HR51,"D")</f>
        <v>10</v>
      </c>
      <c r="HK57" s="111"/>
      <c r="HL57" s="92" t="s">
        <v>3</v>
      </c>
      <c r="HM57" s="11" t="str">
        <f ca="1">HO54&amp;HO55&amp;HO56&amp;HO57&amp;HO58</f>
        <v>LWLDL</v>
      </c>
      <c r="HN57" s="11"/>
      <c r="HO57" s="11" t="str">
        <f ca="1">INDIRECT(HI$61&amp;HR57)</f>
        <v>D</v>
      </c>
      <c r="HP57" s="11"/>
      <c r="HQ57" s="11"/>
      <c r="HR57" s="11">
        <f ca="1">IF(ISBLANK(INDIRECT(HI$61&amp;HR56-1)), LOOKUP(2,1 / (HR$2:(INDIRECT(HI$61&amp;HR56-2)) &lt;&gt; ""),ROW(HR$2:(INDIRECT(HI$61&amp;HR56-2)))),LOOKUP(2,1 / (HR$2:(INDIRECT(HI$61&amp;HR56-1)) &lt;&gt; ""),ROW(HR$2:(INDIRECT(HI$61&amp;HR56-1)))))</f>
        <v>45</v>
      </c>
      <c r="HS57" s="11"/>
      <c r="HT57" s="11"/>
      <c r="HU57" s="91" t="s">
        <v>4</v>
      </c>
      <c r="HV57" s="8">
        <f>COUNTIF(ID2:ID51,"D")</f>
        <v>7</v>
      </c>
      <c r="HW57" s="121"/>
      <c r="HX57" s="91" t="s">
        <v>3</v>
      </c>
      <c r="HY57" s="8" t="str">
        <f ca="1">IA54&amp;IA55&amp;IA56&amp;IA57&amp;IA58</f>
        <v>LLLWL</v>
      </c>
      <c r="HZ57" s="8"/>
      <c r="IA57" s="8" t="str">
        <f ca="1">INDIRECT(HU$61&amp;ID57)</f>
        <v>W</v>
      </c>
      <c r="IB57" s="8"/>
      <c r="IC57" s="8"/>
      <c r="ID57" s="8">
        <f ca="1">IF(ISBLANK(INDIRECT(HU$61&amp;ID56-1)), LOOKUP(2,1 / (ID$2:(INDIRECT(HU$61&amp;ID56-2)) &lt;&gt; ""),ROW(ID$2:(INDIRECT(HU$61&amp;ID56-2)))),LOOKUP(2,1 / (ID$2:(INDIRECT(HU$61&amp;ID56-1)) &lt;&gt; ""),ROW(ID$2:(INDIRECT(HU$61&amp;ID56-1)))))</f>
        <v>45</v>
      </c>
      <c r="IE57" s="8"/>
      <c r="IF57" s="8"/>
    </row>
    <row r="58" spans="1:240" hidden="1" x14ac:dyDescent="0.25">
      <c r="A58" s="90" t="s">
        <v>2</v>
      </c>
      <c r="B58" s="68">
        <f>COUNTIF(J2:J51,"L")</f>
        <v>5</v>
      </c>
      <c r="C58" s="120"/>
      <c r="D58" s="90" t="s">
        <v>1</v>
      </c>
      <c r="E58" s="68" t="str">
        <f ca="1">INDIRECT(B61&amp;J59)</f>
        <v>Everton</v>
      </c>
      <c r="F58" s="66"/>
      <c r="G58" s="66" t="str">
        <f ca="1">INDIRECT(A$61&amp;J58)</f>
        <v>W</v>
      </c>
      <c r="H58" s="66"/>
      <c r="I58" s="66"/>
      <c r="J58" s="66">
        <f ca="1">IF(ISBLANK(INDIRECT(A$61&amp;J57-1)), LOOKUP(2,1 / (J$2:(INDIRECT(A$61&amp;J57-2)) &lt;&gt; ""),ROW(J$2:(INDIRECT(A$61&amp;J57-2)))),LOOKUP(2,1 / (J$2:(INDIRECT(A$61&amp;J57-1)) &lt;&gt; ""),ROW(J$2:(INDIRECT(A$61&amp;J57-1)))))</f>
        <v>44</v>
      </c>
      <c r="K58" s="66"/>
      <c r="L58" s="66"/>
      <c r="M58" s="87" t="s">
        <v>2</v>
      </c>
      <c r="N58" s="62">
        <f>COUNTIF(V2:V51,"L")</f>
        <v>10</v>
      </c>
      <c r="O58" s="62"/>
      <c r="P58" s="87" t="s">
        <v>1</v>
      </c>
      <c r="Q58" s="62" t="str">
        <f ca="1">INDIRECT(N61&amp;V59)</f>
        <v>Crystal Palace</v>
      </c>
      <c r="R58" s="62"/>
      <c r="S58" s="62" t="str">
        <f ca="1">INDIRECT(M$61&amp;V58)</f>
        <v>W</v>
      </c>
      <c r="T58" s="62"/>
      <c r="U58" s="62"/>
      <c r="V58" s="62">
        <f ca="1">IF(ISBLANK(INDIRECT(M$61&amp;V57-1)), LOOKUP(2,1 / (V$2:(INDIRECT(M$61&amp;V57-2)) &lt;&gt; ""),ROW(V$2:(INDIRECT(M$61&amp;V57-2)))),LOOKUP(2,1 / (V$2:(INDIRECT(M$61&amp;V57-1)) &lt;&gt; ""),ROW(V$2:(INDIRECT(M$61&amp;V57-1)))))</f>
        <v>44</v>
      </c>
      <c r="W58" s="62"/>
      <c r="X58" s="62"/>
      <c r="Y58" s="108" t="s">
        <v>2</v>
      </c>
      <c r="Z58" s="59">
        <f>COUNTIF(AH2:AH51,"L")</f>
        <v>16</v>
      </c>
      <c r="AA58" s="119"/>
      <c r="AB58" s="108" t="s">
        <v>1</v>
      </c>
      <c r="AC58" s="59" t="str">
        <f ca="1">INDIRECT(Z61&amp;AH59)</f>
        <v>Chelsea</v>
      </c>
      <c r="AD58" s="59"/>
      <c r="AE58" s="59" t="str">
        <f ca="1">INDIRECT(Y$61&amp;AH58)</f>
        <v>W</v>
      </c>
      <c r="AF58" s="59"/>
      <c r="AG58" s="59"/>
      <c r="AH58" s="59">
        <f ca="1">IF(ISBLANK(INDIRECT(Y$61&amp;AH57-1)), LOOKUP(2,1 / (AH$2:(INDIRECT(Y$61&amp;AH57-2)) &lt;&gt; ""),ROW(AH$2:(INDIRECT(Y$61&amp;AH57-2)))),LOOKUP(2,1 / (AH$2:(INDIRECT(Y$61&amp;AH57-1)) &lt;&gt; ""),ROW(AH$2:(INDIRECT(Y$61&amp;AH57-1)))))</f>
        <v>44</v>
      </c>
      <c r="AI58" s="59"/>
      <c r="AJ58" s="59"/>
      <c r="AK58" s="85" t="s">
        <v>2</v>
      </c>
      <c r="AL58" s="56">
        <f>COUNTIF(AT2:AT51,"L")</f>
        <v>19</v>
      </c>
      <c r="AM58" s="56"/>
      <c r="AN58" s="85" t="s">
        <v>1</v>
      </c>
      <c r="AO58" s="56" t="str">
        <f ca="1">INDIRECT(AL61&amp;AT59)</f>
        <v>Newcastle</v>
      </c>
      <c r="AP58" s="56"/>
      <c r="AQ58" s="56" t="str">
        <f ca="1">INDIRECT(AK$61&amp;AT58)</f>
        <v>W</v>
      </c>
      <c r="AR58" s="56"/>
      <c r="AS58" s="56"/>
      <c r="AT58" s="56">
        <f ca="1">IF(ISBLANK(INDIRECT(AK$61&amp;AT57-1)), LOOKUP(2,1 / (AT$2:(INDIRECT(AK$61&amp;AT57-2)) &lt;&gt; ""),ROW(AT$2:(INDIRECT(AK$61&amp;AT57-2)))),LOOKUP(2,1 / (AT$2:(INDIRECT(AK$61&amp;AT57-1)) &lt;&gt; ""),ROW(AT$2:(INDIRECT(AK$61&amp;AT57-1)))))</f>
        <v>44</v>
      </c>
      <c r="AU58" s="56"/>
      <c r="AV58" s="56"/>
      <c r="AW58" s="106" t="s">
        <v>2</v>
      </c>
      <c r="AX58" s="53">
        <f>COUNTIF(BF2:BF51,"L")</f>
        <v>14</v>
      </c>
      <c r="AY58" s="118"/>
      <c r="AZ58" s="106" t="s">
        <v>1</v>
      </c>
      <c r="BA58" s="53" t="str">
        <f ca="1">INDIRECT(AX61&amp;BF59)</f>
        <v>Man Utd</v>
      </c>
      <c r="BB58" s="53"/>
      <c r="BC58" s="53" t="str">
        <f ca="1">INDIRECT(AW$61&amp;BF58)</f>
        <v>L</v>
      </c>
      <c r="BD58" s="53"/>
      <c r="BE58" s="53"/>
      <c r="BF58" s="53">
        <f ca="1">IF(ISBLANK(INDIRECT(AW$61&amp;BF57-1)), LOOKUP(2,1 / (BF$2:(INDIRECT(AW$61&amp;BF57-2)) &lt;&gt; ""),ROW(BF$2:(INDIRECT(AW$61&amp;BF57-2)))),LOOKUP(2,1 / (BF$2:(INDIRECT(AW$61&amp;BF57-1)) &lt;&gt; ""),ROW(BF$2:(INDIRECT(AW$61&amp;BF57-1)))))</f>
        <v>44</v>
      </c>
      <c r="BG58" s="53"/>
      <c r="BH58" s="53"/>
      <c r="BI58" s="83" t="s">
        <v>2</v>
      </c>
      <c r="BJ58" s="50">
        <f>COUNTIF(BR2:BR51,"L")</f>
        <v>24</v>
      </c>
      <c r="BK58" s="50"/>
      <c r="BL58" s="83" t="s">
        <v>1</v>
      </c>
      <c r="BM58" s="50" t="str">
        <f ca="1">INDIRECT(BJ61&amp;BR59)</f>
        <v>Nott'm Forest</v>
      </c>
      <c r="BN58" s="50"/>
      <c r="BO58" s="50" t="str">
        <f ca="1">INDIRECT(BI$61&amp;BR58)</f>
        <v>W</v>
      </c>
      <c r="BP58" s="50"/>
      <c r="BQ58" s="50"/>
      <c r="BR58" s="50">
        <f ca="1">IF(ISBLANK(INDIRECT(BI$61&amp;BR57-1)), LOOKUP(2,1 / (BR$2:(INDIRECT(BI$61&amp;BR57-2)) &lt;&gt; ""),ROW(BR$2:(INDIRECT(BI$61&amp;BR57-2)))),LOOKUP(2,1 / (BR$2:(INDIRECT(BI$61&amp;BR57-1)) &lt;&gt; ""),ROW(BR$2:(INDIRECT(BI$61&amp;BR57-1)))))</f>
        <v>44</v>
      </c>
      <c r="BS58" s="50"/>
      <c r="BT58" s="50"/>
      <c r="BU58" s="82" t="s">
        <v>2</v>
      </c>
      <c r="BV58" s="47">
        <f>COUNTIF(CD2:CD51,"L")</f>
        <v>11</v>
      </c>
      <c r="BW58" s="117"/>
      <c r="BX58" s="82" t="s">
        <v>1</v>
      </c>
      <c r="BY58" s="47" t="str">
        <f ca="1">INDIRECT(BV61&amp;CD59)</f>
        <v>Bournemouth</v>
      </c>
      <c r="BZ58" s="47"/>
      <c r="CA58" s="47" t="str">
        <f ca="1">INDIRECT(BU$61&amp;CD58)</f>
        <v>W</v>
      </c>
      <c r="CB58" s="47"/>
      <c r="CC58" s="47"/>
      <c r="CD58" s="47">
        <f ca="1">IF(ISBLANK(INDIRECT(BU$61&amp;CD57-1)), LOOKUP(2,1 / (CD$2:(INDIRECT(BU$61&amp;CD57-2)) &lt;&gt; ""),ROW(CD$2:(INDIRECT(BU$61&amp;CD57-2)))),LOOKUP(2,1 / (CD$2:(INDIRECT(BU$61&amp;CD57-1)) &lt;&gt; ""),ROW(CD$2:(INDIRECT(BU$61&amp;CD57-1)))))</f>
        <v>45</v>
      </c>
      <c r="CE58" s="47"/>
      <c r="CF58" s="47"/>
      <c r="CG58" s="81" t="s">
        <v>2</v>
      </c>
      <c r="CH58" s="44">
        <f>COUNTIF(CP2:CP51,"L")</f>
        <v>15</v>
      </c>
      <c r="CI58" s="44"/>
      <c r="CJ58" s="81" t="s">
        <v>1</v>
      </c>
      <c r="CK58" s="44" t="str">
        <f ca="1">INDIRECT(CH61&amp;CP59)</f>
        <v>Aston Villa</v>
      </c>
      <c r="CL58" s="44"/>
      <c r="CM58" s="44" t="str">
        <f ca="1">INDIRECT(CG$61&amp;CP58)</f>
        <v>W</v>
      </c>
      <c r="CN58" s="44"/>
      <c r="CO58" s="44"/>
      <c r="CP58" s="44">
        <f ca="1">IF(ISBLANK(INDIRECT(CG$61&amp;CP57-1)), LOOKUP(2,1 / (CP$2:(INDIRECT(CG$61&amp;CP57-2)) &lt;&gt; ""),ROW(CP$2:(INDIRECT(CG$61&amp;CP57-2)))),LOOKUP(2,1 / (CP$2:(INDIRECT(CG$61&amp;CP57-1)) &lt;&gt; ""),ROW(CP$2:(INDIRECT(CG$61&amp;CP57-1)))))</f>
        <v>44</v>
      </c>
      <c r="CQ58" s="44"/>
      <c r="CR58" s="44"/>
      <c r="CS58" s="102" t="s">
        <v>2</v>
      </c>
      <c r="CT58" s="41">
        <f>COUNTIF(DB2:DB51,"L")</f>
        <v>16</v>
      </c>
      <c r="CU58" s="116"/>
      <c r="CV58" s="102" t="s">
        <v>1</v>
      </c>
      <c r="CW58" s="41" t="str">
        <f ca="1">INDIRECT(CT61&amp;DB59)</f>
        <v>Arsenal</v>
      </c>
      <c r="CX58" s="41"/>
      <c r="CY58" s="41" t="str">
        <f ca="1">INDIRECT(CS$61&amp;DB58)</f>
        <v>W</v>
      </c>
      <c r="CZ58" s="41"/>
      <c r="DA58" s="41"/>
      <c r="DB58" s="41">
        <f ca="1">IF(ISBLANK(INDIRECT(CS$61&amp;DB57-1)), LOOKUP(2,1 / (DB$2:(INDIRECT(CS$61&amp;DB57-2)) &lt;&gt; ""),ROW(DB$2:(INDIRECT(CS$61&amp;DB57-2)))),LOOKUP(2,1 / (DB$2:(INDIRECT(CS$61&amp;DB57-1)) &lt;&gt; ""),ROW(DB$2:(INDIRECT(CS$61&amp;DB57-1)))))</f>
        <v>44</v>
      </c>
      <c r="DC58" s="41"/>
      <c r="DD58" s="41"/>
      <c r="DE58" s="79" t="s">
        <v>2</v>
      </c>
      <c r="DF58" s="38">
        <f>COUNTIF(DN2:DN51,"L")</f>
        <v>17</v>
      </c>
      <c r="DG58" s="38"/>
      <c r="DH58" s="79" t="s">
        <v>1</v>
      </c>
      <c r="DI58" s="38" t="str">
        <f ca="1">INDIRECT(DF61&amp;DN59)</f>
        <v>Luton</v>
      </c>
      <c r="DJ58" s="38"/>
      <c r="DK58" s="38" t="str">
        <f ca="1">INDIRECT(DE$61&amp;DN58)</f>
        <v>L</v>
      </c>
      <c r="DL58" s="38"/>
      <c r="DM58" s="38"/>
      <c r="DN58" s="38">
        <f ca="1">IF(ISBLANK(INDIRECT(DE$61&amp;DN57-1)), LOOKUP(2,1 / (DN$2:(INDIRECT(DE$61&amp;DN57-2)) &lt;&gt; ""),ROW(DN$2:(INDIRECT(DE$61&amp;DN57-2)))),LOOKUP(2,1 / (DN$2:(INDIRECT(DE$61&amp;DN57-1)) &lt;&gt; ""),ROW(DN$2:(INDIRECT(DE$61&amp;DN57-1)))))</f>
        <v>44</v>
      </c>
      <c r="DO58" s="38"/>
      <c r="DP58" s="38"/>
      <c r="DQ58" s="78" t="s">
        <v>2</v>
      </c>
      <c r="DR58" s="35">
        <f>COUNTIF(DZ2:DZ51,"L")</f>
        <v>4</v>
      </c>
      <c r="DS58" s="115"/>
      <c r="DT58" s="78" t="s">
        <v>1</v>
      </c>
      <c r="DU58" s="35" t="str">
        <f ca="1">INDIRECT(DR61&amp;DZ59)</f>
        <v>Wolves</v>
      </c>
      <c r="DV58" s="35"/>
      <c r="DW58" s="35" t="str">
        <f ca="1">INDIRECT(DQ$61&amp;DZ58)</f>
        <v>L</v>
      </c>
      <c r="DX58" s="35"/>
      <c r="DY58" s="35"/>
      <c r="DZ58" s="35">
        <f ca="1">IF(ISBLANK(INDIRECT(DQ$61&amp;DZ57-1)), LOOKUP(2,1 / (DZ$2:(INDIRECT(DQ$61&amp;DZ57-2)) &lt;&gt; ""),ROW(DZ$2:(INDIRECT(DQ$61&amp;DZ57-2)))),LOOKUP(2,1 / (DZ$2:(INDIRECT(DQ$61&amp;DZ57-1)) &lt;&gt; ""),ROW(DZ$2:(INDIRECT(DQ$61&amp;DZ57-1)))))</f>
        <v>44</v>
      </c>
      <c r="EA58" s="35"/>
      <c r="EB58" s="35"/>
      <c r="EC58" s="99" t="s">
        <v>2</v>
      </c>
      <c r="ED58" s="32">
        <f>COUNTIF(EL2:EL51,"L")</f>
        <v>24</v>
      </c>
      <c r="EE58" s="32"/>
      <c r="EF58" s="99" t="s">
        <v>1</v>
      </c>
      <c r="EG58" s="32" t="str">
        <f ca="1">INDIRECT(ED61&amp;EL59)</f>
        <v>Fulham</v>
      </c>
      <c r="EH58" s="32"/>
      <c r="EI58" s="32" t="str">
        <f ca="1">INDIRECT(EC$61&amp;EL58)</f>
        <v>L</v>
      </c>
      <c r="EJ58" s="32"/>
      <c r="EK58" s="32"/>
      <c r="EL58" s="32">
        <f ca="1">IF(ISBLANK(INDIRECT(EC$61&amp;EL57-1)), LOOKUP(2,1 / (EL$2:(INDIRECT(EC$61&amp;EL57-2)) &lt;&gt; ""),ROW(EL$2:(INDIRECT(EC$61&amp;EL57-2)))),LOOKUP(2,1 / (EL$2:(INDIRECT(EC$61&amp;EL57-1)) &lt;&gt; ""),ROW(EL$2:(INDIRECT(EC$61&amp;EL57-1)))))</f>
        <v>44</v>
      </c>
      <c r="EM58" s="32"/>
      <c r="EN58" s="32"/>
      <c r="EO58" s="98" t="s">
        <v>2</v>
      </c>
      <c r="EP58" s="29">
        <f>COUNTIF(EX2:EX51,"L")</f>
        <v>3</v>
      </c>
      <c r="EQ58" s="114"/>
      <c r="ER58" s="98" t="s">
        <v>1</v>
      </c>
      <c r="ES58" s="29" t="str">
        <f ca="1">INDIRECT(EP61&amp;EX59)</f>
        <v>West Ham</v>
      </c>
      <c r="ET58" s="29"/>
      <c r="EU58" s="29" t="str">
        <f ca="1">INDIRECT(EO$61&amp;EX58)</f>
        <v>W</v>
      </c>
      <c r="EV58" s="29"/>
      <c r="EW58" s="29"/>
      <c r="EX58" s="29">
        <f ca="1">IF(ISBLANK(INDIRECT(EO$61&amp;EX57-1)), LOOKUP(2,1 / (EX$2:(INDIRECT(EO$61&amp;EX57-2)) &lt;&gt; ""),ROW(EX$2:(INDIRECT(EO$61&amp;EX57-2)))),LOOKUP(2,1 / (EX$2:(INDIRECT(EO$61&amp;EX57-1)) &lt;&gt; ""),ROW(EX$2:(INDIRECT(EO$61&amp;EX57-1)))))</f>
        <v>44</v>
      </c>
      <c r="EY58" s="29"/>
      <c r="EZ58" s="29"/>
      <c r="FA58" s="75" t="s">
        <v>2</v>
      </c>
      <c r="FB58" s="26">
        <f>COUNTIF(FJ2:FJ51,"L")</f>
        <v>14</v>
      </c>
      <c r="FC58" s="26"/>
      <c r="FD58" s="75" t="s">
        <v>1</v>
      </c>
      <c r="FE58" s="26" t="str">
        <f ca="1">INDIRECT(FB61&amp;FJ59)</f>
        <v>Brighton</v>
      </c>
      <c r="FF58" s="26"/>
      <c r="FG58" s="26" t="str">
        <f ca="1">INDIRECT(FA$61&amp;FJ58)</f>
        <v>D</v>
      </c>
      <c r="FH58" s="26"/>
      <c r="FI58" s="26"/>
      <c r="FJ58" s="26">
        <f ca="1">IF(ISBLANK(INDIRECT(FA$61&amp;FJ57-1)), LOOKUP(2,1 / (FJ$2:(INDIRECT(FA$61&amp;FJ57-2)) &lt;&gt; ""),ROW(FJ$2:(INDIRECT(FA$61&amp;FJ57-2)))),LOOKUP(2,1 / (FJ$2:(INDIRECT(FA$61&amp;FJ57-1)) &lt;&gt; ""),ROW(FJ$2:(INDIRECT(FA$61&amp;FJ57-1)))))</f>
        <v>44</v>
      </c>
      <c r="FK58" s="26"/>
      <c r="FL58" s="26"/>
      <c r="FM58" s="96" t="s">
        <v>2</v>
      </c>
      <c r="FN58" s="23">
        <f>COUNTIF(FV2:FV51,"L")</f>
        <v>14</v>
      </c>
      <c r="FO58" s="113"/>
      <c r="FP58" s="96" t="s">
        <v>1</v>
      </c>
      <c r="FQ58" s="23" t="str">
        <f ca="1">INDIRECT(FN61&amp;FV59)</f>
        <v>Brentford</v>
      </c>
      <c r="FR58" s="23"/>
      <c r="FS58" s="23" t="str">
        <f ca="1">INDIRECT(FM$61&amp;FV58)</f>
        <v>W</v>
      </c>
      <c r="FT58" s="23"/>
      <c r="FU58" s="23"/>
      <c r="FV58" s="23">
        <f ca="1">IF(ISBLANK(INDIRECT(FM$61&amp;FV57-1)), LOOKUP(2,1 / (FV$2:(INDIRECT(FM$61&amp;FV57-2)) &lt;&gt; ""),ROW(FV$2:(INDIRECT(FM$61&amp;FV57-2)))),LOOKUP(2,1 / (FV$2:(INDIRECT(FM$61&amp;FV57-1)) &lt;&gt; ""),ROW(FV$2:(INDIRECT(FM$61&amp;FV57-1)))))</f>
        <v>44</v>
      </c>
      <c r="FW58" s="23"/>
      <c r="FX58" s="23"/>
      <c r="FY58" s="95" t="s">
        <v>2</v>
      </c>
      <c r="FZ58" s="20">
        <f>COUNTIF(GH2:GH51,"L")</f>
        <v>20</v>
      </c>
      <c r="GA58" s="20"/>
      <c r="GB58" s="95" t="s">
        <v>1</v>
      </c>
      <c r="GC58" s="20" t="str">
        <f ca="1">INDIRECT(FZ61&amp;GH59)</f>
        <v>Burnley</v>
      </c>
      <c r="GD58" s="20"/>
      <c r="GE58" s="20" t="str">
        <f ca="1">INDIRECT(FY$61&amp;GH58)</f>
        <v>L</v>
      </c>
      <c r="GF58" s="20"/>
      <c r="GG58" s="20"/>
      <c r="GH58" s="20">
        <f ca="1">IF(ISBLANK(INDIRECT(FY$61&amp;GH57-1)), LOOKUP(2,1 / (GH$2:(INDIRECT(FY$61&amp;GH57-2)) &lt;&gt; ""),ROW(GH$2:(INDIRECT(FY$61&amp;GH57-2)))),LOOKUP(2,1 / (GH$2:(INDIRECT(FY$61&amp;GH57-1)) &lt;&gt; ""),ROW(GH$2:(INDIRECT(FY$61&amp;GH57-1)))))</f>
        <v>44</v>
      </c>
      <c r="GI58" s="20"/>
      <c r="GJ58" s="20"/>
      <c r="GK58" s="72" t="s">
        <v>2</v>
      </c>
      <c r="GL58" s="17">
        <f>COUNTIF(GT2:GT51,"L")</f>
        <v>28</v>
      </c>
      <c r="GM58" s="112"/>
      <c r="GN58" s="72" t="s">
        <v>1</v>
      </c>
      <c r="GO58" s="17" t="str">
        <f ca="1">INDIRECT(GL61&amp;GT59)</f>
        <v>Spurs</v>
      </c>
      <c r="GP58" s="17"/>
      <c r="GQ58" s="17" t="str">
        <f ca="1">INDIRECT(GK$61&amp;GT58)</f>
        <v>L</v>
      </c>
      <c r="GR58" s="17"/>
      <c r="GS58" s="17"/>
      <c r="GT58" s="17">
        <f ca="1">IF(ISBLANK(INDIRECT(GK$61&amp;GT57-1)), LOOKUP(2,1 / (GT$2:(INDIRECT(GK$61&amp;GT57-2)) &lt;&gt; ""),ROW(GT$2:(INDIRECT(GK$61&amp;GT57-2)))),LOOKUP(2,1 / (GT$2:(INDIRECT(GK$61&amp;GT57-1)) &lt;&gt; ""),ROW(GT$2:(INDIRECT(GK$61&amp;GT57-1)))))</f>
        <v>44</v>
      </c>
      <c r="GU58" s="17"/>
      <c r="GV58" s="17"/>
      <c r="GW58" s="93" t="s">
        <v>2</v>
      </c>
      <c r="GX58" s="14">
        <f>COUNTIF(HF2:HF51,"L")</f>
        <v>12</v>
      </c>
      <c r="GY58" s="14"/>
      <c r="GZ58" s="93" t="s">
        <v>1</v>
      </c>
      <c r="HA58" s="14" t="str">
        <f ca="1">INDIRECT(GX61&amp;HF59)</f>
        <v>Sheffield Utd</v>
      </c>
      <c r="HB58" s="14"/>
      <c r="HC58" s="14" t="str">
        <f ca="1">INDIRECT(GW$61&amp;HF58)</f>
        <v>L</v>
      </c>
      <c r="HD58" s="14"/>
      <c r="HE58" s="14"/>
      <c r="HF58" s="14">
        <f ca="1">IF(ISBLANK(INDIRECT(GW$61&amp;HF57-1)), LOOKUP(2,1 / (HF$2:(INDIRECT(GW$61&amp;HF57-2)) &lt;&gt; ""),ROW(HF$2:(INDIRECT(GW$61&amp;HF57-2)))),LOOKUP(2,1 / (HF$2:(INDIRECT(GW$61&amp;HF57-1)) &lt;&gt; ""),ROW(HF$2:(INDIRECT(GW$61&amp;HF57-1)))))</f>
        <v>45</v>
      </c>
      <c r="HG58" s="14"/>
      <c r="HH58" s="14"/>
      <c r="HI58" s="92" t="s">
        <v>2</v>
      </c>
      <c r="HJ58" s="11">
        <f>COUNTIF(HR2:HR51,"L")</f>
        <v>14</v>
      </c>
      <c r="HK58" s="111"/>
      <c r="HL58" s="92" t="s">
        <v>1</v>
      </c>
      <c r="HM58" s="11" t="str">
        <f ca="1">INDIRECT(HJ61&amp;HR59)</f>
        <v>Man City</v>
      </c>
      <c r="HN58" s="11"/>
      <c r="HO58" s="11" t="str">
        <f ca="1">INDIRECT(HI$61&amp;HR58)</f>
        <v>L</v>
      </c>
      <c r="HP58" s="11"/>
      <c r="HQ58" s="11"/>
      <c r="HR58" s="11">
        <f ca="1">IF(ISBLANK(INDIRECT(HI$61&amp;HR57-1)), LOOKUP(2,1 / (HR$2:(INDIRECT(HI$61&amp;HR57-2)) &lt;&gt; ""),ROW(HR$2:(INDIRECT(HI$61&amp;HR57-2)))),LOOKUP(2,1 / (HR$2:(INDIRECT(HI$61&amp;HR57-1)) &lt;&gt; ""),ROW(HR$2:(INDIRECT(HI$61&amp;HR57-1)))))</f>
        <v>44</v>
      </c>
      <c r="HS58" s="11"/>
      <c r="HT58" s="11"/>
      <c r="HU58" s="91" t="s">
        <v>2</v>
      </c>
      <c r="HV58" s="8">
        <f>COUNTIF(ID2:ID51,"L")</f>
        <v>18</v>
      </c>
      <c r="HW58" s="8"/>
      <c r="HX58" s="91" t="s">
        <v>1</v>
      </c>
      <c r="HY58" s="8" t="str">
        <f ca="1">INDIRECT(HV61&amp;ID59)</f>
        <v>Liverpool</v>
      </c>
      <c r="HZ58" s="8"/>
      <c r="IA58" s="8" t="str">
        <f ca="1">INDIRECT(HU$61&amp;ID58)</f>
        <v>L</v>
      </c>
      <c r="IB58" s="8"/>
      <c r="IC58" s="8"/>
      <c r="ID58" s="8">
        <f ca="1">IF(ISBLANK(INDIRECT(HU$61&amp;ID57-1)), LOOKUP(2,1 / (ID$2:(INDIRECT(HU$61&amp;ID57-2)) &lt;&gt; ""),ROW(ID$2:(INDIRECT(HU$61&amp;ID57-2)))),LOOKUP(2,1 / (ID$2:(INDIRECT(HU$61&amp;ID57-1)) &lt;&gt; ""),ROW(ID$2:(INDIRECT(HU$61&amp;ID57-1)))))</f>
        <v>44</v>
      </c>
      <c r="IE58" s="8"/>
      <c r="IF58" s="8"/>
    </row>
    <row r="59" spans="1:240" hidden="1" x14ac:dyDescent="0.25">
      <c r="A59" s="90"/>
      <c r="B59" s="66"/>
      <c r="C59" s="66"/>
      <c r="D59" s="90" t="s">
        <v>0</v>
      </c>
      <c r="E59" s="110" t="str">
        <f ca="1">INDIRECT(D61&amp;J59)</f>
        <v>H</v>
      </c>
      <c r="F59" s="66"/>
      <c r="G59" s="66"/>
      <c r="H59" s="66"/>
      <c r="I59" s="66"/>
      <c r="J59" s="66">
        <f ca="1">IF(ISBLANK(INDIRECT(B$61&amp;J54+1)), LOOKUP(2,1 / (E$2:(INDIRECT(B$61&amp;J54+2)) &lt;&gt; ""),ROW(E$2:(INDIRECT(B$61&amp;J54+2)))),LOOKUP(2,1 / (E$2:(INDIRECT(B$61&amp;J54+1)) &lt;&gt; ""),ROW(E$2:(INDIRECT(B$61&amp;J54+1)))))</f>
        <v>49</v>
      </c>
      <c r="K59" s="66"/>
      <c r="L59" s="66"/>
      <c r="M59" s="109"/>
      <c r="N59" s="62"/>
      <c r="O59" s="65"/>
      <c r="P59" s="87" t="s">
        <v>0</v>
      </c>
      <c r="Q59" s="62" t="str">
        <f ca="1">INDIRECT(P61&amp;V59)</f>
        <v>A</v>
      </c>
      <c r="R59" s="62"/>
      <c r="S59" s="62"/>
      <c r="T59" s="62"/>
      <c r="U59" s="62"/>
      <c r="V59" s="62">
        <f ca="1">IF(ISBLANK(INDIRECT(N$61&amp;V54+1)), LOOKUP(2,1 / (Q$2:(INDIRECT(N$61&amp;V54+2)) &lt;&gt; ""),ROW(Q$2:(INDIRECT(N$61&amp;V54+2)))),LOOKUP(2,1 / (Q$2:(INDIRECT(N$61&amp;V54+1)) &lt;&gt; ""),ROW(Q$2:(INDIRECT(N$61&amp;V54+1)))))</f>
        <v>49</v>
      </c>
      <c r="W59" s="62"/>
      <c r="X59" s="62"/>
      <c r="Y59" s="86"/>
      <c r="Z59" s="59"/>
      <c r="AA59" s="59"/>
      <c r="AB59" s="108" t="s">
        <v>0</v>
      </c>
      <c r="AC59" s="59" t="str">
        <f ca="1">INDIRECT(AB61&amp;AH59)</f>
        <v>A</v>
      </c>
      <c r="AD59" s="59"/>
      <c r="AE59" s="59"/>
      <c r="AF59" s="59"/>
      <c r="AG59" s="59"/>
      <c r="AH59" s="59">
        <f ca="1">IF(ISBLANK(INDIRECT(Z$61&amp;AH54+1)), LOOKUP(2,1 / (AC$2:(INDIRECT(Z$61&amp;AH54+2)) &lt;&gt; ""),ROW(AC$2:(INDIRECT(Z$61&amp;AH54+2)))),LOOKUP(2,1 / (AC$2:(INDIRECT(Z$61&amp;AH54+1)) &lt;&gt; ""),ROW(AC$2:(INDIRECT(Z$61&amp;AH54+1)))))</f>
        <v>49</v>
      </c>
      <c r="AI59" s="59"/>
      <c r="AJ59" s="59"/>
      <c r="AK59" s="107"/>
      <c r="AL59" s="56"/>
      <c r="AM59" s="56"/>
      <c r="AN59" s="85" t="s">
        <v>0</v>
      </c>
      <c r="AO59" s="56" t="str">
        <f ca="1">INDIRECT(AN61&amp;AT59)</f>
        <v>H</v>
      </c>
      <c r="AP59" s="56"/>
      <c r="AQ59" s="56"/>
      <c r="AR59" s="56"/>
      <c r="AS59" s="56"/>
      <c r="AT59" s="56">
        <f ca="1">IF(ISBLANK(INDIRECT(AL$61&amp;AT54+1)), LOOKUP(2,1 / (AO$2:(INDIRECT(AL$61&amp;AT54+2)) &lt;&gt; ""),ROW(AO$2:(INDIRECT(AL$61&amp;AT54+2)))),LOOKUP(2,1 / (AO$2:(INDIRECT(AL$61&amp;AT54+1)) &lt;&gt; ""),ROW(AO$2:(INDIRECT(AL$61&amp;AT54+1)))))</f>
        <v>49</v>
      </c>
      <c r="AU59" s="56"/>
      <c r="AV59" s="56"/>
      <c r="AW59" s="84"/>
      <c r="AX59" s="53"/>
      <c r="AY59" s="53"/>
      <c r="AZ59" s="106" t="s">
        <v>0</v>
      </c>
      <c r="BA59" s="53" t="str">
        <f ca="1">INDIRECT(AZ61&amp;BF59)</f>
        <v>H</v>
      </c>
      <c r="BB59" s="53"/>
      <c r="BC59" s="53"/>
      <c r="BD59" s="53"/>
      <c r="BE59" s="53"/>
      <c r="BF59" s="53">
        <f ca="1">IF(ISBLANK(INDIRECT(AX$61&amp;BF54+1)), LOOKUP(2,1 / (BA$2:(INDIRECT(AX$61&amp;BF54+2)) &lt;&gt; ""),ROW(BA$2:(INDIRECT(AX$61&amp;BF54+2)))),LOOKUP(2,1 / (BA$2:(INDIRECT(AX$61&amp;BF54+1)) &lt;&gt; ""),ROW(BA$2:(INDIRECT(AX$61&amp;BF54+1)))))</f>
        <v>49</v>
      </c>
      <c r="BG59" s="53"/>
      <c r="BH59" s="53"/>
      <c r="BI59" s="105"/>
      <c r="BJ59" s="50"/>
      <c r="BK59" s="50"/>
      <c r="BL59" s="83" t="s">
        <v>0</v>
      </c>
      <c r="BM59" s="50" t="str">
        <f ca="1">INDIRECT(BL61&amp;BR59)</f>
        <v>H</v>
      </c>
      <c r="BN59" s="50"/>
      <c r="BO59" s="50"/>
      <c r="BP59" s="50"/>
      <c r="BQ59" s="50"/>
      <c r="BR59" s="50">
        <f ca="1">IF(ISBLANK(INDIRECT(BJ$61&amp;BR54+1)), LOOKUP(2,1 / (BM$2:(INDIRECT(BJ$61&amp;BR54+2)) &lt;&gt; ""),ROW(BM$2:(INDIRECT(BJ$61&amp;BR54+2)))),LOOKUP(2,1 / (BM$2:(INDIRECT(BJ$61&amp;BR54+1)) &lt;&gt; ""),ROW(BM$2:(INDIRECT(BJ$61&amp;BR54+1)))))</f>
        <v>49</v>
      </c>
      <c r="BS59" s="50"/>
      <c r="BT59" s="50"/>
      <c r="BU59" s="104"/>
      <c r="BV59" s="47"/>
      <c r="BW59" s="47"/>
      <c r="BX59" s="82" t="s">
        <v>0</v>
      </c>
      <c r="BY59" s="47" t="str">
        <f ca="1">INDIRECT(BX61&amp;CD59)</f>
        <v>H</v>
      </c>
      <c r="BZ59" s="47"/>
      <c r="CA59" s="47"/>
      <c r="CB59" s="47"/>
      <c r="CC59" s="47"/>
      <c r="CD59" s="47">
        <f ca="1">IF(ISBLANK(INDIRECT(BV$61&amp;CD54+1)), LOOKUP(2,1 / (BY$2:(INDIRECT(BV$61&amp;CD54+2)) &lt;&gt; ""),ROW(BY$2:(INDIRECT(BV$61&amp;CD54+2)))),LOOKUP(2,1 / (BY$2:(INDIRECT(BV$61&amp;CD54+1)) &lt;&gt; ""),ROW(BY$2:(INDIRECT(BV$61&amp;CD54+1)))))</f>
        <v>49</v>
      </c>
      <c r="CE59" s="47"/>
      <c r="CF59" s="47"/>
      <c r="CG59" s="103"/>
      <c r="CH59" s="44"/>
      <c r="CI59" s="44"/>
      <c r="CJ59" s="81" t="s">
        <v>0</v>
      </c>
      <c r="CK59" s="44" t="str">
        <f ca="1">INDIRECT(CJ61&amp;CP59)</f>
        <v>H</v>
      </c>
      <c r="CL59" s="44"/>
      <c r="CM59" s="44"/>
      <c r="CN59" s="44"/>
      <c r="CO59" s="44"/>
      <c r="CP59" s="44">
        <f ca="1">IF(ISBLANK(INDIRECT(CH$61&amp;CP54+1)), LOOKUP(2,1 / (CK$2:(INDIRECT(CH$61&amp;CP54+2)) &lt;&gt; ""),ROW(CK$2:(INDIRECT(CH$61&amp;CP54+2)))),LOOKUP(2,1 / (CK$2:(INDIRECT(CH$61&amp;CP54+1)) &lt;&gt; ""),ROW(CK$2:(INDIRECT(CH$61&amp;CP54+1)))))</f>
        <v>49</v>
      </c>
      <c r="CQ59" s="44"/>
      <c r="CR59" s="44"/>
      <c r="CS59" s="80"/>
      <c r="CT59" s="41"/>
      <c r="CU59" s="41"/>
      <c r="CV59" s="102" t="s">
        <v>0</v>
      </c>
      <c r="CW59" s="41" t="str">
        <f ca="1">INDIRECT(CV61&amp;DB59)</f>
        <v>A</v>
      </c>
      <c r="CX59" s="41"/>
      <c r="CY59" s="41"/>
      <c r="CZ59" s="41"/>
      <c r="DA59" s="41"/>
      <c r="DB59" s="41">
        <f ca="1">IF(ISBLANK(INDIRECT(CT$61&amp;DB54+1)), LOOKUP(2,1 / (CW$2:(INDIRECT(CT$61&amp;DB54+2)) &lt;&gt; ""),ROW(CW$2:(INDIRECT(CT$61&amp;DB54+2)))),LOOKUP(2,1 / (CW$2:(INDIRECT(CT$61&amp;DB54+1)) &lt;&gt; ""),ROW(CW$2:(INDIRECT(CT$61&amp;DB54+1)))))</f>
        <v>49</v>
      </c>
      <c r="DC59" s="41"/>
      <c r="DD59" s="41"/>
      <c r="DE59" s="101"/>
      <c r="DF59" s="38"/>
      <c r="DG59" s="38"/>
      <c r="DH59" s="79" t="s">
        <v>0</v>
      </c>
      <c r="DI59" s="38" t="str">
        <f ca="1">INDIRECT(DH61&amp;DN59)</f>
        <v>A</v>
      </c>
      <c r="DJ59" s="38"/>
      <c r="DK59" s="38"/>
      <c r="DL59" s="38"/>
      <c r="DM59" s="38"/>
      <c r="DN59" s="38">
        <f ca="1">IF(ISBLANK(INDIRECT(DF$61&amp;DN54+1)), LOOKUP(2,1 / (DI$2:(INDIRECT(DF$61&amp;DN54+2)) &lt;&gt; ""),ROW(DI$2:(INDIRECT(DF$61&amp;DN54+2)))),LOOKUP(2,1 / (DI$2:(INDIRECT(DF$61&amp;DN54+1)) &lt;&gt; ""),ROW(DI$2:(INDIRECT(DF$61&amp;DN54+1)))))</f>
        <v>49</v>
      </c>
      <c r="DO59" s="38"/>
      <c r="DP59" s="38"/>
      <c r="DQ59" s="100"/>
      <c r="DR59" s="35"/>
      <c r="DS59" s="35"/>
      <c r="DT59" s="78" t="s">
        <v>0</v>
      </c>
      <c r="DU59" s="35" t="str">
        <f ca="1">INDIRECT(DT61&amp;DZ59)</f>
        <v>H</v>
      </c>
      <c r="DV59" s="35"/>
      <c r="DW59" s="35"/>
      <c r="DX59" s="35"/>
      <c r="DY59" s="35"/>
      <c r="DZ59" s="35">
        <f ca="1">IF(ISBLANK(INDIRECT(DR$61&amp;DZ54+1)), LOOKUP(2,1 / (DU$2:(INDIRECT(DR$61&amp;DZ54+2)) &lt;&gt; ""),ROW(DU$2:(INDIRECT(DR$61&amp;DZ54+2)))),LOOKUP(2,1 / (DU$2:(INDIRECT(DR$61&amp;DZ54+1)) &lt;&gt; ""),ROW(DU$2:(INDIRECT(DR$61&amp;DZ54+1)))))</f>
        <v>49</v>
      </c>
      <c r="EA59" s="35"/>
      <c r="EB59" s="35"/>
      <c r="EC59" s="77"/>
      <c r="ED59" s="32"/>
      <c r="EE59" s="32"/>
      <c r="EF59" s="99" t="s">
        <v>0</v>
      </c>
      <c r="EG59" s="32" t="str">
        <f ca="1">INDIRECT(EF61&amp;EL59)</f>
        <v>H</v>
      </c>
      <c r="EH59" s="32"/>
      <c r="EI59" s="32"/>
      <c r="EJ59" s="32"/>
      <c r="EK59" s="32"/>
      <c r="EL59" s="32">
        <f ca="1">IF(ISBLANK(INDIRECT(ED$61&amp;EL54+1)), LOOKUP(2,1 / (EG$2:(INDIRECT(ED$61&amp;EL54+2)) &lt;&gt; ""),ROW(EG$2:(INDIRECT(ED$61&amp;EL54+2)))),LOOKUP(2,1 / (EG$2:(INDIRECT(ED$61&amp;EL54+1)) &lt;&gt; ""),ROW(EG$2:(INDIRECT(ED$61&amp;EL54+1)))))</f>
        <v>49</v>
      </c>
      <c r="EM59" s="32"/>
      <c r="EN59" s="32"/>
      <c r="EO59" s="76"/>
      <c r="EP59" s="29"/>
      <c r="EQ59" s="29"/>
      <c r="ER59" s="98" t="s">
        <v>0</v>
      </c>
      <c r="ES59" s="29" t="str">
        <f ca="1">INDIRECT(ER61&amp;EX59)</f>
        <v>H</v>
      </c>
      <c r="ET59" s="29"/>
      <c r="EU59" s="29"/>
      <c r="EV59" s="29"/>
      <c r="EW59" s="29"/>
      <c r="EX59" s="29">
        <f ca="1">IF(ISBLANK(INDIRECT(EP$61&amp;EX54+1)), LOOKUP(2,1 / (ES$2:(INDIRECT(EP$61&amp;EX54+2)) &lt;&gt; ""),ROW(ES$2:(INDIRECT(EP$61&amp;EX54+2)))),LOOKUP(2,1 / (ES$2:(INDIRECT(EP$61&amp;EX54+1)) &lt;&gt; ""),ROW(ES$2:(INDIRECT(EP$61&amp;EX54+1)))))</f>
        <v>49</v>
      </c>
      <c r="EY59" s="29"/>
      <c r="EZ59" s="29"/>
      <c r="FA59" s="97"/>
      <c r="FB59" s="26"/>
      <c r="FC59" s="26"/>
      <c r="FD59" s="75" t="s">
        <v>0</v>
      </c>
      <c r="FE59" s="26" t="str">
        <f ca="1">INDIRECT(FD61&amp;FJ59)</f>
        <v>A</v>
      </c>
      <c r="FF59" s="26"/>
      <c r="FG59" s="26"/>
      <c r="FH59" s="26"/>
      <c r="FI59" s="26"/>
      <c r="FJ59" s="26">
        <f ca="1">IF(ISBLANK(INDIRECT(FB$61&amp;FJ54+1)), LOOKUP(2,1 / (FE$2:(INDIRECT(FB$61&amp;FJ54+2)) &lt;&gt; ""),ROW(FE$2:(INDIRECT(FB$61&amp;FJ54+2)))),LOOKUP(2,1 / (FE$2:(INDIRECT(FB$61&amp;FJ54+1)) &lt;&gt; ""),ROW(FE$2:(INDIRECT(FB$61&amp;FJ54+1)))))</f>
        <v>49</v>
      </c>
      <c r="FK59" s="26"/>
      <c r="FL59" s="26"/>
      <c r="FM59" s="74"/>
      <c r="FN59" s="23"/>
      <c r="FO59" s="23"/>
      <c r="FP59" s="96" t="s">
        <v>0</v>
      </c>
      <c r="FQ59" s="23" t="str">
        <f ca="1">INDIRECT(FP61&amp;FV59)</f>
        <v>A</v>
      </c>
      <c r="FR59" s="23"/>
      <c r="FS59" s="23"/>
      <c r="FT59" s="23"/>
      <c r="FU59" s="23"/>
      <c r="FV59" s="23">
        <f ca="1">IF(ISBLANK(INDIRECT(FN$61&amp;FV54+1)), LOOKUP(2,1 / (FQ$2:(INDIRECT(FN$61&amp;FV54+2)) &lt;&gt; ""),ROW(FQ$2:(INDIRECT(FN$61&amp;FV54+2)))),LOOKUP(2,1 / (FQ$2:(INDIRECT(FN$61&amp;FV54+1)) &lt;&gt; ""),ROW(FQ$2:(INDIRECT(FN$61&amp;FV54+1)))))</f>
        <v>49</v>
      </c>
      <c r="FW59" s="23"/>
      <c r="FX59" s="23"/>
      <c r="FY59" s="73"/>
      <c r="FZ59" s="20"/>
      <c r="GA59" s="20"/>
      <c r="GB59" s="95" t="s">
        <v>0</v>
      </c>
      <c r="GC59" s="20" t="str">
        <f ca="1">INDIRECT(GB61&amp;GH59)</f>
        <v>A</v>
      </c>
      <c r="GD59" s="20"/>
      <c r="GE59" s="20"/>
      <c r="GF59" s="20"/>
      <c r="GG59" s="20"/>
      <c r="GH59" s="20">
        <f ca="1">IF(ISBLANK(INDIRECT(FZ$61&amp;GH54+1)), LOOKUP(2,1 / (GC$2:(INDIRECT(FZ$61&amp;GH54+2)) &lt;&gt; ""),ROW(GC$2:(INDIRECT(FZ$61&amp;GH54+2)))),LOOKUP(2,1 / (GC$2:(INDIRECT(FZ$61&amp;GH54+1)) &lt;&gt; ""),ROW(GC$2:(INDIRECT(FZ$61&amp;GH54+1)))))</f>
        <v>49</v>
      </c>
      <c r="GI59" s="20"/>
      <c r="GJ59" s="20"/>
      <c r="GK59" s="94"/>
      <c r="GL59" s="17"/>
      <c r="GM59" s="17"/>
      <c r="GN59" s="72" t="s">
        <v>0</v>
      </c>
      <c r="GO59" s="17" t="str">
        <f ca="1">INDIRECT(GN61&amp;GT59)</f>
        <v>H</v>
      </c>
      <c r="GP59" s="17"/>
      <c r="GQ59" s="17"/>
      <c r="GR59" s="17"/>
      <c r="GS59" s="17"/>
      <c r="GT59" s="17">
        <f ca="1">IF(ISBLANK(INDIRECT(GL$61&amp;GT54+1)), LOOKUP(2,1 / (GO$2:(INDIRECT(GL$61&amp;GT54+2)) &lt;&gt; ""),ROW(GO$2:(INDIRECT(GL$61&amp;GT54+2)))),LOOKUP(2,1 / (GO$2:(INDIRECT(GL$61&amp;GT54+1)) &lt;&gt; ""),ROW(GO$2:(INDIRECT(GL$61&amp;GT54+1)))))</f>
        <v>49</v>
      </c>
      <c r="GU59" s="17"/>
      <c r="GV59" s="17"/>
      <c r="GW59" s="71"/>
      <c r="GX59" s="14"/>
      <c r="GY59" s="14"/>
      <c r="GZ59" s="93" t="s">
        <v>0</v>
      </c>
      <c r="HA59" s="14" t="str">
        <f ca="1">INDIRECT(GZ61&amp;HF59)</f>
        <v>A</v>
      </c>
      <c r="HB59" s="14"/>
      <c r="HC59" s="14"/>
      <c r="HD59" s="14"/>
      <c r="HE59" s="14"/>
      <c r="HF59" s="14">
        <f ca="1">IF(ISBLANK(INDIRECT(GX$61&amp;HF54+1)), LOOKUP(2,1 / (HA$2:(INDIRECT(GX$61&amp;HF54+2)) &lt;&gt; ""),ROW(HA$2:(INDIRECT(GX$61&amp;HF54+2)))),LOOKUP(2,1 / (HA$2:(INDIRECT(GX$61&amp;HF54+1)) &lt;&gt; ""),ROW(HA$2:(INDIRECT(GX$61&amp;HF54+1)))))</f>
        <v>49</v>
      </c>
      <c r="HG59" s="14"/>
      <c r="HH59" s="14"/>
      <c r="HI59" s="70"/>
      <c r="HJ59" s="11"/>
      <c r="HK59" s="11"/>
      <c r="HL59" s="92" t="s">
        <v>0</v>
      </c>
      <c r="HM59" s="11" t="str">
        <f ca="1">INDIRECT(HL61&amp;HR59)</f>
        <v>A</v>
      </c>
      <c r="HN59" s="11"/>
      <c r="HO59" s="11"/>
      <c r="HP59" s="11"/>
      <c r="HQ59" s="11"/>
      <c r="HR59" s="11">
        <f ca="1">IF(ISBLANK(INDIRECT(HJ$61&amp;HR54+1)), LOOKUP(2,1 / (HM$2:(INDIRECT(HJ$61&amp;HR54+2)) &lt;&gt; ""),ROW(HM$2:(INDIRECT(HJ$61&amp;HR54+2)))),LOOKUP(2,1 / (HM$2:(INDIRECT(HJ$61&amp;HR54+1)) &lt;&gt; ""),ROW(HM$2:(INDIRECT(HJ$61&amp;HR54+1)))))</f>
        <v>49</v>
      </c>
      <c r="HS59" s="11"/>
      <c r="HT59" s="11"/>
      <c r="HU59" s="69"/>
      <c r="HV59" s="8"/>
      <c r="HW59" s="8"/>
      <c r="HX59" s="91" t="s">
        <v>0</v>
      </c>
      <c r="HY59" s="8" t="str">
        <f ca="1">INDIRECT(HX61&amp;ID59)</f>
        <v>A</v>
      </c>
      <c r="HZ59" s="8"/>
      <c r="IA59" s="8"/>
      <c r="IB59" s="8"/>
      <c r="IC59" s="8"/>
      <c r="ID59" s="8">
        <f ca="1">IF(ISBLANK(INDIRECT(HV$61&amp;ID54+1)), LOOKUP(2,1 / (HY$2:(INDIRECT(HV$61&amp;ID54+2)) &lt;&gt; ""),ROW(HY$2:(INDIRECT(HV$61&amp;ID54+2)))),LOOKUP(2,1 / (HY$2:(INDIRECT(HV$61&amp;ID54+1)) &lt;&gt; ""),ROW(HY$2:(INDIRECT(HV$61&amp;ID54+1)))))</f>
        <v>49</v>
      </c>
      <c r="IE59" s="8"/>
      <c r="IF59" s="8"/>
    </row>
    <row r="60" spans="1:240" hidden="1" x14ac:dyDescent="0.25">
      <c r="A60" s="90"/>
      <c r="B60" s="66"/>
      <c r="C60" s="66"/>
      <c r="D60" s="89"/>
      <c r="E60" s="88"/>
      <c r="F60" s="66"/>
      <c r="G60" s="66"/>
      <c r="H60" s="66"/>
      <c r="I60" s="66"/>
      <c r="J60" s="66"/>
      <c r="K60" s="66"/>
      <c r="L60" s="66"/>
      <c r="M60" s="87"/>
      <c r="N60" s="62"/>
      <c r="O60" s="65"/>
      <c r="P60" s="64"/>
      <c r="Q60" s="62"/>
      <c r="R60" s="62"/>
      <c r="S60" s="62"/>
      <c r="T60" s="62"/>
      <c r="U60" s="62"/>
      <c r="V60" s="62"/>
      <c r="W60" s="62"/>
      <c r="X60" s="62"/>
      <c r="Y60" s="86"/>
      <c r="Z60" s="59"/>
      <c r="AA60" s="59"/>
      <c r="AB60" s="61"/>
      <c r="AC60" s="59"/>
      <c r="AD60" s="59"/>
      <c r="AE60" s="59"/>
      <c r="AF60" s="59"/>
      <c r="AG60" s="59"/>
      <c r="AH60" s="59"/>
      <c r="AI60" s="59"/>
      <c r="AJ60" s="59"/>
      <c r="AK60" s="85"/>
      <c r="AL60" s="56"/>
      <c r="AM60" s="56"/>
      <c r="AN60" s="58"/>
      <c r="AO60" s="56"/>
      <c r="AP60" s="56"/>
      <c r="AQ60" s="56"/>
      <c r="AR60" s="56"/>
      <c r="AS60" s="56"/>
      <c r="AT60" s="56"/>
      <c r="AU60" s="56"/>
      <c r="AV60" s="56"/>
      <c r="AW60" s="84"/>
      <c r="AX60" s="53"/>
      <c r="AY60" s="53"/>
      <c r="AZ60" s="55"/>
      <c r="BA60" s="53"/>
      <c r="BB60" s="53"/>
      <c r="BC60" s="53"/>
      <c r="BD60" s="53"/>
      <c r="BE60" s="53"/>
      <c r="BF60" s="53"/>
      <c r="BG60" s="53"/>
      <c r="BH60" s="53"/>
      <c r="BI60" s="83"/>
      <c r="BJ60" s="50"/>
      <c r="BK60" s="50"/>
      <c r="BL60" s="52"/>
      <c r="BM60" s="50"/>
      <c r="BN60" s="50"/>
      <c r="BO60" s="50"/>
      <c r="BP60" s="50"/>
      <c r="BQ60" s="50"/>
      <c r="BR60" s="50"/>
      <c r="BS60" s="50"/>
      <c r="BT60" s="50"/>
      <c r="BU60" s="82"/>
      <c r="BV60" s="47"/>
      <c r="BW60" s="47"/>
      <c r="BX60" s="49"/>
      <c r="BY60" s="47"/>
      <c r="BZ60" s="47"/>
      <c r="CA60" s="47"/>
      <c r="CB60" s="47"/>
      <c r="CC60" s="47"/>
      <c r="CD60" s="47"/>
      <c r="CE60" s="47"/>
      <c r="CF60" s="47"/>
      <c r="CG60" s="81"/>
      <c r="CH60" s="44"/>
      <c r="CI60" s="44"/>
      <c r="CJ60" s="46"/>
      <c r="CK60" s="44"/>
      <c r="CL60" s="44"/>
      <c r="CM60" s="44"/>
      <c r="CN60" s="44"/>
      <c r="CO60" s="44"/>
      <c r="CP60" s="44"/>
      <c r="CQ60" s="44"/>
      <c r="CR60" s="44"/>
      <c r="CS60" s="80"/>
      <c r="CT60" s="41"/>
      <c r="CU60" s="41"/>
      <c r="CV60" s="43"/>
      <c r="CW60" s="41"/>
      <c r="CX60" s="41"/>
      <c r="CY60" s="41"/>
      <c r="CZ60" s="41"/>
      <c r="DA60" s="41"/>
      <c r="DB60" s="41"/>
      <c r="DC60" s="41"/>
      <c r="DD60" s="41"/>
      <c r="DE60" s="79"/>
      <c r="DF60" s="38"/>
      <c r="DG60" s="38"/>
      <c r="DH60" s="40"/>
      <c r="DI60" s="38"/>
      <c r="DJ60" s="38"/>
      <c r="DK60" s="38"/>
      <c r="DL60" s="38"/>
      <c r="DM60" s="38"/>
      <c r="DN60" s="38"/>
      <c r="DO60" s="38"/>
      <c r="DP60" s="38"/>
      <c r="DQ60" s="78"/>
      <c r="DR60" s="35"/>
      <c r="DS60" s="35"/>
      <c r="DT60" s="37"/>
      <c r="DU60" s="35"/>
      <c r="DV60" s="35"/>
      <c r="DW60" s="35"/>
      <c r="DX60" s="35"/>
      <c r="DY60" s="35"/>
      <c r="DZ60" s="35"/>
      <c r="EA60" s="35"/>
      <c r="EB60" s="35"/>
      <c r="EC60" s="77"/>
      <c r="ED60" s="32"/>
      <c r="EE60" s="32"/>
      <c r="EF60" s="34"/>
      <c r="EG60" s="32"/>
      <c r="EH60" s="32"/>
      <c r="EI60" s="32"/>
      <c r="EJ60" s="32"/>
      <c r="EK60" s="32"/>
      <c r="EL60" s="32"/>
      <c r="EM60" s="32"/>
      <c r="EN60" s="32"/>
      <c r="EO60" s="76"/>
      <c r="EP60" s="29"/>
      <c r="EQ60" s="29"/>
      <c r="ER60" s="31"/>
      <c r="ES60" s="29"/>
      <c r="ET60" s="29"/>
      <c r="EU60" s="29"/>
      <c r="EV60" s="29"/>
      <c r="EW60" s="29"/>
      <c r="EX60" s="29"/>
      <c r="EY60" s="29"/>
      <c r="EZ60" s="29"/>
      <c r="FA60" s="75"/>
      <c r="FB60" s="26"/>
      <c r="FC60" s="26"/>
      <c r="FD60" s="28"/>
      <c r="FE60" s="26"/>
      <c r="FF60" s="26"/>
      <c r="FG60" s="26"/>
      <c r="FH60" s="26"/>
      <c r="FI60" s="26"/>
      <c r="FJ60" s="26"/>
      <c r="FK60" s="26"/>
      <c r="FL60" s="26"/>
      <c r="FM60" s="74"/>
      <c r="FN60" s="23"/>
      <c r="FO60" s="23"/>
      <c r="FP60" s="25"/>
      <c r="FQ60" s="23"/>
      <c r="FR60" s="23"/>
      <c r="FS60" s="23"/>
      <c r="FT60" s="23"/>
      <c r="FU60" s="23"/>
      <c r="FV60" s="23"/>
      <c r="FW60" s="23"/>
      <c r="FX60" s="23"/>
      <c r="FY60" s="73"/>
      <c r="FZ60" s="20"/>
      <c r="GA60" s="20"/>
      <c r="GB60" s="22"/>
      <c r="GC60" s="20"/>
      <c r="GD60" s="20"/>
      <c r="GE60" s="20"/>
      <c r="GF60" s="20"/>
      <c r="GG60" s="20"/>
      <c r="GH60" s="20"/>
      <c r="GI60" s="20"/>
      <c r="GJ60" s="20"/>
      <c r="GK60" s="72"/>
      <c r="GL60" s="17"/>
      <c r="GM60" s="17"/>
      <c r="GN60" s="19"/>
      <c r="GO60" s="17"/>
      <c r="GP60" s="17"/>
      <c r="GQ60" s="17"/>
      <c r="GR60" s="17"/>
      <c r="GS60" s="17"/>
      <c r="GT60" s="17"/>
      <c r="GU60" s="17"/>
      <c r="GV60" s="17"/>
      <c r="GW60" s="71"/>
      <c r="GX60" s="14"/>
      <c r="GY60" s="14"/>
      <c r="GZ60" s="16"/>
      <c r="HA60" s="14"/>
      <c r="HB60" s="14"/>
      <c r="HC60" s="14"/>
      <c r="HD60" s="14"/>
      <c r="HE60" s="14"/>
      <c r="HF60" s="14"/>
      <c r="HG60" s="14"/>
      <c r="HH60" s="14"/>
      <c r="HI60" s="70"/>
      <c r="HJ60" s="11"/>
      <c r="HK60" s="11"/>
      <c r="HL60" s="13"/>
      <c r="HM60" s="11"/>
      <c r="HN60" s="11"/>
      <c r="HO60" s="11"/>
      <c r="HP60" s="11"/>
      <c r="HQ60" s="11"/>
      <c r="HR60" s="11"/>
      <c r="HS60" s="11"/>
      <c r="HT60" s="11"/>
      <c r="HU60" s="69"/>
      <c r="HV60" s="8"/>
      <c r="HW60" s="8"/>
      <c r="HX60" s="10"/>
      <c r="HY60" s="8"/>
      <c r="HZ60" s="8"/>
      <c r="IA60" s="8"/>
      <c r="IB60" s="8"/>
      <c r="IC60" s="8"/>
      <c r="ID60" s="8"/>
      <c r="IE60" s="8"/>
      <c r="IF60" s="8"/>
    </row>
    <row r="61" spans="1:240" hidden="1" x14ac:dyDescent="0.25">
      <c r="A61" s="68" t="str">
        <f>SUBSTITUTE(ADDRESS(1,COLUMN(J2),4),"1","")</f>
        <v>J</v>
      </c>
      <c r="B61" s="68" t="str">
        <f>SUBSTITUTE(ADDRESS(1,COLUMN(E2),4),"1","")</f>
        <v>E</v>
      </c>
      <c r="C61" s="66"/>
      <c r="D61" s="68" t="str">
        <f>SUBSTITUTE(ADDRESS(1,COLUMN(F2),4),"1","")</f>
        <v>F</v>
      </c>
      <c r="E61" s="66"/>
      <c r="F61" s="66"/>
      <c r="G61" s="66"/>
      <c r="H61" s="66"/>
      <c r="I61" s="66"/>
      <c r="J61" s="66"/>
      <c r="K61" s="66"/>
      <c r="L61" s="66"/>
      <c r="M61" s="64" t="str">
        <f>SUBSTITUTE(ADDRESS(1,COLUMN(V2),4),"1","")</f>
        <v>V</v>
      </c>
      <c r="N61" s="64" t="str">
        <f>SUBSTITUTE(ADDRESS(1,COLUMN(Q2),4),"1","")</f>
        <v>Q</v>
      </c>
      <c r="O61" s="62"/>
      <c r="P61" s="64" t="str">
        <f>SUBSTITUTE(ADDRESS(1,COLUMN(R2),4),"1","")</f>
        <v>R</v>
      </c>
      <c r="Q61" s="62"/>
      <c r="R61" s="62"/>
      <c r="S61" s="62"/>
      <c r="T61" s="62"/>
      <c r="U61" s="62"/>
      <c r="V61" s="62"/>
      <c r="W61" s="62"/>
      <c r="X61" s="62"/>
      <c r="Y61" s="61" t="str">
        <f>SUBSTITUTE(ADDRESS(1,COLUMN(AH2),4),"1","")</f>
        <v>AH</v>
      </c>
      <c r="Z61" s="61" t="str">
        <f>SUBSTITUTE(ADDRESS(1,COLUMN(AC2),4),"1","")</f>
        <v>AC</v>
      </c>
      <c r="AA61" s="59"/>
      <c r="AB61" s="61" t="str">
        <f>SUBSTITUTE(ADDRESS(1,COLUMN(AD2),4),"1","")</f>
        <v>AD</v>
      </c>
      <c r="AC61" s="59"/>
      <c r="AD61" s="59"/>
      <c r="AE61" s="59"/>
      <c r="AF61" s="59"/>
      <c r="AG61" s="59"/>
      <c r="AH61" s="59"/>
      <c r="AI61" s="59"/>
      <c r="AJ61" s="59"/>
      <c r="AK61" s="58" t="str">
        <f>SUBSTITUTE(ADDRESS(1,COLUMN(AT2),4),"1","")</f>
        <v>AT</v>
      </c>
      <c r="AL61" s="58" t="str">
        <f>SUBSTITUTE(ADDRESS(1,COLUMN(AO2),4),"1","")</f>
        <v>AO</v>
      </c>
      <c r="AM61" s="56"/>
      <c r="AN61" s="58" t="str">
        <f>SUBSTITUTE(ADDRESS(1,COLUMN(AP2),4),"1","")</f>
        <v>AP</v>
      </c>
      <c r="AO61" s="56"/>
      <c r="AP61" s="56"/>
      <c r="AQ61" s="56"/>
      <c r="AR61" s="56"/>
      <c r="AS61" s="56"/>
      <c r="AT61" s="56"/>
      <c r="AU61" s="56"/>
      <c r="AV61" s="56"/>
      <c r="AW61" s="55" t="str">
        <f>SUBSTITUTE(ADDRESS(1,COLUMN(BF2),4),"1","")</f>
        <v>BF</v>
      </c>
      <c r="AX61" s="55" t="str">
        <f>SUBSTITUTE(ADDRESS(1,COLUMN(BA2),4),"1","")</f>
        <v>BA</v>
      </c>
      <c r="AY61" s="53"/>
      <c r="AZ61" s="55" t="str">
        <f>SUBSTITUTE(ADDRESS(1,COLUMN(BB2),4),"1","")</f>
        <v>BB</v>
      </c>
      <c r="BA61" s="53"/>
      <c r="BB61" s="53"/>
      <c r="BC61" s="53"/>
      <c r="BD61" s="53"/>
      <c r="BE61" s="53"/>
      <c r="BF61" s="53"/>
      <c r="BG61" s="53"/>
      <c r="BH61" s="53"/>
      <c r="BI61" s="52" t="str">
        <f>SUBSTITUTE(ADDRESS(1,COLUMN(BR2),4),"1","")</f>
        <v>BR</v>
      </c>
      <c r="BJ61" s="52" t="str">
        <f>SUBSTITUTE(ADDRESS(1,COLUMN(BM2),4),"1","")</f>
        <v>BM</v>
      </c>
      <c r="BK61" s="50"/>
      <c r="BL61" s="52" t="str">
        <f>SUBSTITUTE(ADDRESS(1,COLUMN(BN2),4),"1","")</f>
        <v>BN</v>
      </c>
      <c r="BM61" s="50"/>
      <c r="BN61" s="50"/>
      <c r="BO61" s="50"/>
      <c r="BP61" s="50"/>
      <c r="BQ61" s="50"/>
      <c r="BR61" s="50"/>
      <c r="BS61" s="50"/>
      <c r="BT61" s="50"/>
      <c r="BU61" s="49" t="str">
        <f>SUBSTITUTE(ADDRESS(1,COLUMN(CD2),4),"1","")</f>
        <v>CD</v>
      </c>
      <c r="BV61" s="49" t="str">
        <f>SUBSTITUTE(ADDRESS(1,COLUMN(BY2),4),"1","")</f>
        <v>BY</v>
      </c>
      <c r="BW61" s="47"/>
      <c r="BX61" s="49" t="str">
        <f>SUBSTITUTE(ADDRESS(1,COLUMN(BZ2),4),"1","")</f>
        <v>BZ</v>
      </c>
      <c r="BY61" s="47"/>
      <c r="BZ61" s="47"/>
      <c r="CA61" s="47"/>
      <c r="CB61" s="47"/>
      <c r="CC61" s="47"/>
      <c r="CD61" s="47"/>
      <c r="CE61" s="47"/>
      <c r="CF61" s="47"/>
      <c r="CG61" s="46" t="str">
        <f>SUBSTITUTE(ADDRESS(1,COLUMN(CP2),4),"1","")</f>
        <v>CP</v>
      </c>
      <c r="CH61" s="46" t="str">
        <f>SUBSTITUTE(ADDRESS(1,COLUMN(CK2),4),"1","")</f>
        <v>CK</v>
      </c>
      <c r="CI61" s="44"/>
      <c r="CJ61" s="46" t="str">
        <f>SUBSTITUTE(ADDRESS(1,COLUMN(CL2),4),"1","")</f>
        <v>CL</v>
      </c>
      <c r="CK61" s="44"/>
      <c r="CL61" s="44"/>
      <c r="CM61" s="44"/>
      <c r="CN61" s="44"/>
      <c r="CO61" s="44"/>
      <c r="CP61" s="44"/>
      <c r="CQ61" s="44"/>
      <c r="CR61" s="44"/>
      <c r="CS61" s="43" t="str">
        <f>SUBSTITUTE(ADDRESS(1,COLUMN(DB2),4),"1","")</f>
        <v>DB</v>
      </c>
      <c r="CT61" s="43" t="str">
        <f>SUBSTITUTE(ADDRESS(1,COLUMN(CW2),4),"1","")</f>
        <v>CW</v>
      </c>
      <c r="CU61" s="41"/>
      <c r="CV61" s="43" t="str">
        <f>SUBSTITUTE(ADDRESS(1,COLUMN(CX2),4),"1","")</f>
        <v>CX</v>
      </c>
      <c r="CW61" s="41"/>
      <c r="CX61" s="41"/>
      <c r="CY61" s="41"/>
      <c r="CZ61" s="41"/>
      <c r="DA61" s="41"/>
      <c r="DB61" s="41"/>
      <c r="DC61" s="41"/>
      <c r="DD61" s="41"/>
      <c r="DE61" s="40" t="str">
        <f>SUBSTITUTE(ADDRESS(1,COLUMN(DN2),4),"1","")</f>
        <v>DN</v>
      </c>
      <c r="DF61" s="40" t="str">
        <f>SUBSTITUTE(ADDRESS(1,COLUMN(DI2),4),"1","")</f>
        <v>DI</v>
      </c>
      <c r="DG61" s="38"/>
      <c r="DH61" s="40" t="str">
        <f>SUBSTITUTE(ADDRESS(1,COLUMN(DJ2),4),"1","")</f>
        <v>DJ</v>
      </c>
      <c r="DI61" s="38"/>
      <c r="DJ61" s="38"/>
      <c r="DK61" s="38"/>
      <c r="DL61" s="38"/>
      <c r="DM61" s="38"/>
      <c r="DN61" s="38"/>
      <c r="DO61" s="38"/>
      <c r="DP61" s="38"/>
      <c r="DQ61" s="37" t="str">
        <f>SUBSTITUTE(ADDRESS(1,COLUMN(DZ2),4),"1","")</f>
        <v>DZ</v>
      </c>
      <c r="DR61" s="37" t="str">
        <f>SUBSTITUTE(ADDRESS(1,COLUMN(DU2),4),"1","")</f>
        <v>DU</v>
      </c>
      <c r="DS61" s="35"/>
      <c r="DT61" s="37" t="str">
        <f>SUBSTITUTE(ADDRESS(1,COLUMN(DV2),4),"1","")</f>
        <v>DV</v>
      </c>
      <c r="DU61" s="35"/>
      <c r="DV61" s="35"/>
      <c r="DW61" s="35"/>
      <c r="DX61" s="35"/>
      <c r="DY61" s="35"/>
      <c r="DZ61" s="35"/>
      <c r="EA61" s="35"/>
      <c r="EB61" s="35"/>
      <c r="EC61" s="34" t="str">
        <f>SUBSTITUTE(ADDRESS(1,COLUMN(EL2),4),"1","")</f>
        <v>EL</v>
      </c>
      <c r="ED61" s="34" t="str">
        <f>SUBSTITUTE(ADDRESS(1,COLUMN(EG2),4),"1","")</f>
        <v>EG</v>
      </c>
      <c r="EE61" s="32"/>
      <c r="EF61" s="34" t="str">
        <f>SUBSTITUTE(ADDRESS(1,COLUMN(EH2),4),"1","")</f>
        <v>EH</v>
      </c>
      <c r="EG61" s="32"/>
      <c r="EH61" s="32"/>
      <c r="EI61" s="32"/>
      <c r="EJ61" s="32"/>
      <c r="EK61" s="32"/>
      <c r="EL61" s="32"/>
      <c r="EM61" s="32"/>
      <c r="EN61" s="32"/>
      <c r="EO61" s="31" t="str">
        <f>SUBSTITUTE(ADDRESS(1,COLUMN(EX2),4),"1","")</f>
        <v>EX</v>
      </c>
      <c r="EP61" s="31" t="str">
        <f>SUBSTITUTE(ADDRESS(1,COLUMN(ES2),4),"1","")</f>
        <v>ES</v>
      </c>
      <c r="EQ61" s="29"/>
      <c r="ER61" s="31" t="str">
        <f>SUBSTITUTE(ADDRESS(1,COLUMN(ET2),4),"1","")</f>
        <v>ET</v>
      </c>
      <c r="ES61" s="29"/>
      <c r="ET61" s="29"/>
      <c r="EU61" s="29"/>
      <c r="EV61" s="29"/>
      <c r="EW61" s="29"/>
      <c r="EX61" s="29"/>
      <c r="EY61" s="29"/>
      <c r="EZ61" s="29"/>
      <c r="FA61" s="28" t="str">
        <f>SUBSTITUTE(ADDRESS(1,COLUMN(FJ2),4),"1","")</f>
        <v>FJ</v>
      </c>
      <c r="FB61" s="28" t="str">
        <f>SUBSTITUTE(ADDRESS(1,COLUMN(FE2),4),"1","")</f>
        <v>FE</v>
      </c>
      <c r="FC61" s="26"/>
      <c r="FD61" s="28" t="str">
        <f>SUBSTITUTE(ADDRESS(1,COLUMN(FF2),4),"1","")</f>
        <v>FF</v>
      </c>
      <c r="FE61" s="26"/>
      <c r="FF61" s="26"/>
      <c r="FG61" s="26"/>
      <c r="FH61" s="26"/>
      <c r="FI61" s="26"/>
      <c r="FJ61" s="26"/>
      <c r="FK61" s="26"/>
      <c r="FL61" s="26"/>
      <c r="FM61" s="25" t="str">
        <f>SUBSTITUTE(ADDRESS(1,COLUMN(FV2),4),"1","")</f>
        <v>FV</v>
      </c>
      <c r="FN61" s="25" t="str">
        <f>SUBSTITUTE(ADDRESS(1,COLUMN(FQ2),4),"1","")</f>
        <v>FQ</v>
      </c>
      <c r="FO61" s="23"/>
      <c r="FP61" s="25" t="str">
        <f>SUBSTITUTE(ADDRESS(1,COLUMN(FR2),4),"1","")</f>
        <v>FR</v>
      </c>
      <c r="FQ61" s="23"/>
      <c r="FR61" s="23"/>
      <c r="FS61" s="23"/>
      <c r="FT61" s="23"/>
      <c r="FU61" s="23"/>
      <c r="FV61" s="23"/>
      <c r="FW61" s="23"/>
      <c r="FX61" s="23"/>
      <c r="FY61" s="22" t="str">
        <f>SUBSTITUTE(ADDRESS(1,COLUMN(GH2),4),"1","")</f>
        <v>GH</v>
      </c>
      <c r="FZ61" s="22" t="str">
        <f>SUBSTITUTE(ADDRESS(1,COLUMN(GC2),4),"1","")</f>
        <v>GC</v>
      </c>
      <c r="GA61" s="20"/>
      <c r="GB61" s="22" t="str">
        <f>SUBSTITUTE(ADDRESS(1,COLUMN(GD2),4),"1","")</f>
        <v>GD</v>
      </c>
      <c r="GC61" s="20"/>
      <c r="GD61" s="20"/>
      <c r="GE61" s="20"/>
      <c r="GF61" s="20"/>
      <c r="GG61" s="20"/>
      <c r="GH61" s="20"/>
      <c r="GI61" s="20"/>
      <c r="GJ61" s="20"/>
      <c r="GK61" s="19" t="str">
        <f>SUBSTITUTE(ADDRESS(1,COLUMN(GT2),4),"1","")</f>
        <v>GT</v>
      </c>
      <c r="GL61" s="19" t="str">
        <f>SUBSTITUTE(ADDRESS(1,COLUMN(GO2),4),"1","")</f>
        <v>GO</v>
      </c>
      <c r="GM61" s="17"/>
      <c r="GN61" s="19" t="str">
        <f>SUBSTITUTE(ADDRESS(1,COLUMN(GP2),4),"1","")</f>
        <v>GP</v>
      </c>
      <c r="GO61" s="17"/>
      <c r="GP61" s="17"/>
      <c r="GQ61" s="17"/>
      <c r="GR61" s="17"/>
      <c r="GS61" s="17"/>
      <c r="GT61" s="17"/>
      <c r="GU61" s="17"/>
      <c r="GV61" s="17"/>
      <c r="GW61" s="16" t="str">
        <f>SUBSTITUTE(ADDRESS(1,COLUMN(HF2),4),"1","")</f>
        <v>HF</v>
      </c>
      <c r="GX61" s="16" t="str">
        <f>SUBSTITUTE(ADDRESS(1,COLUMN(HA2),4),"1","")</f>
        <v>HA</v>
      </c>
      <c r="GY61" s="14"/>
      <c r="GZ61" s="16" t="str">
        <f>SUBSTITUTE(ADDRESS(1,COLUMN(HB2),4),"1","")</f>
        <v>HB</v>
      </c>
      <c r="HA61" s="14"/>
      <c r="HB61" s="14"/>
      <c r="HC61" s="14"/>
      <c r="HD61" s="14"/>
      <c r="HE61" s="14"/>
      <c r="HF61" s="14"/>
      <c r="HG61" s="14"/>
      <c r="HH61" s="14"/>
      <c r="HI61" s="13" t="str">
        <f>SUBSTITUTE(ADDRESS(1,COLUMN(HR2),4),"1","")</f>
        <v>HR</v>
      </c>
      <c r="HJ61" s="13" t="str">
        <f>SUBSTITUTE(ADDRESS(1,COLUMN(HM2),4),"1","")</f>
        <v>HM</v>
      </c>
      <c r="HK61" s="11"/>
      <c r="HL61" s="13" t="str">
        <f>SUBSTITUTE(ADDRESS(1,COLUMN(HN2),4),"1","")</f>
        <v>HN</v>
      </c>
      <c r="HM61" s="11"/>
      <c r="HN61" s="11"/>
      <c r="HO61" s="11"/>
      <c r="HP61" s="11"/>
      <c r="HQ61" s="11"/>
      <c r="HR61" s="11"/>
      <c r="HS61" s="11"/>
      <c r="HT61" s="11"/>
      <c r="HU61" s="10" t="str">
        <f>SUBSTITUTE(ADDRESS(1,COLUMN(ID2),4),"1","")</f>
        <v>ID</v>
      </c>
      <c r="HV61" s="10" t="str">
        <f>SUBSTITUTE(ADDRESS(1,COLUMN(HY2),4),"1","")</f>
        <v>HY</v>
      </c>
      <c r="HW61" s="8"/>
      <c r="HX61" s="10" t="str">
        <f>SUBSTITUTE(ADDRESS(1,COLUMN(HZ2),4),"1","")</f>
        <v>HZ</v>
      </c>
      <c r="HY61" s="8"/>
      <c r="HZ61" s="8"/>
      <c r="IA61" s="8"/>
      <c r="IB61" s="8"/>
      <c r="IC61" s="8"/>
      <c r="ID61" s="8"/>
      <c r="IE61" s="8"/>
      <c r="IF61" s="8"/>
    </row>
    <row r="62" spans="1:240" x14ac:dyDescent="0.25">
      <c r="A62" s="68" t="str">
        <f>[1]Dashboard!D1 &amp; " Time"</f>
        <v>London Time</v>
      </c>
      <c r="B62" s="66"/>
      <c r="C62" s="66"/>
      <c r="D62" s="68" t="s">
        <v>13</v>
      </c>
      <c r="E62" s="66"/>
      <c r="F62" s="66"/>
      <c r="G62" s="67"/>
      <c r="H62" s="66"/>
      <c r="I62" s="66"/>
      <c r="J62" s="66"/>
      <c r="K62" s="67">
        <v>371</v>
      </c>
      <c r="L62" s="66"/>
      <c r="M62" s="64" t="str">
        <f>[1]Dashboard!D1 &amp; " Time"</f>
        <v>London Time</v>
      </c>
      <c r="N62" s="62"/>
      <c r="O62" s="65"/>
      <c r="P62" s="64" t="s">
        <v>13</v>
      </c>
      <c r="Q62" s="62"/>
      <c r="R62" s="62"/>
      <c r="S62" s="63"/>
      <c r="T62" s="62"/>
      <c r="U62" s="62"/>
      <c r="V62" s="62"/>
      <c r="W62" s="63"/>
      <c r="X62" s="62"/>
      <c r="Y62" s="61" t="str">
        <f>[1]Dashboard!D1 &amp; " Time"</f>
        <v>London Time</v>
      </c>
      <c r="Z62" s="59"/>
      <c r="AA62" s="59"/>
      <c r="AB62" s="61" t="s">
        <v>13</v>
      </c>
      <c r="AC62" s="59"/>
      <c r="AD62" s="59"/>
      <c r="AE62" s="60"/>
      <c r="AF62" s="59"/>
      <c r="AG62" s="59"/>
      <c r="AH62" s="59"/>
      <c r="AI62" s="60"/>
      <c r="AJ62" s="59"/>
      <c r="AK62" s="58" t="str">
        <f>[1]Dashboard!D1 &amp; " Time"</f>
        <v>London Time</v>
      </c>
      <c r="AL62" s="56"/>
      <c r="AM62" s="56"/>
      <c r="AN62" s="58" t="s">
        <v>13</v>
      </c>
      <c r="AO62" s="56"/>
      <c r="AP62" s="56"/>
      <c r="AQ62" s="57"/>
      <c r="AR62" s="56"/>
      <c r="AS62" s="56"/>
      <c r="AT62" s="56"/>
      <c r="AU62" s="57">
        <v>372</v>
      </c>
      <c r="AV62" s="56"/>
      <c r="AW62" s="55" t="str">
        <f>[1]Dashboard!D1 &amp; " Time"</f>
        <v>London Time</v>
      </c>
      <c r="AX62" s="53"/>
      <c r="AY62" s="53"/>
      <c r="AZ62" s="55" t="s">
        <v>13</v>
      </c>
      <c r="BA62" s="53"/>
      <c r="BB62" s="53"/>
      <c r="BC62" s="54"/>
      <c r="BD62" s="53"/>
      <c r="BE62" s="53"/>
      <c r="BF62" s="53"/>
      <c r="BG62" s="54">
        <v>373</v>
      </c>
      <c r="BH62" s="53"/>
      <c r="BI62" s="52" t="str">
        <f>[1]Dashboard!D1 &amp; " Time"</f>
        <v>London Time</v>
      </c>
      <c r="BJ62" s="50"/>
      <c r="BK62" s="50"/>
      <c r="BL62" s="52" t="s">
        <v>13</v>
      </c>
      <c r="BM62" s="50"/>
      <c r="BN62" s="50"/>
      <c r="BO62" s="51"/>
      <c r="BP62" s="50"/>
      <c r="BQ62" s="50"/>
      <c r="BR62" s="50"/>
      <c r="BS62" s="51">
        <v>374</v>
      </c>
      <c r="BT62" s="50"/>
      <c r="BU62" s="49" t="str">
        <f>[1]Dashboard!D1 &amp; " Time"</f>
        <v>London Time</v>
      </c>
      <c r="BV62" s="47"/>
      <c r="BW62" s="47"/>
      <c r="BX62" s="49" t="s">
        <v>13</v>
      </c>
      <c r="BY62" s="47"/>
      <c r="BZ62" s="47"/>
      <c r="CA62" s="48"/>
      <c r="CB62" s="47"/>
      <c r="CC62" s="47"/>
      <c r="CD62" s="47"/>
      <c r="CE62" s="48">
        <v>375</v>
      </c>
      <c r="CF62" s="47"/>
      <c r="CG62" s="46" t="str">
        <f>[1]Dashboard!D1 &amp; " Time"</f>
        <v>London Time</v>
      </c>
      <c r="CH62" s="44"/>
      <c r="CI62" s="44"/>
      <c r="CJ62" s="46" t="s">
        <v>13</v>
      </c>
      <c r="CK62" s="44"/>
      <c r="CL62" s="44"/>
      <c r="CM62" s="45"/>
      <c r="CN62" s="44"/>
      <c r="CO62" s="44"/>
      <c r="CP62" s="44"/>
      <c r="CQ62" s="45">
        <v>376</v>
      </c>
      <c r="CR62" s="44"/>
      <c r="CS62" s="43" t="str">
        <f>[1]Dashboard!D1 &amp; " Time"</f>
        <v>London Time</v>
      </c>
      <c r="CT62" s="41"/>
      <c r="CU62" s="41"/>
      <c r="CV62" s="43" t="s">
        <v>13</v>
      </c>
      <c r="CW62" s="41"/>
      <c r="CX62" s="41"/>
      <c r="CY62" s="42"/>
      <c r="CZ62" s="41"/>
      <c r="DA62" s="41"/>
      <c r="DB62" s="41"/>
      <c r="DC62" s="42"/>
      <c r="DD62" s="41"/>
      <c r="DE62" s="40" t="str">
        <f>[1]Dashboard!D1 &amp; " Time"</f>
        <v>London Time</v>
      </c>
      <c r="DF62" s="38"/>
      <c r="DG62" s="38"/>
      <c r="DH62" s="40" t="s">
        <v>13</v>
      </c>
      <c r="DI62" s="38"/>
      <c r="DJ62" s="38"/>
      <c r="DK62" s="39"/>
      <c r="DL62" s="38"/>
      <c r="DM62" s="38"/>
      <c r="DN62" s="38"/>
      <c r="DO62" s="39"/>
      <c r="DP62" s="38"/>
      <c r="DQ62" s="37" t="str">
        <f>[1]Dashboard!D1 &amp; " Time"</f>
        <v>London Time</v>
      </c>
      <c r="DR62" s="35"/>
      <c r="DS62" s="35"/>
      <c r="DT62" s="37" t="s">
        <v>13</v>
      </c>
      <c r="DU62" s="35"/>
      <c r="DV62" s="35"/>
      <c r="DW62" s="36"/>
      <c r="DX62" s="35"/>
      <c r="DY62" s="35"/>
      <c r="DZ62" s="35"/>
      <c r="EA62" s="36">
        <v>377</v>
      </c>
      <c r="EB62" s="35"/>
      <c r="EC62" s="34" t="str">
        <f>[1]Dashboard!D1 &amp; " Time"</f>
        <v>London Time</v>
      </c>
      <c r="ED62" s="32"/>
      <c r="EE62" s="32"/>
      <c r="EF62" s="34" t="s">
        <v>13</v>
      </c>
      <c r="EG62" s="32"/>
      <c r="EH62" s="32"/>
      <c r="EI62" s="33"/>
      <c r="EJ62" s="32"/>
      <c r="EK62" s="32"/>
      <c r="EL62" s="32"/>
      <c r="EM62" s="33">
        <v>378</v>
      </c>
      <c r="EN62" s="32"/>
      <c r="EO62" s="31" t="str">
        <f>[1]Dashboard!D1 &amp; " Time"</f>
        <v>London Time</v>
      </c>
      <c r="EP62" s="29"/>
      <c r="EQ62" s="29"/>
      <c r="ER62" s="31" t="s">
        <v>13</v>
      </c>
      <c r="ES62" s="29"/>
      <c r="ET62" s="29"/>
      <c r="EU62" s="30"/>
      <c r="EV62" s="29"/>
      <c r="EW62" s="29"/>
      <c r="EX62" s="29"/>
      <c r="EY62" s="30">
        <v>379</v>
      </c>
      <c r="EZ62" s="29"/>
      <c r="FA62" s="28" t="str">
        <f>[1]Dashboard!D1 &amp; " Time"</f>
        <v>London Time</v>
      </c>
      <c r="FB62" s="26"/>
      <c r="FC62" s="26"/>
      <c r="FD62" s="28" t="s">
        <v>13</v>
      </c>
      <c r="FE62" s="26"/>
      <c r="FF62" s="26"/>
      <c r="FG62" s="27"/>
      <c r="FH62" s="26"/>
      <c r="FI62" s="26"/>
      <c r="FJ62" s="26"/>
      <c r="FK62" s="27"/>
      <c r="FL62" s="26"/>
      <c r="FM62" s="25" t="str">
        <f>[1]Dashboard!D1 &amp; " Time"</f>
        <v>London Time</v>
      </c>
      <c r="FN62" s="23"/>
      <c r="FO62" s="23"/>
      <c r="FP62" s="25" t="s">
        <v>13</v>
      </c>
      <c r="FQ62" s="23"/>
      <c r="FR62" s="23"/>
      <c r="FS62" s="24"/>
      <c r="FT62" s="23"/>
      <c r="FU62" s="23"/>
      <c r="FV62" s="23"/>
      <c r="FW62" s="24"/>
      <c r="FX62" s="23"/>
      <c r="FY62" s="22" t="str">
        <f>[1]Dashboard!D1 &amp; " Time"</f>
        <v>London Time</v>
      </c>
      <c r="FZ62" s="20"/>
      <c r="GA62" s="20"/>
      <c r="GB62" s="22" t="s">
        <v>13</v>
      </c>
      <c r="GC62" s="20"/>
      <c r="GD62" s="20"/>
      <c r="GE62" s="21"/>
      <c r="GF62" s="20"/>
      <c r="GG62" s="20"/>
      <c r="GH62" s="20"/>
      <c r="GI62" s="21"/>
      <c r="GJ62" s="20"/>
      <c r="GK62" s="19" t="str">
        <f>[1]Dashboard!D1 &amp; " Time"</f>
        <v>London Time</v>
      </c>
      <c r="GL62" s="17"/>
      <c r="GM62" s="17"/>
      <c r="GN62" s="19" t="s">
        <v>13</v>
      </c>
      <c r="GO62" s="17"/>
      <c r="GP62" s="17"/>
      <c r="GQ62" s="18"/>
      <c r="GR62" s="17"/>
      <c r="GS62" s="17"/>
      <c r="GT62" s="17"/>
      <c r="GU62" s="18">
        <v>380</v>
      </c>
      <c r="GV62" s="17"/>
      <c r="GW62" s="16" t="str">
        <f>[1]Dashboard!D1 &amp; " Time"</f>
        <v>London Time</v>
      </c>
      <c r="GX62" s="14"/>
      <c r="GY62" s="14"/>
      <c r="GZ62" s="16" t="s">
        <v>13</v>
      </c>
      <c r="HA62" s="14"/>
      <c r="HB62" s="14"/>
      <c r="HC62" s="15"/>
      <c r="HD62" s="14"/>
      <c r="HE62" s="14"/>
      <c r="HF62" s="14"/>
      <c r="HG62" s="15"/>
      <c r="HH62" s="14"/>
      <c r="HI62" s="13" t="str">
        <f>[1]Dashboard!D1 &amp; " Time"</f>
        <v>London Time</v>
      </c>
      <c r="HJ62" s="11"/>
      <c r="HK62" s="11"/>
      <c r="HL62" s="13" t="s">
        <v>13</v>
      </c>
      <c r="HM62" s="11"/>
      <c r="HN62" s="11"/>
      <c r="HO62" s="12"/>
      <c r="HP62" s="11"/>
      <c r="HQ62" s="11"/>
      <c r="HR62" s="11"/>
      <c r="HS62" s="12"/>
      <c r="HT62" s="11"/>
      <c r="HU62" s="10" t="str">
        <f>[1]Dashboard!D1 &amp; " Time"</f>
        <v>London Time</v>
      </c>
      <c r="HV62" s="8"/>
      <c r="HW62" s="8"/>
      <c r="HX62" s="10" t="s">
        <v>13</v>
      </c>
      <c r="HY62" s="8"/>
      <c r="HZ62" s="8"/>
      <c r="IA62" s="9"/>
      <c r="IB62" s="8"/>
      <c r="IC62" s="8"/>
      <c r="ID62" s="8"/>
      <c r="IE62" s="9"/>
      <c r="IF62" s="8"/>
    </row>
    <row r="63" spans="1:240" x14ac:dyDescent="0.25">
      <c r="E63" s="6"/>
      <c r="O63" s="7"/>
    </row>
    <row r="65" spans="1:5" x14ac:dyDescent="0.25">
      <c r="E65" s="6"/>
    </row>
    <row r="66" spans="1:5" x14ac:dyDescent="0.25">
      <c r="A66" s="5" t="s">
        <v>12</v>
      </c>
      <c r="E66" s="4">
        <v>45403.302476851852</v>
      </c>
    </row>
    <row r="76" spans="1:5" x14ac:dyDescent="0.25">
      <c r="E76" s="4"/>
    </row>
    <row r="789" spans="1:239" x14ac:dyDescent="0.25">
      <c r="K789" s="1">
        <f ca="1">$B$792</f>
        <v>89</v>
      </c>
      <c r="W789" s="1">
        <f ca="1">$N$792</f>
        <v>68</v>
      </c>
      <c r="AI789" s="1">
        <f ca="1">$Z$792</f>
        <v>48</v>
      </c>
      <c r="AU789" s="1">
        <f ca="1">$AL$792</f>
        <v>39</v>
      </c>
      <c r="BG789" s="1">
        <f ca="1">$AX$792</f>
        <v>48</v>
      </c>
      <c r="BS789" s="1">
        <f ca="1">$BJ$792</f>
        <v>24</v>
      </c>
      <c r="CE789" s="1">
        <f ca="1">$BV$792</f>
        <v>63</v>
      </c>
      <c r="CQ789" s="1">
        <f ca="1">$CH$792</f>
        <v>49</v>
      </c>
      <c r="DC789" s="1">
        <f ca="1">$CT$792</f>
        <v>48</v>
      </c>
      <c r="DO789" s="1">
        <f ca="1">$DF$792</f>
        <v>47</v>
      </c>
      <c r="EA789" s="1">
        <f ca="1">$DR$792</f>
        <v>82</v>
      </c>
      <c r="EM789" s="1">
        <f ca="1">$ED$792</f>
        <v>26</v>
      </c>
      <c r="EY789" s="1">
        <f ca="1">$EP$792</f>
        <v>91</v>
      </c>
      <c r="FK789" s="1">
        <f ca="1">$FB$792</f>
        <v>60</v>
      </c>
      <c r="FW789" s="1">
        <f ca="1">$FN$792</f>
        <v>60</v>
      </c>
      <c r="GI789" s="1">
        <f ca="1">$FZ$792</f>
        <v>36</v>
      </c>
      <c r="GU789" s="1">
        <f ca="1">$GL$792</f>
        <v>16</v>
      </c>
      <c r="HG789" s="1">
        <f ca="1">$GX$792</f>
        <v>66</v>
      </c>
      <c r="HS789" s="1">
        <f ca="1">$HJ$792</f>
        <v>52</v>
      </c>
      <c r="IE789" s="1">
        <f ca="1">$HV$792</f>
        <v>46</v>
      </c>
    </row>
    <row r="790" spans="1:239" x14ac:dyDescent="0.25">
      <c r="K790" s="1">
        <f>[1]tableTmp!$A$2</f>
        <v>2</v>
      </c>
      <c r="W790" s="1">
        <f>[1]tableTmp!$A$3</f>
        <v>4</v>
      </c>
      <c r="AI790" s="1">
        <f>[1]tableTmp!$A$4</f>
        <v>12</v>
      </c>
      <c r="AU790" s="1">
        <f>[1]tableTmp!$A$5</f>
        <v>16</v>
      </c>
      <c r="BG790" s="1">
        <f>[1]tableTmp!$A$6</f>
        <v>11</v>
      </c>
      <c r="BS790" s="1">
        <f>[1]tableTmp!$A$7</f>
        <v>19</v>
      </c>
      <c r="CE790" s="1">
        <f>[1]tableTmp!$A$8</f>
        <v>6</v>
      </c>
      <c r="CQ790" s="1">
        <f>[1]tableTmp!$A$9</f>
        <v>10</v>
      </c>
      <c r="DC790" s="1">
        <f>[1]tableTmp!$A$10</f>
        <v>15</v>
      </c>
      <c r="DO790" s="1">
        <f>[1]tableTmp!$A$11</f>
        <v>13</v>
      </c>
      <c r="EA790" s="1">
        <f>[1]tableTmp!$A$12</f>
        <v>3</v>
      </c>
      <c r="EM790" s="1">
        <f>[1]tableTmp!$A$13</f>
        <v>18</v>
      </c>
      <c r="EY790" s="1">
        <f>[1]tableTmp!$A$14</f>
        <v>1</v>
      </c>
      <c r="FK790" s="1">
        <f>[1]tableTmp!$A$15</f>
        <v>8</v>
      </c>
      <c r="FW790" s="1">
        <f>[1]tableTmp!$A$16</f>
        <v>7</v>
      </c>
      <c r="GI790" s="1">
        <f>[1]tableTmp!$A$17</f>
        <v>17</v>
      </c>
      <c r="GU790" s="1">
        <f>[1]tableTmp!$A$18</f>
        <v>20</v>
      </c>
      <c r="HG790" s="1">
        <f>[1]tableTmp!$A$19</f>
        <v>5</v>
      </c>
      <c r="HS790" s="1">
        <f>[1]tableTmp!$A$20</f>
        <v>9</v>
      </c>
      <c r="IE790" s="1">
        <f>[1]tableTmp!$A$21</f>
        <v>14</v>
      </c>
    </row>
    <row r="791" spans="1:239" hidden="1" x14ac:dyDescent="0.25">
      <c r="A791" s="3" t="s">
        <v>11</v>
      </c>
      <c r="M791" s="3" t="s">
        <v>11</v>
      </c>
      <c r="Y791" s="3" t="s">
        <v>11</v>
      </c>
      <c r="AK791" s="3" t="s">
        <v>11</v>
      </c>
      <c r="AW791" s="3" t="s">
        <v>11</v>
      </c>
      <c r="BI791" s="3" t="s">
        <v>11</v>
      </c>
      <c r="BU791" s="3" t="s">
        <v>11</v>
      </c>
      <c r="CG791" s="3" t="s">
        <v>11</v>
      </c>
      <c r="CS791" s="3" t="s">
        <v>11</v>
      </c>
      <c r="DE791" s="3" t="s">
        <v>11</v>
      </c>
      <c r="DQ791" s="3" t="s">
        <v>11</v>
      </c>
      <c r="EC791" s="3" t="s">
        <v>11</v>
      </c>
      <c r="EO791" s="3" t="s">
        <v>11</v>
      </c>
      <c r="FA791" s="3" t="s">
        <v>11</v>
      </c>
      <c r="FM791" s="3" t="s">
        <v>11</v>
      </c>
      <c r="FY791" s="3" t="s">
        <v>11</v>
      </c>
      <c r="GK791" s="3" t="s">
        <v>11</v>
      </c>
      <c r="GW791" s="3" t="s">
        <v>11</v>
      </c>
      <c r="HI791" s="3" t="s">
        <v>11</v>
      </c>
      <c r="HU791" s="3" t="s">
        <v>11</v>
      </c>
    </row>
    <row r="792" spans="1:239" hidden="1" x14ac:dyDescent="0.25">
      <c r="A792" s="3" t="s">
        <v>10</v>
      </c>
      <c r="B792" s="1">
        <f ca="1">3*B794+B795</f>
        <v>89</v>
      </c>
      <c r="D792" s="3" t="s">
        <v>9</v>
      </c>
      <c r="E792" s="1">
        <f ca="1">SUM(G2:G789)</f>
        <v>91</v>
      </c>
      <c r="G792" s="1">
        <f ca="1">INDIRECT(A$799&amp;J792)</f>
        <v>49</v>
      </c>
      <c r="J792" s="1">
        <f ca="1">LOOKUP(2,1 / (J2:J788&lt;&gt; ""),ROW(J2:J788))</f>
        <v>59</v>
      </c>
      <c r="M792" s="3" t="s">
        <v>10</v>
      </c>
      <c r="N792" s="1">
        <f ca="1">3*N794+N795</f>
        <v>68</v>
      </c>
      <c r="P792" s="3" t="s">
        <v>9</v>
      </c>
      <c r="Q792" s="1">
        <f ca="1">SUM(S2:S789)</f>
        <v>76</v>
      </c>
      <c r="S792" s="1">
        <f ca="1">INDIRECT(M$799&amp;V792)</f>
        <v>49</v>
      </c>
      <c r="V792" s="1">
        <f ca="1">LOOKUP(2,1 / (V2:V788&lt;&gt; ""),ROW(V2:V788))</f>
        <v>59</v>
      </c>
      <c r="Y792" s="3" t="s">
        <v>10</v>
      </c>
      <c r="Z792" s="1">
        <f ca="1">3*Z794+Z795</f>
        <v>48</v>
      </c>
      <c r="AB792" s="3" t="s">
        <v>9</v>
      </c>
      <c r="AC792" s="1">
        <f ca="1">SUM(AE2:AE789)</f>
        <v>54</v>
      </c>
      <c r="AE792" s="1">
        <f ca="1">INDIRECT(Y$799&amp;AH792)</f>
        <v>49</v>
      </c>
      <c r="AH792" s="1">
        <f ca="1">LOOKUP(2,1 / (AH2:AH788&lt;&gt; ""),ROW(AH2:AH788))</f>
        <v>59</v>
      </c>
      <c r="AK792" s="3" t="s">
        <v>10</v>
      </c>
      <c r="AL792" s="1">
        <f ca="1">3*AL794+AL795</f>
        <v>39</v>
      </c>
      <c r="AN792" s="3" t="s">
        <v>9</v>
      </c>
      <c r="AO792" s="1">
        <f ca="1">SUM(AQ2:AQ789)</f>
        <v>56</v>
      </c>
      <c r="AQ792" s="1">
        <f ca="1">INDIRECT(AK$799&amp;AT792)</f>
        <v>49</v>
      </c>
      <c r="AT792" s="1">
        <f ca="1">LOOKUP(2,1 / (AT2:AT788&lt;&gt; ""),ROW(AT2:AT788))</f>
        <v>59</v>
      </c>
      <c r="AW792" s="3" t="s">
        <v>10</v>
      </c>
      <c r="AX792" s="1">
        <f ca="1">3*AX794+AX795</f>
        <v>48</v>
      </c>
      <c r="AZ792" s="3" t="s">
        <v>9</v>
      </c>
      <c r="BA792" s="1">
        <f ca="1">SUM(BC2:BC789)</f>
        <v>55</v>
      </c>
      <c r="BC792" s="1">
        <f ca="1">INDIRECT(AW$799&amp;BF792)</f>
        <v>49</v>
      </c>
      <c r="BF792" s="1">
        <f ca="1">LOOKUP(2,1 / (BF2:BF788&lt;&gt; ""),ROW(BF2:BF788))</f>
        <v>59</v>
      </c>
      <c r="BI792" s="3" t="s">
        <v>10</v>
      </c>
      <c r="BJ792" s="1">
        <f ca="1">3*BJ794+BJ795</f>
        <v>24</v>
      </c>
      <c r="BL792" s="3" t="s">
        <v>9</v>
      </c>
      <c r="BM792" s="1">
        <f ca="1">SUM(BO2:BO789)</f>
        <v>41</v>
      </c>
      <c r="BO792" s="1">
        <f ca="1">INDIRECT(BI$799&amp;BR792)</f>
        <v>49</v>
      </c>
      <c r="BR792" s="1">
        <f ca="1">LOOKUP(2,1 / (BR2:BR788&lt;&gt; ""),ROW(BR2:BR788))</f>
        <v>59</v>
      </c>
      <c r="BU792" s="3" t="s">
        <v>10</v>
      </c>
      <c r="BV792" s="1">
        <f ca="1">3*BV794+BV795</f>
        <v>63</v>
      </c>
      <c r="BX792" s="3" t="s">
        <v>9</v>
      </c>
      <c r="BY792" s="1">
        <f ca="1">SUM(CA2:CA789)</f>
        <v>77</v>
      </c>
      <c r="CA792" s="1">
        <f ca="1">INDIRECT(BU$799&amp;CD792)</f>
        <v>49</v>
      </c>
      <c r="CD792" s="1">
        <f ca="1">LOOKUP(2,1 / (CD2:CD788&lt;&gt; ""),ROW(CD2:CD788))</f>
        <v>59</v>
      </c>
      <c r="CG792" s="3" t="s">
        <v>10</v>
      </c>
      <c r="CH792" s="1">
        <f ca="1">3*CH794+CH795</f>
        <v>49</v>
      </c>
      <c r="CJ792" s="3" t="s">
        <v>9</v>
      </c>
      <c r="CK792" s="1">
        <f ca="1">SUM(CM2:CM789)</f>
        <v>57</v>
      </c>
      <c r="CM792" s="1">
        <f ca="1">INDIRECT(CG$799&amp;CP792)</f>
        <v>49</v>
      </c>
      <c r="CP792" s="1">
        <f ca="1">LOOKUP(2,1 / (CP2:CP788&lt;&gt; ""),ROW(CP2:CP788))</f>
        <v>59</v>
      </c>
      <c r="CS792" s="3" t="s">
        <v>10</v>
      </c>
      <c r="CT792" s="1">
        <f ca="1">3*CT794+CT795</f>
        <v>48</v>
      </c>
      <c r="CV792" s="3" t="s">
        <v>9</v>
      </c>
      <c r="CW792" s="1">
        <f ca="1">SUM(CY2:CY789)</f>
        <v>40</v>
      </c>
      <c r="CY792" s="1">
        <f ca="1">INDIRECT(CS$799&amp;DB792)</f>
        <v>49</v>
      </c>
      <c r="DB792" s="1">
        <f ca="1">LOOKUP(2,1 / (DB2:DB788&lt;&gt; ""),ROW(DB2:DB788))</f>
        <v>59</v>
      </c>
      <c r="DE792" s="3" t="s">
        <v>10</v>
      </c>
      <c r="DF792" s="1">
        <f ca="1">3*DF794+DF795</f>
        <v>47</v>
      </c>
      <c r="DH792" s="3" t="s">
        <v>9</v>
      </c>
      <c r="DI792" s="1">
        <f ca="1">SUM(DK2:DK789)</f>
        <v>55</v>
      </c>
      <c r="DK792" s="1">
        <f ca="1">INDIRECT(DE$799&amp;DN792)</f>
        <v>49</v>
      </c>
      <c r="DN792" s="1">
        <f ca="1">LOOKUP(2,1 / (DN2:DN788&lt;&gt; ""),ROW(DN2:DN788))</f>
        <v>59</v>
      </c>
      <c r="DQ792" s="3" t="s">
        <v>10</v>
      </c>
      <c r="DR792" s="1">
        <f ca="1">3*DR794+DR795</f>
        <v>82</v>
      </c>
      <c r="DT792" s="3" t="s">
        <v>9</v>
      </c>
      <c r="DU792" s="1">
        <f ca="1">SUM(DW2:DW789)</f>
        <v>86</v>
      </c>
      <c r="DW792" s="1">
        <f ca="1">INDIRECT(DQ$799&amp;DZ792)</f>
        <v>49</v>
      </c>
      <c r="DZ792" s="1">
        <f ca="1">LOOKUP(2,1 / (DZ2:DZ788&lt;&gt; ""),ROW(DZ2:DZ788))</f>
        <v>59</v>
      </c>
      <c r="EC792" s="3" t="s">
        <v>10</v>
      </c>
      <c r="ED792" s="1">
        <f ca="1">3*ED794+ED795</f>
        <v>26</v>
      </c>
      <c r="EF792" s="3" t="s">
        <v>9</v>
      </c>
      <c r="EG792" s="1">
        <f ca="1">SUM(EI2:EI789)</f>
        <v>52</v>
      </c>
      <c r="EI792" s="1">
        <f ca="1">INDIRECT(EC$799&amp;EL792)</f>
        <v>49</v>
      </c>
      <c r="EL792" s="1">
        <f ca="1">LOOKUP(2,1 / (EL2:EL788&lt;&gt; ""),ROW(EL2:EL788))</f>
        <v>59</v>
      </c>
      <c r="EO792" s="3" t="s">
        <v>10</v>
      </c>
      <c r="EP792" s="1">
        <f ca="1">3*EP794+EP795</f>
        <v>91</v>
      </c>
      <c r="ER792" s="3" t="s">
        <v>9</v>
      </c>
      <c r="ES792" s="1">
        <f ca="1">SUM(EU2:EU789)</f>
        <v>96</v>
      </c>
      <c r="EU792" s="1">
        <f ca="1">INDIRECT(EO$799&amp;EX792)</f>
        <v>49</v>
      </c>
      <c r="EX792" s="1">
        <f ca="1">LOOKUP(2,1 / (EX2:EX788&lt;&gt; ""),ROW(EX2:EX788))</f>
        <v>59</v>
      </c>
      <c r="FA792" s="3" t="s">
        <v>10</v>
      </c>
      <c r="FB792" s="1">
        <f ca="1">3*FB794+FB795</f>
        <v>60</v>
      </c>
      <c r="FD792" s="3" t="s">
        <v>9</v>
      </c>
      <c r="FE792" s="1">
        <f ca="1">SUM(FG2:FG789)</f>
        <v>57</v>
      </c>
      <c r="FG792" s="1">
        <f ca="1">INDIRECT(FA$799&amp;FJ792)</f>
        <v>49</v>
      </c>
      <c r="FJ792" s="1">
        <f ca="1">LOOKUP(2,1 / (FJ2:FJ788&lt;&gt; ""),ROW(FJ2:FJ788))</f>
        <v>59</v>
      </c>
      <c r="FM792" s="3" t="s">
        <v>10</v>
      </c>
      <c r="FN792" s="1">
        <f ca="1">3*FN794+FN795</f>
        <v>60</v>
      </c>
      <c r="FP792" s="3" t="s">
        <v>9</v>
      </c>
      <c r="FQ792" s="1">
        <f ca="1">SUM(FS2:FS789)</f>
        <v>85</v>
      </c>
      <c r="FS792" s="1">
        <f ca="1">INDIRECT(FM$799&amp;FV792)</f>
        <v>49</v>
      </c>
      <c r="FV792" s="1">
        <f ca="1">LOOKUP(2,1 / (FV2:FV788&lt;&gt; ""),ROW(FV2:FV788))</f>
        <v>59</v>
      </c>
      <c r="FY792" s="3" t="s">
        <v>10</v>
      </c>
      <c r="FZ792" s="1">
        <f ca="1">3*FZ794+FZ795</f>
        <v>36</v>
      </c>
      <c r="GB792" s="3" t="s">
        <v>9</v>
      </c>
      <c r="GC792" s="1">
        <f ca="1">SUM(GE2:GE789)</f>
        <v>49</v>
      </c>
      <c r="GE792" s="1">
        <f ca="1">INDIRECT(FY$799&amp;GH792)</f>
        <v>49</v>
      </c>
      <c r="GH792" s="1">
        <f ca="1">LOOKUP(2,1 / (GH2:GH788&lt;&gt; ""),ROW(GH2:GH788))</f>
        <v>59</v>
      </c>
      <c r="GK792" s="3" t="s">
        <v>10</v>
      </c>
      <c r="GL792" s="1">
        <f ca="1">3*GL794+GL795</f>
        <v>16</v>
      </c>
      <c r="GN792" s="3" t="s">
        <v>9</v>
      </c>
      <c r="GO792" s="1">
        <f ca="1">SUM(GQ2:GQ789)</f>
        <v>35</v>
      </c>
      <c r="GQ792" s="1">
        <f ca="1">INDIRECT(GK$799&amp;GT792)</f>
        <v>49</v>
      </c>
      <c r="GT792" s="1">
        <f ca="1">LOOKUP(2,1 / (GT2:GT788&lt;&gt; ""),ROW(GT2:GT788))</f>
        <v>59</v>
      </c>
      <c r="GW792" s="3" t="s">
        <v>10</v>
      </c>
      <c r="GX792" s="1">
        <f ca="1">3*GX794+GX795</f>
        <v>66</v>
      </c>
      <c r="GZ792" s="3" t="s">
        <v>9</v>
      </c>
      <c r="HA792" s="1">
        <f ca="1">SUM(HC2:HC789)</f>
        <v>74</v>
      </c>
      <c r="HC792" s="1">
        <f ca="1">INDIRECT(GW$799&amp;HF792)</f>
        <v>49</v>
      </c>
      <c r="HF792" s="1">
        <f ca="1">LOOKUP(2,1 / (HF2:HF788&lt;&gt; ""),ROW(HF2:HF788))</f>
        <v>59</v>
      </c>
      <c r="HI792" s="3" t="s">
        <v>10</v>
      </c>
      <c r="HJ792" s="1">
        <f ca="1">3*HJ794+HJ795</f>
        <v>52</v>
      </c>
      <c r="HL792" s="3" t="s">
        <v>9</v>
      </c>
      <c r="HM792" s="1">
        <f ca="1">SUM(HO2:HO789)</f>
        <v>60</v>
      </c>
      <c r="HO792" s="1">
        <f ca="1">INDIRECT(HI$799&amp;HR792)</f>
        <v>49</v>
      </c>
      <c r="HR792" s="1">
        <f ca="1">LOOKUP(2,1 / (HR2:HR788&lt;&gt; ""),ROW(HR2:HR788))</f>
        <v>59</v>
      </c>
      <c r="HU792" s="3" t="s">
        <v>10</v>
      </c>
      <c r="HV792" s="1">
        <f ca="1">3*HV794+HV795</f>
        <v>46</v>
      </c>
      <c r="HX792" s="3" t="s">
        <v>9</v>
      </c>
      <c r="HY792" s="1">
        <f ca="1">SUM(IA2:IA789)</f>
        <v>50</v>
      </c>
      <c r="IA792" s="1">
        <f ca="1">INDIRECT(HU$799&amp;ID792)</f>
        <v>49</v>
      </c>
      <c r="ID792" s="1">
        <f ca="1">LOOKUP(2,1 / (ID2:ID788&lt;&gt; ""),ROW(ID2:ID788))</f>
        <v>59</v>
      </c>
    </row>
    <row r="793" spans="1:239" hidden="1" x14ac:dyDescent="0.25">
      <c r="A793" s="3" t="s">
        <v>8</v>
      </c>
      <c r="B793" s="1">
        <f ca="1">SUM(B794:B797)</f>
        <v>38</v>
      </c>
      <c r="D793" s="3" t="s">
        <v>7</v>
      </c>
      <c r="E793" s="1">
        <f>SUM(I2:I789)</f>
        <v>29</v>
      </c>
      <c r="G793" s="1">
        <f ca="1">INDIRECT(A$799&amp;J793)</f>
        <v>44</v>
      </c>
      <c r="J793" s="1">
        <f ca="1">IF(ISBLANK(INDIRECT(A$799&amp;J792-1)), LOOKUP(2,1 / (J$2:(INDIRECT(A$799&amp;J792-2)) &lt;&gt; ""),ROW(J$2:(INDIRECT(A$799&amp;J792-2)))),LOOKUP(2,1 / (J$2:(INDIRECT(A$799&amp;J792-1)) &lt;&gt; ""),ROW(J$2:(INDIRECT(A$799&amp;J792-1)))))</f>
        <v>58</v>
      </c>
      <c r="M793" s="3" t="s">
        <v>8</v>
      </c>
      <c r="N793" s="1">
        <f ca="1">SUM(N794:N797)</f>
        <v>38</v>
      </c>
      <c r="P793" s="3" t="s">
        <v>7</v>
      </c>
      <c r="Q793" s="1">
        <f>SUM(U2:U789)</f>
        <v>61</v>
      </c>
      <c r="S793" s="1">
        <f ca="1">INDIRECT(M$799&amp;V793)</f>
        <v>44</v>
      </c>
      <c r="V793" s="1">
        <f ca="1">IF(ISBLANK(INDIRECT(M$799&amp;V792-1)), LOOKUP(2,1 / (V$2:(INDIRECT(M$799&amp;V792-2)) &lt;&gt; ""),ROW(V$2:(INDIRECT(M$799&amp;V792-2)))),LOOKUP(2,1 / (V$2:(INDIRECT(M$799&amp;V792-1)) &lt;&gt; ""),ROW(V$2:(INDIRECT(M$799&amp;V792-1)))))</f>
        <v>58</v>
      </c>
      <c r="Y793" s="3" t="s">
        <v>8</v>
      </c>
      <c r="Z793" s="1">
        <f ca="1">SUM(Z794:Z797)</f>
        <v>38</v>
      </c>
      <c r="AB793" s="3" t="s">
        <v>7</v>
      </c>
      <c r="AC793" s="1">
        <f>SUM(AG2:AG789)</f>
        <v>67</v>
      </c>
      <c r="AE793" s="1">
        <f ca="1">INDIRECT(Y$799&amp;AH793)</f>
        <v>44</v>
      </c>
      <c r="AH793" s="1">
        <f ca="1">IF(ISBLANK(INDIRECT(Y$799&amp;AH792-1)), LOOKUP(2,1 / (AH$2:(INDIRECT(Y$799&amp;AH792-2)) &lt;&gt; ""),ROW(AH$2:(INDIRECT(Y$799&amp;AH792-2)))),LOOKUP(2,1 / (AH$2:(INDIRECT(Y$799&amp;AH792-1)) &lt;&gt; ""),ROW(AH$2:(INDIRECT(Y$799&amp;AH792-1)))))</f>
        <v>58</v>
      </c>
      <c r="AK793" s="3" t="s">
        <v>8</v>
      </c>
      <c r="AL793" s="1">
        <f ca="1">SUM(AL794:AL797)</f>
        <v>38</v>
      </c>
      <c r="AN793" s="3" t="s">
        <v>7</v>
      </c>
      <c r="AO793" s="1">
        <f>SUM(AS2:AS789)</f>
        <v>65</v>
      </c>
      <c r="AQ793" s="1">
        <f ca="1">INDIRECT(AK$799&amp;AT793)</f>
        <v>44</v>
      </c>
      <c r="AT793" s="1">
        <f ca="1">IF(ISBLANK(INDIRECT(AK$799&amp;AT792-1)), LOOKUP(2,1 / (AT$2:(INDIRECT(AK$799&amp;AT792-2)) &lt;&gt; ""),ROW(AT$2:(INDIRECT(AK$799&amp;AT792-2)))),LOOKUP(2,1 / (AT$2:(INDIRECT(AK$799&amp;AT792-1)) &lt;&gt; ""),ROW(AT$2:(INDIRECT(AK$799&amp;AT792-1)))))</f>
        <v>58</v>
      </c>
      <c r="AW793" s="3" t="s">
        <v>8</v>
      </c>
      <c r="AX793" s="1">
        <f ca="1">SUM(AX794:AX797)</f>
        <v>38</v>
      </c>
      <c r="AZ793" s="3" t="s">
        <v>7</v>
      </c>
      <c r="BA793" s="1">
        <f>SUM(BE2:BE789)</f>
        <v>62</v>
      </c>
      <c r="BC793" s="1">
        <f ca="1">INDIRECT(AW$799&amp;BF793)</f>
        <v>44</v>
      </c>
      <c r="BF793" s="1">
        <f ca="1">IF(ISBLANK(INDIRECT(AW$799&amp;BF792-1)), LOOKUP(2,1 / (BF$2:(INDIRECT(AW$799&amp;BF792-2)) &lt;&gt; ""),ROW(BF$2:(INDIRECT(AW$799&amp;BF792-2)))),LOOKUP(2,1 / (BF$2:(INDIRECT(AW$799&amp;BF792-1)) &lt;&gt; ""),ROW(BF$2:(INDIRECT(AW$799&amp;BF792-1)))))</f>
        <v>58</v>
      </c>
      <c r="BI793" s="3" t="s">
        <v>8</v>
      </c>
      <c r="BJ793" s="1">
        <f ca="1">SUM(BJ794:BJ797)</f>
        <v>38</v>
      </c>
      <c r="BL793" s="3" t="s">
        <v>7</v>
      </c>
      <c r="BM793" s="1">
        <f>SUM(BQ2:BQ789)</f>
        <v>78</v>
      </c>
      <c r="BO793" s="1">
        <f ca="1">INDIRECT(BI$799&amp;BR793)</f>
        <v>44</v>
      </c>
      <c r="BR793" s="1">
        <f ca="1">IF(ISBLANK(INDIRECT(BI$799&amp;BR792-1)), LOOKUP(2,1 / (BR$2:(INDIRECT(BI$799&amp;BR792-2)) &lt;&gt; ""),ROW(BR$2:(INDIRECT(BI$799&amp;BR792-2)))),LOOKUP(2,1 / (BR$2:(INDIRECT(BI$799&amp;BR792-1)) &lt;&gt; ""),ROW(BR$2:(INDIRECT(BI$799&amp;BR792-1)))))</f>
        <v>58</v>
      </c>
      <c r="BU793" s="3" t="s">
        <v>8</v>
      </c>
      <c r="BV793" s="1">
        <f ca="1">SUM(BV794:BV797)</f>
        <v>38</v>
      </c>
      <c r="BX793" s="3" t="s">
        <v>7</v>
      </c>
      <c r="BY793" s="1">
        <f>SUM(CC2:CC789)</f>
        <v>63</v>
      </c>
      <c r="CA793" s="1">
        <f ca="1">INDIRECT(BU$799&amp;CD793)</f>
        <v>45</v>
      </c>
      <c r="CD793" s="1">
        <f ca="1">IF(ISBLANK(INDIRECT(BU$799&amp;CD792-1)), LOOKUP(2,1 / (CD$2:(INDIRECT(BU$799&amp;CD792-2)) &lt;&gt; ""),ROW(CD$2:(INDIRECT(BU$799&amp;CD792-2)))),LOOKUP(2,1 / (CD$2:(INDIRECT(BU$799&amp;CD792-1)) &lt;&gt; ""),ROW(CD$2:(INDIRECT(BU$799&amp;CD792-1)))))</f>
        <v>58</v>
      </c>
      <c r="CG793" s="3" t="s">
        <v>8</v>
      </c>
      <c r="CH793" s="1">
        <f ca="1">SUM(CH794:CH797)</f>
        <v>38</v>
      </c>
      <c r="CJ793" s="3" t="s">
        <v>7</v>
      </c>
      <c r="CK793" s="1">
        <f>SUM(CO2:CO789)</f>
        <v>58</v>
      </c>
      <c r="CM793" s="1">
        <f ca="1">INDIRECT(CG$799&amp;CP793)</f>
        <v>44</v>
      </c>
      <c r="CP793" s="1">
        <f ca="1">IF(ISBLANK(INDIRECT(CG$799&amp;CP792-1)), LOOKUP(2,1 / (CP$2:(INDIRECT(CG$799&amp;CP792-2)) &lt;&gt; ""),ROW(CP$2:(INDIRECT(CG$799&amp;CP792-2)))),LOOKUP(2,1 / (CP$2:(INDIRECT(CG$799&amp;CP792-1)) &lt;&gt; ""),ROW(CP$2:(INDIRECT(CG$799&amp;CP792-1)))))</f>
        <v>58</v>
      </c>
      <c r="CS793" s="3" t="s">
        <v>8</v>
      </c>
      <c r="CT793" s="1">
        <f ca="1">SUM(CT794:CT797)</f>
        <v>38</v>
      </c>
      <c r="CV793" s="3" t="s">
        <v>7</v>
      </c>
      <c r="CW793" s="1">
        <f>SUM(DA2:DA789)</f>
        <v>51</v>
      </c>
      <c r="CY793" s="1">
        <f ca="1">INDIRECT(CS$799&amp;DB793)</f>
        <v>44</v>
      </c>
      <c r="DB793" s="1">
        <f ca="1">IF(ISBLANK(INDIRECT(CS$799&amp;DB792-1)), LOOKUP(2,1 / (DB$2:(INDIRECT(CS$799&amp;DB792-2)) &lt;&gt; ""),ROW(DB$2:(INDIRECT(CS$799&amp;DB792-2)))),LOOKUP(2,1 / (DB$2:(INDIRECT(CS$799&amp;DB792-1)) &lt;&gt; ""),ROW(DB$2:(INDIRECT(CS$799&amp;DB792-1)))))</f>
        <v>58</v>
      </c>
      <c r="DE793" s="3" t="s">
        <v>8</v>
      </c>
      <c r="DF793" s="1">
        <f ca="1">SUM(DF794:DF797)</f>
        <v>38</v>
      </c>
      <c r="DH793" s="3" t="s">
        <v>7</v>
      </c>
      <c r="DI793" s="1">
        <f>SUM(DM2:DM789)</f>
        <v>61</v>
      </c>
      <c r="DK793" s="1">
        <f ca="1">INDIRECT(DE$799&amp;DN793)</f>
        <v>44</v>
      </c>
      <c r="DN793" s="1">
        <f ca="1">IF(ISBLANK(INDIRECT(DE$799&amp;DN792-1)), LOOKUP(2,1 / (DN$2:(INDIRECT(DE$799&amp;DN792-2)) &lt;&gt; ""),ROW(DN$2:(INDIRECT(DE$799&amp;DN792-2)))),LOOKUP(2,1 / (DN$2:(INDIRECT(DE$799&amp;DN792-1)) &lt;&gt; ""),ROW(DN$2:(INDIRECT(DE$799&amp;DN792-1)))))</f>
        <v>58</v>
      </c>
      <c r="DQ793" s="3" t="s">
        <v>8</v>
      </c>
      <c r="DR793" s="1">
        <f ca="1">SUM(DR794:DR797)</f>
        <v>38</v>
      </c>
      <c r="DT793" s="3" t="s">
        <v>7</v>
      </c>
      <c r="DU793" s="1">
        <f>SUM(DY2:DY789)</f>
        <v>41</v>
      </c>
      <c r="DW793" s="1">
        <f ca="1">INDIRECT(DQ$799&amp;DZ793)</f>
        <v>44</v>
      </c>
      <c r="DZ793" s="1">
        <f ca="1">IF(ISBLANK(INDIRECT(DQ$799&amp;DZ792-1)), LOOKUP(2,1 / (DZ$2:(INDIRECT(DQ$799&amp;DZ792-2)) &lt;&gt; ""),ROW(DZ$2:(INDIRECT(DQ$799&amp;DZ792-2)))),LOOKUP(2,1 / (DZ$2:(INDIRECT(DQ$799&amp;DZ792-1)) &lt;&gt; ""),ROW(DZ$2:(INDIRECT(DQ$799&amp;DZ792-1)))))</f>
        <v>58</v>
      </c>
      <c r="EC793" s="3" t="s">
        <v>8</v>
      </c>
      <c r="ED793" s="1">
        <f ca="1">SUM(ED794:ED797)</f>
        <v>38</v>
      </c>
      <c r="EF793" s="3" t="s">
        <v>7</v>
      </c>
      <c r="EG793" s="1">
        <f>SUM(EK2:EK789)</f>
        <v>85</v>
      </c>
      <c r="EI793" s="1">
        <f ca="1">INDIRECT(EC$799&amp;EL793)</f>
        <v>44</v>
      </c>
      <c r="EL793" s="1">
        <f ca="1">IF(ISBLANK(INDIRECT(EC$799&amp;EL792-1)), LOOKUP(2,1 / (EL$2:(INDIRECT(EC$799&amp;EL792-2)) &lt;&gt; ""),ROW(EL$2:(INDIRECT(EC$799&amp;EL792-2)))),LOOKUP(2,1 / (EL$2:(INDIRECT(EC$799&amp;EL792-1)) &lt;&gt; ""),ROW(EL$2:(INDIRECT(EC$799&amp;EL792-1)))))</f>
        <v>58</v>
      </c>
      <c r="EO793" s="3" t="s">
        <v>8</v>
      </c>
      <c r="EP793" s="1">
        <f ca="1">SUM(EP794:EP797)</f>
        <v>38</v>
      </c>
      <c r="ER793" s="3" t="s">
        <v>7</v>
      </c>
      <c r="ES793" s="1">
        <f>SUM(EW2:EW789)</f>
        <v>34</v>
      </c>
      <c r="EU793" s="1">
        <f ca="1">INDIRECT(EO$799&amp;EX793)</f>
        <v>44</v>
      </c>
      <c r="EX793" s="1">
        <f ca="1">IF(ISBLANK(INDIRECT(EO$799&amp;EX792-1)), LOOKUP(2,1 / (EX$2:(INDIRECT(EO$799&amp;EX792-2)) &lt;&gt; ""),ROW(EX$2:(INDIRECT(EO$799&amp;EX792-2)))),LOOKUP(2,1 / (EX$2:(INDIRECT(EO$799&amp;EX792-1)) &lt;&gt; ""),ROW(EX$2:(INDIRECT(EO$799&amp;EX792-1)))))</f>
        <v>58</v>
      </c>
      <c r="FA793" s="3" t="s">
        <v>8</v>
      </c>
      <c r="FB793" s="1">
        <f ca="1">SUM(FB794:FB797)</f>
        <v>38</v>
      </c>
      <c r="FD793" s="3" t="s">
        <v>7</v>
      </c>
      <c r="FE793" s="1">
        <f>SUM(FI2:FI789)</f>
        <v>58</v>
      </c>
      <c r="FG793" s="1">
        <f ca="1">INDIRECT(FA$799&amp;FJ793)</f>
        <v>44</v>
      </c>
      <c r="FJ793" s="1">
        <f ca="1">IF(ISBLANK(INDIRECT(FA$799&amp;FJ792-1)), LOOKUP(2,1 / (FJ$2:(INDIRECT(FA$799&amp;FJ792-2)) &lt;&gt; ""),ROW(FJ$2:(INDIRECT(FA$799&amp;FJ792-2)))),LOOKUP(2,1 / (FJ$2:(INDIRECT(FA$799&amp;FJ792-1)) &lt;&gt; ""),ROW(FJ$2:(INDIRECT(FA$799&amp;FJ792-1)))))</f>
        <v>58</v>
      </c>
      <c r="FM793" s="3" t="s">
        <v>8</v>
      </c>
      <c r="FN793" s="1">
        <f ca="1">SUM(FN794:FN797)</f>
        <v>38</v>
      </c>
      <c r="FP793" s="3" t="s">
        <v>7</v>
      </c>
      <c r="FQ793" s="1">
        <f>SUM(FU2:FU789)</f>
        <v>62</v>
      </c>
      <c r="FS793" s="1">
        <f ca="1">INDIRECT(FM$799&amp;FV793)</f>
        <v>44</v>
      </c>
      <c r="FV793" s="1">
        <f ca="1">IF(ISBLANK(INDIRECT(FM$799&amp;FV792-1)), LOOKUP(2,1 / (FV$2:(INDIRECT(FM$799&amp;FV792-2)) &lt;&gt; ""),ROW(FV$2:(INDIRECT(FM$799&amp;FV792-2)))),LOOKUP(2,1 / (FV$2:(INDIRECT(FM$799&amp;FV792-1)) &lt;&gt; ""),ROW(FV$2:(INDIRECT(FM$799&amp;FV792-1)))))</f>
        <v>58</v>
      </c>
      <c r="FY793" s="3" t="s">
        <v>8</v>
      </c>
      <c r="FZ793" s="1">
        <f ca="1">SUM(FZ794:FZ797)</f>
        <v>38</v>
      </c>
      <c r="GB793" s="3" t="s">
        <v>7</v>
      </c>
      <c r="GC793" s="1">
        <f>SUM(GG2:GG789)</f>
        <v>67</v>
      </c>
      <c r="GE793" s="1">
        <f ca="1">INDIRECT(FY$799&amp;GH793)</f>
        <v>44</v>
      </c>
      <c r="GH793" s="1">
        <f ca="1">IF(ISBLANK(INDIRECT(FY$799&amp;GH792-1)), LOOKUP(2,1 / (GH$2:(INDIRECT(FY$799&amp;GH792-2)) &lt;&gt; ""),ROW(GH$2:(INDIRECT(FY$799&amp;GH792-2)))),LOOKUP(2,1 / (GH$2:(INDIRECT(FY$799&amp;GH792-1)) &lt;&gt; ""),ROW(GH$2:(INDIRECT(FY$799&amp;GH792-1)))))</f>
        <v>58</v>
      </c>
      <c r="GK793" s="3" t="s">
        <v>8</v>
      </c>
      <c r="GL793" s="1">
        <f ca="1">SUM(GL794:GL797)</f>
        <v>38</v>
      </c>
      <c r="GN793" s="3" t="s">
        <v>7</v>
      </c>
      <c r="GO793" s="1">
        <f>SUM(GS2:GS789)</f>
        <v>104</v>
      </c>
      <c r="GQ793" s="1">
        <f ca="1">INDIRECT(GK$799&amp;GT793)</f>
        <v>44</v>
      </c>
      <c r="GT793" s="1">
        <f ca="1">IF(ISBLANK(INDIRECT(GK$799&amp;GT792-1)), LOOKUP(2,1 / (GT$2:(INDIRECT(GK$799&amp;GT792-2)) &lt;&gt; ""),ROW(GT$2:(INDIRECT(GK$799&amp;GT792-2)))),LOOKUP(2,1 / (GT$2:(INDIRECT(GK$799&amp;GT792-1)) &lt;&gt; ""),ROW(GT$2:(INDIRECT(GK$799&amp;GT792-1)))))</f>
        <v>58</v>
      </c>
      <c r="GW793" s="3" t="s">
        <v>8</v>
      </c>
      <c r="GX793" s="1">
        <f ca="1">SUM(GX794:GX797)</f>
        <v>38</v>
      </c>
      <c r="GZ793" s="3" t="s">
        <v>7</v>
      </c>
      <c r="HA793" s="1">
        <f>SUM(HE2:HE789)</f>
        <v>61</v>
      </c>
      <c r="HC793" s="1">
        <f ca="1">INDIRECT(GW$799&amp;HF793)</f>
        <v>45</v>
      </c>
      <c r="HF793" s="1">
        <f ca="1">IF(ISBLANK(INDIRECT(GW$799&amp;HF792-1)), LOOKUP(2,1 / (HF$2:(INDIRECT(GW$799&amp;HF792-2)) &lt;&gt; ""),ROW(HF$2:(INDIRECT(GW$799&amp;HF792-2)))),LOOKUP(2,1 / (HF$2:(INDIRECT(GW$799&amp;HF792-1)) &lt;&gt; ""),ROW(HF$2:(INDIRECT(GW$799&amp;HF792-1)))))</f>
        <v>58</v>
      </c>
      <c r="HI793" s="3" t="s">
        <v>8</v>
      </c>
      <c r="HJ793" s="1">
        <f ca="1">SUM(HJ794:HJ797)</f>
        <v>38</v>
      </c>
      <c r="HL793" s="3" t="s">
        <v>7</v>
      </c>
      <c r="HM793" s="1">
        <f>SUM(HQ2:HQ789)</f>
        <v>74</v>
      </c>
      <c r="HO793" s="1">
        <f ca="1">INDIRECT(HI$799&amp;HR793)</f>
        <v>44</v>
      </c>
      <c r="HR793" s="1">
        <f ca="1">IF(ISBLANK(INDIRECT(HI$799&amp;HR792-1)), LOOKUP(2,1 / (HR$2:(INDIRECT(HI$799&amp;HR792-2)) &lt;&gt; ""),ROW(HR$2:(INDIRECT(HI$799&amp;HR792-2)))),LOOKUP(2,1 / (HR$2:(INDIRECT(HI$799&amp;HR792-1)) &lt;&gt; ""),ROW(HR$2:(INDIRECT(HI$799&amp;HR792-1)))))</f>
        <v>58</v>
      </c>
      <c r="HU793" s="3" t="s">
        <v>8</v>
      </c>
      <c r="HV793" s="1">
        <f ca="1">SUM(HV794:HV797)</f>
        <v>38</v>
      </c>
      <c r="HX793" s="3" t="s">
        <v>7</v>
      </c>
      <c r="HY793" s="1">
        <f>SUM(IC2:IC789)</f>
        <v>65</v>
      </c>
      <c r="IA793" s="1">
        <f ca="1">INDIRECT(HU$799&amp;ID793)</f>
        <v>44</v>
      </c>
      <c r="ID793" s="1">
        <f ca="1">IF(ISBLANK(INDIRECT(HU$799&amp;ID792-1)), LOOKUP(2,1 / (ID$2:(INDIRECT(HU$799&amp;ID792-2)) &lt;&gt; ""),ROW(ID$2:(INDIRECT(HU$799&amp;ID792-2)))),LOOKUP(2,1 / (ID$2:(INDIRECT(HU$799&amp;ID792-1)) &lt;&gt; ""),ROW(ID$2:(INDIRECT(HU$799&amp;ID792-1)))))</f>
        <v>58</v>
      </c>
    </row>
    <row r="794" spans="1:239" hidden="1" x14ac:dyDescent="0.25">
      <c r="A794" s="3" t="s">
        <v>6</v>
      </c>
      <c r="B794" s="1">
        <f ca="1">COUNTIF(J2:J789,"W")</f>
        <v>28</v>
      </c>
      <c r="D794" s="3" t="s">
        <v>5</v>
      </c>
      <c r="E794" s="1">
        <f ca="1">E792 - E793</f>
        <v>62</v>
      </c>
      <c r="G794" s="1">
        <f ca="1">INDIRECT(A$799&amp;J794)</f>
        <v>45</v>
      </c>
      <c r="J794" s="1">
        <f ca="1">IF(ISBLANK(INDIRECT(A$799&amp;J793-1)), LOOKUP(2,1 / (J$2:(INDIRECT(A$799&amp;J793-2)) &lt;&gt; ""),ROW(J$2:(INDIRECT(A$799&amp;J793-2)))),LOOKUP(2,1 / (J$2:(INDIRECT(A$799&amp;J793-1)) &lt;&gt; ""),ROW(J$2:(INDIRECT(A$799&amp;J793-1)))))</f>
        <v>57</v>
      </c>
      <c r="M794" s="3" t="s">
        <v>6</v>
      </c>
      <c r="N794" s="1">
        <f ca="1">COUNTIF(V2:V789,"W")</f>
        <v>20</v>
      </c>
      <c r="P794" s="3" t="s">
        <v>5</v>
      </c>
      <c r="Q794" s="1">
        <f ca="1">Q792 - Q793</f>
        <v>15</v>
      </c>
      <c r="S794" s="1">
        <f ca="1">INDIRECT(M$799&amp;V794)</f>
        <v>45</v>
      </c>
      <c r="V794" s="1">
        <f ca="1">IF(ISBLANK(INDIRECT(M$799&amp;V793-1)), LOOKUP(2,1 / (V$2:(INDIRECT(M$799&amp;V793-2)) &lt;&gt; ""),ROW(V$2:(INDIRECT(M$799&amp;V793-2)))),LOOKUP(2,1 / (V$2:(INDIRECT(M$799&amp;V793-1)) &lt;&gt; ""),ROW(V$2:(INDIRECT(M$799&amp;V793-1)))))</f>
        <v>57</v>
      </c>
      <c r="Y794" s="3" t="s">
        <v>6</v>
      </c>
      <c r="Z794" s="1">
        <f ca="1">COUNTIF(AH2:AH789,"W")</f>
        <v>13</v>
      </c>
      <c r="AB794" s="3" t="s">
        <v>5</v>
      </c>
      <c r="AC794" s="1">
        <f ca="1">AC792 - AC793</f>
        <v>-13</v>
      </c>
      <c r="AE794" s="1">
        <f ca="1">INDIRECT(Y$799&amp;AH794)</f>
        <v>45</v>
      </c>
      <c r="AH794" s="1">
        <f ca="1">IF(ISBLANK(INDIRECT(Y$799&amp;AH793-1)), LOOKUP(2,1 / (AH$2:(INDIRECT(Y$799&amp;AH793-2)) &lt;&gt; ""),ROW(AH$2:(INDIRECT(Y$799&amp;AH793-2)))),LOOKUP(2,1 / (AH$2:(INDIRECT(Y$799&amp;AH793-1)) &lt;&gt; ""),ROW(AH$2:(INDIRECT(Y$799&amp;AH793-1)))))</f>
        <v>57</v>
      </c>
      <c r="AK794" s="3" t="s">
        <v>6</v>
      </c>
      <c r="AL794" s="1">
        <f ca="1">COUNTIF(AT2:AT789,"W")</f>
        <v>10</v>
      </c>
      <c r="AN794" s="3" t="s">
        <v>5</v>
      </c>
      <c r="AO794" s="1">
        <f ca="1">AO792 - AO793</f>
        <v>-9</v>
      </c>
      <c r="AQ794" s="1">
        <f ca="1">INDIRECT(AK$799&amp;AT794)</f>
        <v>45</v>
      </c>
      <c r="AT794" s="1">
        <f ca="1">IF(ISBLANK(INDIRECT(AK$799&amp;AT793-1)), LOOKUP(2,1 / (AT$2:(INDIRECT(AK$799&amp;AT793-2)) &lt;&gt; ""),ROW(AT$2:(INDIRECT(AK$799&amp;AT793-2)))),LOOKUP(2,1 / (AT$2:(INDIRECT(AK$799&amp;AT793-1)) &lt;&gt; ""),ROW(AT$2:(INDIRECT(AK$799&amp;AT793-1)))))</f>
        <v>57</v>
      </c>
      <c r="AW794" s="3" t="s">
        <v>6</v>
      </c>
      <c r="AX794" s="1">
        <f ca="1">COUNTIF(BF2:BF789,"W")</f>
        <v>12</v>
      </c>
      <c r="AZ794" s="3" t="s">
        <v>5</v>
      </c>
      <c r="BA794" s="1">
        <f ca="1">BA792 - BA793</f>
        <v>-7</v>
      </c>
      <c r="BC794" s="1">
        <f ca="1">INDIRECT(AW$799&amp;BF794)</f>
        <v>46</v>
      </c>
      <c r="BF794" s="1">
        <f ca="1">IF(ISBLANK(INDIRECT(AW$799&amp;BF793-1)), LOOKUP(2,1 / (BF$2:(INDIRECT(AW$799&amp;BF793-2)) &lt;&gt; ""),ROW(BF$2:(INDIRECT(AW$799&amp;BF793-2)))),LOOKUP(2,1 / (BF$2:(INDIRECT(AW$799&amp;BF793-1)) &lt;&gt; ""),ROW(BF$2:(INDIRECT(AW$799&amp;BF793-1)))))</f>
        <v>57</v>
      </c>
      <c r="BI794" s="3" t="s">
        <v>6</v>
      </c>
      <c r="BJ794" s="1">
        <f ca="1">COUNTIF(BR2:BR789,"W")</f>
        <v>5</v>
      </c>
      <c r="BL794" s="3" t="s">
        <v>5</v>
      </c>
      <c r="BM794" s="1">
        <f ca="1">BM792 - BM793</f>
        <v>-37</v>
      </c>
      <c r="BO794" s="1">
        <f ca="1">INDIRECT(BI$799&amp;BR794)</f>
        <v>45</v>
      </c>
      <c r="BR794" s="1">
        <f ca="1">IF(ISBLANK(INDIRECT(BI$799&amp;BR793-1)), LOOKUP(2,1 / (BR$2:(INDIRECT(BI$799&amp;BR793-2)) &lt;&gt; ""),ROW(BR$2:(INDIRECT(BI$799&amp;BR793-2)))),LOOKUP(2,1 / (BR$2:(INDIRECT(BI$799&amp;BR793-1)) &lt;&gt; ""),ROW(BR$2:(INDIRECT(BI$799&amp;BR793-1)))))</f>
        <v>57</v>
      </c>
      <c r="BU794" s="3" t="s">
        <v>6</v>
      </c>
      <c r="BV794" s="1">
        <f ca="1">COUNTIF(CD2:CD789,"W")</f>
        <v>18</v>
      </c>
      <c r="BX794" s="3" t="s">
        <v>5</v>
      </c>
      <c r="BY794" s="1">
        <f ca="1">BY792 - BY793</f>
        <v>14</v>
      </c>
      <c r="CA794" s="1">
        <f ca="1">INDIRECT(BU$799&amp;CD794)</f>
        <v>46</v>
      </c>
      <c r="CD794" s="1">
        <f ca="1">IF(ISBLANK(INDIRECT(BU$799&amp;CD793-1)), LOOKUP(2,1 / (CD$2:(INDIRECT(BU$799&amp;CD793-2)) &lt;&gt; ""),ROW(CD$2:(INDIRECT(BU$799&amp;CD793-2)))),LOOKUP(2,1 / (CD$2:(INDIRECT(BU$799&amp;CD793-1)) &lt;&gt; ""),ROW(CD$2:(INDIRECT(BU$799&amp;CD793-1)))))</f>
        <v>57</v>
      </c>
      <c r="CG794" s="3" t="s">
        <v>6</v>
      </c>
      <c r="CH794" s="1">
        <f ca="1">COUNTIF(CP2:CP789,"W")</f>
        <v>13</v>
      </c>
      <c r="CJ794" s="3" t="s">
        <v>5</v>
      </c>
      <c r="CK794" s="1">
        <f ca="1">CK792 - CK793</f>
        <v>-1</v>
      </c>
      <c r="CM794" s="1">
        <f ca="1">INDIRECT(CG$799&amp;CP794)</f>
        <v>45</v>
      </c>
      <c r="CP794" s="1">
        <f ca="1">IF(ISBLANK(INDIRECT(CG$799&amp;CP793-1)), LOOKUP(2,1 / (CP$2:(INDIRECT(CG$799&amp;CP793-2)) &lt;&gt; ""),ROW(CP$2:(INDIRECT(CG$799&amp;CP793-2)))),LOOKUP(2,1 / (CP$2:(INDIRECT(CG$799&amp;CP793-1)) &lt;&gt; ""),ROW(CP$2:(INDIRECT(CG$799&amp;CP793-1)))))</f>
        <v>57</v>
      </c>
      <c r="CS794" s="3" t="s">
        <v>6</v>
      </c>
      <c r="CT794" s="1">
        <f ca="1">COUNTIF(DB2:DB789,"W")</f>
        <v>13</v>
      </c>
      <c r="CV794" s="3" t="s">
        <v>5</v>
      </c>
      <c r="CW794" s="1">
        <f ca="1">CW792 - CW793</f>
        <v>-11</v>
      </c>
      <c r="CY794" s="1">
        <f ca="1">INDIRECT(CS$799&amp;DB794)</f>
        <v>45</v>
      </c>
      <c r="DB794" s="1">
        <f ca="1">IF(ISBLANK(INDIRECT(CS$799&amp;DB793-1)), LOOKUP(2,1 / (DB$2:(INDIRECT(CS$799&amp;DB793-2)) &lt;&gt; ""),ROW(DB$2:(INDIRECT(CS$799&amp;DB793-2)))),LOOKUP(2,1 / (DB$2:(INDIRECT(CS$799&amp;DB793-1)) &lt;&gt; ""),ROW(DB$2:(INDIRECT(CS$799&amp;DB793-1)))))</f>
        <v>57</v>
      </c>
      <c r="DE794" s="3" t="s">
        <v>6</v>
      </c>
      <c r="DF794" s="1">
        <f ca="1">COUNTIF(DN2:DN789,"W")</f>
        <v>13</v>
      </c>
      <c r="DH794" s="3" t="s">
        <v>5</v>
      </c>
      <c r="DI794" s="1">
        <f ca="1">DI792 - DI793</f>
        <v>-6</v>
      </c>
      <c r="DK794" s="1">
        <f ca="1">INDIRECT(DE$799&amp;DN794)</f>
        <v>45</v>
      </c>
      <c r="DN794" s="1">
        <f ca="1">IF(ISBLANK(INDIRECT(DE$799&amp;DN793-1)), LOOKUP(2,1 / (DN$2:(INDIRECT(DE$799&amp;DN793-2)) &lt;&gt; ""),ROW(DN$2:(INDIRECT(DE$799&amp;DN793-2)))),LOOKUP(2,1 / (DN$2:(INDIRECT(DE$799&amp;DN793-1)) &lt;&gt; ""),ROW(DN$2:(INDIRECT(DE$799&amp;DN793-1)))))</f>
        <v>57</v>
      </c>
      <c r="DQ794" s="3" t="s">
        <v>6</v>
      </c>
      <c r="DR794" s="1">
        <f ca="1">COUNTIF(DZ2:DZ789,"W")</f>
        <v>24</v>
      </c>
      <c r="DT794" s="3" t="s">
        <v>5</v>
      </c>
      <c r="DU794" s="1">
        <f ca="1">DU792 - DU793</f>
        <v>45</v>
      </c>
      <c r="DW794" s="1">
        <f ca="1">INDIRECT(DQ$799&amp;DZ794)</f>
        <v>45</v>
      </c>
      <c r="DZ794" s="1">
        <f ca="1">IF(ISBLANK(INDIRECT(DQ$799&amp;DZ793-1)), LOOKUP(2,1 / (DZ$2:(INDIRECT(DQ$799&amp;DZ793-2)) &lt;&gt; ""),ROW(DZ$2:(INDIRECT(DQ$799&amp;DZ793-2)))),LOOKUP(2,1 / (DZ$2:(INDIRECT(DQ$799&amp;DZ793-1)) &lt;&gt; ""),ROW(DZ$2:(INDIRECT(DQ$799&amp;DZ793-1)))))</f>
        <v>57</v>
      </c>
      <c r="EC794" s="3" t="s">
        <v>6</v>
      </c>
      <c r="ED794" s="1">
        <f ca="1">COUNTIF(EL2:EL789,"W")</f>
        <v>6</v>
      </c>
      <c r="EF794" s="3" t="s">
        <v>5</v>
      </c>
      <c r="EG794" s="1">
        <f ca="1">EG792 - EG793</f>
        <v>-33</v>
      </c>
      <c r="EI794" s="1">
        <f ca="1">INDIRECT(EC$799&amp;EL794)</f>
        <v>45</v>
      </c>
      <c r="EL794" s="1">
        <f ca="1">IF(ISBLANK(INDIRECT(EC$799&amp;EL793-1)), LOOKUP(2,1 / (EL$2:(INDIRECT(EC$799&amp;EL793-2)) &lt;&gt; ""),ROW(EL$2:(INDIRECT(EC$799&amp;EL793-2)))),LOOKUP(2,1 / (EL$2:(INDIRECT(EC$799&amp;EL793-1)) &lt;&gt; ""),ROW(EL$2:(INDIRECT(EC$799&amp;EL793-1)))))</f>
        <v>57</v>
      </c>
      <c r="EO794" s="3" t="s">
        <v>6</v>
      </c>
      <c r="EP794" s="1">
        <f ca="1">COUNTIF(EX2:EX789,"W")</f>
        <v>28</v>
      </c>
      <c r="ER794" s="3" t="s">
        <v>5</v>
      </c>
      <c r="ES794" s="1">
        <f ca="1">ES792 - ES793</f>
        <v>62</v>
      </c>
      <c r="EU794" s="1">
        <f ca="1">INDIRECT(EO$799&amp;EX794)</f>
        <v>46</v>
      </c>
      <c r="EX794" s="1">
        <f ca="1">IF(ISBLANK(INDIRECT(EO$799&amp;EX793-1)), LOOKUP(2,1 / (EX$2:(INDIRECT(EO$799&amp;EX793-2)) &lt;&gt; ""),ROW(EX$2:(INDIRECT(EO$799&amp;EX793-2)))),LOOKUP(2,1 / (EX$2:(INDIRECT(EO$799&amp;EX793-1)) &lt;&gt; ""),ROW(EX$2:(INDIRECT(EO$799&amp;EX793-1)))))</f>
        <v>57</v>
      </c>
      <c r="FA794" s="3" t="s">
        <v>6</v>
      </c>
      <c r="FB794" s="1">
        <f ca="1">COUNTIF(FJ2:FJ789,"W")</f>
        <v>18</v>
      </c>
      <c r="FD794" s="3" t="s">
        <v>5</v>
      </c>
      <c r="FE794" s="1">
        <f ca="1">FE792 - FE793</f>
        <v>-1</v>
      </c>
      <c r="FG794" s="1">
        <f ca="1">INDIRECT(FA$799&amp;FJ794)</f>
        <v>46</v>
      </c>
      <c r="FJ794" s="1">
        <f ca="1">IF(ISBLANK(INDIRECT(FA$799&amp;FJ793-1)), LOOKUP(2,1 / (FJ$2:(INDIRECT(FA$799&amp;FJ793-2)) &lt;&gt; ""),ROW(FJ$2:(INDIRECT(FA$799&amp;FJ793-2)))),LOOKUP(2,1 / (FJ$2:(INDIRECT(FA$799&amp;FJ793-1)) &lt;&gt; ""),ROW(FJ$2:(INDIRECT(FA$799&amp;FJ793-1)))))</f>
        <v>57</v>
      </c>
      <c r="FM794" s="3" t="s">
        <v>6</v>
      </c>
      <c r="FN794" s="1">
        <f ca="1">COUNTIF(FV2:FV789,"W")</f>
        <v>18</v>
      </c>
      <c r="FP794" s="3" t="s">
        <v>5</v>
      </c>
      <c r="FQ794" s="1">
        <f ca="1">FQ792 - FQ793</f>
        <v>23</v>
      </c>
      <c r="FS794" s="1">
        <f ca="1">INDIRECT(FM$799&amp;FV794)</f>
        <v>46</v>
      </c>
      <c r="FV794" s="1">
        <f ca="1">IF(ISBLANK(INDIRECT(FM$799&amp;FV793-1)), LOOKUP(2,1 / (FV$2:(INDIRECT(FM$799&amp;FV793-2)) &lt;&gt; ""),ROW(FV$2:(INDIRECT(FM$799&amp;FV793-2)))),LOOKUP(2,1 / (FV$2:(INDIRECT(FM$799&amp;FV793-1)) &lt;&gt; ""),ROW(FV$2:(INDIRECT(FM$799&amp;FV793-1)))))</f>
        <v>57</v>
      </c>
      <c r="FY794" s="3" t="s">
        <v>6</v>
      </c>
      <c r="FZ794" s="1">
        <f ca="1">COUNTIF(GH2:GH789,"W")</f>
        <v>9</v>
      </c>
      <c r="GB794" s="3" t="s">
        <v>5</v>
      </c>
      <c r="GC794" s="1">
        <f ca="1">GC792 - GC793</f>
        <v>-18</v>
      </c>
      <c r="GE794" s="1">
        <f ca="1">INDIRECT(FY$799&amp;GH794)</f>
        <v>45</v>
      </c>
      <c r="GH794" s="1">
        <f ca="1">IF(ISBLANK(INDIRECT(FY$799&amp;GH793-1)), LOOKUP(2,1 / (GH$2:(INDIRECT(FY$799&amp;GH793-2)) &lt;&gt; ""),ROW(GH$2:(INDIRECT(FY$799&amp;GH793-2)))),LOOKUP(2,1 / (GH$2:(INDIRECT(FY$799&amp;GH793-1)) &lt;&gt; ""),ROW(GH$2:(INDIRECT(FY$799&amp;GH793-1)))))</f>
        <v>57</v>
      </c>
      <c r="GK794" s="3" t="s">
        <v>6</v>
      </c>
      <c r="GL794" s="1">
        <f ca="1">COUNTIF(GT2:GT789,"W")</f>
        <v>3</v>
      </c>
      <c r="GN794" s="3" t="s">
        <v>5</v>
      </c>
      <c r="GO794" s="1">
        <f ca="1">GO792 - GO793</f>
        <v>-69</v>
      </c>
      <c r="GQ794" s="1">
        <f ca="1">INDIRECT(GK$799&amp;GT794)</f>
        <v>45</v>
      </c>
      <c r="GT794" s="1">
        <f ca="1">IF(ISBLANK(INDIRECT(GK$799&amp;GT793-1)), LOOKUP(2,1 / (GT$2:(INDIRECT(GK$799&amp;GT793-2)) &lt;&gt; ""),ROW(GT$2:(INDIRECT(GK$799&amp;GT793-2)))),LOOKUP(2,1 / (GT$2:(INDIRECT(GK$799&amp;GT793-1)) &lt;&gt; ""),ROW(GT$2:(INDIRECT(GK$799&amp;GT793-1)))))</f>
        <v>57</v>
      </c>
      <c r="GW794" s="3" t="s">
        <v>6</v>
      </c>
      <c r="GX794" s="1">
        <f ca="1">COUNTIF(HF2:HF789,"W")</f>
        <v>20</v>
      </c>
      <c r="GZ794" s="3" t="s">
        <v>5</v>
      </c>
      <c r="HA794" s="1">
        <f ca="1">HA792 - HA793</f>
        <v>13</v>
      </c>
      <c r="HC794" s="1">
        <f ca="1">INDIRECT(GW$799&amp;HF794)</f>
        <v>46</v>
      </c>
      <c r="HF794" s="1">
        <f ca="1">IF(ISBLANK(INDIRECT(GW$799&amp;HF793-1)), LOOKUP(2,1 / (HF$2:(INDIRECT(GW$799&amp;HF793-2)) &lt;&gt; ""),ROW(HF$2:(INDIRECT(GW$799&amp;HF793-2)))),LOOKUP(2,1 / (HF$2:(INDIRECT(GW$799&amp;HF793-1)) &lt;&gt; ""),ROW(HF$2:(INDIRECT(GW$799&amp;HF793-1)))))</f>
        <v>57</v>
      </c>
      <c r="HI794" s="3" t="s">
        <v>6</v>
      </c>
      <c r="HJ794" s="1">
        <f ca="1">COUNTIF(HR2:HR789,"W")</f>
        <v>14</v>
      </c>
      <c r="HL794" s="3" t="s">
        <v>5</v>
      </c>
      <c r="HM794" s="1">
        <f ca="1">HM792 - HM793</f>
        <v>-14</v>
      </c>
      <c r="HO794" s="1">
        <f ca="1">INDIRECT(HI$799&amp;HR794)</f>
        <v>45</v>
      </c>
      <c r="HR794" s="1">
        <f ca="1">IF(ISBLANK(INDIRECT(HI$799&amp;HR793-1)), LOOKUP(2,1 / (HR$2:(INDIRECT(HI$799&amp;HR793-2)) &lt;&gt; ""),ROW(HR$2:(INDIRECT(HI$799&amp;HR793-2)))),LOOKUP(2,1 / (HR$2:(INDIRECT(HI$799&amp;HR793-1)) &lt;&gt; ""),ROW(HR$2:(INDIRECT(HI$799&amp;HR793-1)))))</f>
        <v>57</v>
      </c>
      <c r="HU794" s="3" t="s">
        <v>6</v>
      </c>
      <c r="HV794" s="1">
        <f ca="1">COUNTIF(ID2:ID789,"W")</f>
        <v>13</v>
      </c>
      <c r="HX794" s="3" t="s">
        <v>5</v>
      </c>
      <c r="HY794" s="1">
        <f ca="1">HY792 - HY793</f>
        <v>-15</v>
      </c>
      <c r="IA794" s="1">
        <f ca="1">INDIRECT(HU$799&amp;ID794)</f>
        <v>45</v>
      </c>
      <c r="ID794" s="1">
        <f ca="1">IF(ISBLANK(INDIRECT(HU$799&amp;ID793-1)), LOOKUP(2,1 / (ID$2:(INDIRECT(HU$799&amp;ID793-2)) &lt;&gt; ""),ROW(ID$2:(INDIRECT(HU$799&amp;ID793-2)))),LOOKUP(2,1 / (ID$2:(INDIRECT(HU$799&amp;ID793-1)) &lt;&gt; ""),ROW(ID$2:(INDIRECT(HU$799&amp;ID793-1)))))</f>
        <v>57</v>
      </c>
    </row>
    <row r="795" spans="1:239" hidden="1" x14ac:dyDescent="0.25">
      <c r="A795" s="3" t="s">
        <v>4</v>
      </c>
      <c r="B795" s="1">
        <f ca="1">COUNTIF(J2:J789,"D")</f>
        <v>5</v>
      </c>
      <c r="D795" s="3" t="s">
        <v>3</v>
      </c>
      <c r="E795" s="1" t="str">
        <f ca="1">G792&amp;G793&amp;G794&amp;G795&amp;G796</f>
        <v>4944454748</v>
      </c>
      <c r="G795" s="1">
        <f ca="1">INDIRECT(A$799&amp;J795)</f>
        <v>47</v>
      </c>
      <c r="J795" s="1">
        <f ca="1">IF(ISBLANK(INDIRECT(A$799&amp;J794-1)), LOOKUP(2,1 / (J$2:(INDIRECT(A$799&amp;J794-2)) &lt;&gt; ""),ROW(J$2:(INDIRECT(A$799&amp;J794-2)))),LOOKUP(2,1 / (J$2:(INDIRECT(A$799&amp;J794-1)) &lt;&gt; ""),ROW(J$2:(INDIRECT(A$799&amp;J794-1)))))</f>
        <v>56</v>
      </c>
      <c r="M795" s="3" t="s">
        <v>4</v>
      </c>
      <c r="N795" s="1">
        <f ca="1">COUNTIF(V2:V789,"D")</f>
        <v>8</v>
      </c>
      <c r="P795" s="3" t="s">
        <v>3</v>
      </c>
      <c r="Q795" s="1" t="str">
        <f ca="1">S792&amp;S793&amp;S794&amp;S795&amp;S796</f>
        <v>4944454748</v>
      </c>
      <c r="S795" s="1">
        <f ca="1">INDIRECT(M$799&amp;V795)</f>
        <v>47</v>
      </c>
      <c r="V795" s="1">
        <f ca="1">IF(ISBLANK(INDIRECT(M$799&amp;V794-1)), LOOKUP(2,1 / (V$2:(INDIRECT(M$799&amp;V794-2)) &lt;&gt; ""),ROW(V$2:(INDIRECT(M$799&amp;V794-2)))),LOOKUP(2,1 / (V$2:(INDIRECT(M$799&amp;V794-1)) &lt;&gt; ""),ROW(V$2:(INDIRECT(M$799&amp;V794-1)))))</f>
        <v>56</v>
      </c>
      <c r="Y795" s="3" t="s">
        <v>4</v>
      </c>
      <c r="Z795" s="1">
        <f ca="1">COUNTIF(AH2:AH789,"D")</f>
        <v>9</v>
      </c>
      <c r="AB795" s="3" t="s">
        <v>3</v>
      </c>
      <c r="AC795" s="1" t="str">
        <f ca="1">AE792&amp;AE793&amp;AE794&amp;AE795&amp;AE796</f>
        <v>4944454748</v>
      </c>
      <c r="AE795" s="1">
        <f ca="1">INDIRECT(Y$799&amp;AH795)</f>
        <v>47</v>
      </c>
      <c r="AH795" s="1">
        <f ca="1">IF(ISBLANK(INDIRECT(Y$799&amp;AH794-1)), LOOKUP(2,1 / (AH$2:(INDIRECT(Y$799&amp;AH794-2)) &lt;&gt; ""),ROW(AH$2:(INDIRECT(Y$799&amp;AH794-2)))),LOOKUP(2,1 / (AH$2:(INDIRECT(Y$799&amp;AH794-1)) &lt;&gt; ""),ROW(AH$2:(INDIRECT(Y$799&amp;AH794-1)))))</f>
        <v>56</v>
      </c>
      <c r="AK795" s="3" t="s">
        <v>4</v>
      </c>
      <c r="AL795" s="1">
        <f ca="1">COUNTIF(AT2:AT789,"D")</f>
        <v>9</v>
      </c>
      <c r="AN795" s="3" t="s">
        <v>3</v>
      </c>
      <c r="AO795" s="1" t="str">
        <f ca="1">AQ792&amp;AQ793&amp;AQ794&amp;AQ795&amp;AQ796</f>
        <v>4944454748</v>
      </c>
      <c r="AQ795" s="1">
        <f ca="1">INDIRECT(AK$799&amp;AT795)</f>
        <v>47</v>
      </c>
      <c r="AT795" s="1">
        <f ca="1">IF(ISBLANK(INDIRECT(AK$799&amp;AT794-1)), LOOKUP(2,1 / (AT$2:(INDIRECT(AK$799&amp;AT794-2)) &lt;&gt; ""),ROW(AT$2:(INDIRECT(AK$799&amp;AT794-2)))),LOOKUP(2,1 / (AT$2:(INDIRECT(AK$799&amp;AT794-1)) &lt;&gt; ""),ROW(AT$2:(INDIRECT(AK$799&amp;AT794-1)))))</f>
        <v>56</v>
      </c>
      <c r="AW795" s="3" t="s">
        <v>4</v>
      </c>
      <c r="AX795" s="1">
        <f ca="1">COUNTIF(BF2:BF789,"D")</f>
        <v>12</v>
      </c>
      <c r="AZ795" s="3" t="s">
        <v>3</v>
      </c>
      <c r="BA795" s="1" t="str">
        <f ca="1">BC792&amp;BC793&amp;BC794&amp;BC795&amp;BC796</f>
        <v>4944464748</v>
      </c>
      <c r="BC795" s="1">
        <f ca="1">INDIRECT(AW$799&amp;BF795)</f>
        <v>47</v>
      </c>
      <c r="BF795" s="1">
        <f ca="1">IF(ISBLANK(INDIRECT(AW$799&amp;BF794-1)), LOOKUP(2,1 / (BF$2:(INDIRECT(AW$799&amp;BF794-2)) &lt;&gt; ""),ROW(BF$2:(INDIRECT(AW$799&amp;BF794-2)))),LOOKUP(2,1 / (BF$2:(INDIRECT(AW$799&amp;BF794-1)) &lt;&gt; ""),ROW(BF$2:(INDIRECT(AW$799&amp;BF794-1)))))</f>
        <v>56</v>
      </c>
      <c r="BI795" s="3" t="s">
        <v>4</v>
      </c>
      <c r="BJ795" s="1">
        <f ca="1">COUNTIF(BR2:BR789,"D")</f>
        <v>9</v>
      </c>
      <c r="BL795" s="3" t="s">
        <v>3</v>
      </c>
      <c r="BM795" s="1" t="str">
        <f ca="1">BO792&amp;BO793&amp;BO794&amp;BO795&amp;BO796</f>
        <v>4944454748</v>
      </c>
      <c r="BO795" s="1">
        <f ca="1">INDIRECT(BI$799&amp;BR795)</f>
        <v>47</v>
      </c>
      <c r="BR795" s="1">
        <f ca="1">IF(ISBLANK(INDIRECT(BI$799&amp;BR794-1)), LOOKUP(2,1 / (BR$2:(INDIRECT(BI$799&amp;BR794-2)) &lt;&gt; ""),ROW(BR$2:(INDIRECT(BI$799&amp;BR794-2)))),LOOKUP(2,1 / (BR$2:(INDIRECT(BI$799&amp;BR794-1)) &lt;&gt; ""),ROW(BR$2:(INDIRECT(BI$799&amp;BR794-1)))))</f>
        <v>56</v>
      </c>
      <c r="BU795" s="3" t="s">
        <v>4</v>
      </c>
      <c r="BV795" s="1">
        <f ca="1">COUNTIF(CD2:CD789,"D")</f>
        <v>9</v>
      </c>
      <c r="BX795" s="3" t="s">
        <v>3</v>
      </c>
      <c r="BY795" s="1" t="str">
        <f ca="1">CA792&amp;CA793&amp;CA794&amp;CA795&amp;CA796</f>
        <v>4945464748</v>
      </c>
      <c r="CA795" s="1">
        <f ca="1">INDIRECT(BU$799&amp;CD795)</f>
        <v>47</v>
      </c>
      <c r="CD795" s="1">
        <f ca="1">IF(ISBLANK(INDIRECT(BU$799&amp;CD794-1)), LOOKUP(2,1 / (CD$2:(INDIRECT(BU$799&amp;CD794-2)) &lt;&gt; ""),ROW(CD$2:(INDIRECT(BU$799&amp;CD794-2)))),LOOKUP(2,1 / (CD$2:(INDIRECT(BU$799&amp;CD794-1)) &lt;&gt; ""),ROW(CD$2:(INDIRECT(BU$799&amp;CD794-1)))))</f>
        <v>56</v>
      </c>
      <c r="CG795" s="3" t="s">
        <v>4</v>
      </c>
      <c r="CH795" s="1">
        <f ca="1">COUNTIF(CP2:CP789,"D")</f>
        <v>10</v>
      </c>
      <c r="CJ795" s="3" t="s">
        <v>3</v>
      </c>
      <c r="CK795" s="1" t="str">
        <f ca="1">CM792&amp;CM793&amp;CM794&amp;CM795&amp;CM796</f>
        <v>4944454748</v>
      </c>
      <c r="CM795" s="1">
        <f ca="1">INDIRECT(CG$799&amp;CP795)</f>
        <v>47</v>
      </c>
      <c r="CP795" s="1">
        <f ca="1">IF(ISBLANK(INDIRECT(CG$799&amp;CP794-1)), LOOKUP(2,1 / (CP$2:(INDIRECT(CG$799&amp;CP794-2)) &lt;&gt; ""),ROW(CP$2:(INDIRECT(CG$799&amp;CP794-2)))),LOOKUP(2,1 / (CP$2:(INDIRECT(CG$799&amp;CP794-1)) &lt;&gt; ""),ROW(CP$2:(INDIRECT(CG$799&amp;CP794-1)))))</f>
        <v>56</v>
      </c>
      <c r="CS795" s="3" t="s">
        <v>4</v>
      </c>
      <c r="CT795" s="1">
        <f ca="1">COUNTIF(DB2:DB789,"D")</f>
        <v>9</v>
      </c>
      <c r="CV795" s="3" t="s">
        <v>3</v>
      </c>
      <c r="CW795" s="1" t="str">
        <f ca="1">CY792&amp;CY793&amp;CY794&amp;CY795&amp;CY796</f>
        <v>4944454748</v>
      </c>
      <c r="CY795" s="1">
        <f ca="1">INDIRECT(CS$799&amp;DB795)</f>
        <v>47</v>
      </c>
      <c r="DB795" s="1">
        <f ca="1">IF(ISBLANK(INDIRECT(CS$799&amp;DB794-1)), LOOKUP(2,1 / (DB$2:(INDIRECT(CS$799&amp;DB794-2)) &lt;&gt; ""),ROW(DB$2:(INDIRECT(CS$799&amp;DB794-2)))),LOOKUP(2,1 / (DB$2:(INDIRECT(CS$799&amp;DB794-1)) &lt;&gt; ""),ROW(DB$2:(INDIRECT(CS$799&amp;DB794-1)))))</f>
        <v>56</v>
      </c>
      <c r="DE795" s="3" t="s">
        <v>4</v>
      </c>
      <c r="DF795" s="1">
        <f ca="1">COUNTIF(DN2:DN789,"D")</f>
        <v>8</v>
      </c>
      <c r="DH795" s="3" t="s">
        <v>3</v>
      </c>
      <c r="DI795" s="1" t="str">
        <f ca="1">DK792&amp;DK793&amp;DK794&amp;DK795&amp;DK796</f>
        <v>4944454748</v>
      </c>
      <c r="DK795" s="1">
        <f ca="1">INDIRECT(DE$799&amp;DN795)</f>
        <v>47</v>
      </c>
      <c r="DN795" s="1">
        <f ca="1">IF(ISBLANK(INDIRECT(DE$799&amp;DN794-1)), LOOKUP(2,1 / (DN$2:(INDIRECT(DE$799&amp;DN794-2)) &lt;&gt; ""),ROW(DN$2:(INDIRECT(DE$799&amp;DN794-2)))),LOOKUP(2,1 / (DN$2:(INDIRECT(DE$799&amp;DN794-1)) &lt;&gt; ""),ROW(DN$2:(INDIRECT(DE$799&amp;DN794-1)))))</f>
        <v>56</v>
      </c>
      <c r="DQ795" s="3" t="s">
        <v>4</v>
      </c>
      <c r="DR795" s="1">
        <f ca="1">COUNTIF(DZ2:DZ789,"D")</f>
        <v>10</v>
      </c>
      <c r="DT795" s="3" t="s">
        <v>3</v>
      </c>
      <c r="DU795" s="1" t="str">
        <f ca="1">DW792&amp;DW793&amp;DW794&amp;DW795&amp;DW796</f>
        <v>4944454748</v>
      </c>
      <c r="DW795" s="1">
        <f ca="1">INDIRECT(DQ$799&amp;DZ795)</f>
        <v>47</v>
      </c>
      <c r="DZ795" s="1">
        <f ca="1">IF(ISBLANK(INDIRECT(DQ$799&amp;DZ794-1)), LOOKUP(2,1 / (DZ$2:(INDIRECT(DQ$799&amp;DZ794-2)) &lt;&gt; ""),ROW(DZ$2:(INDIRECT(DQ$799&amp;DZ794-2)))),LOOKUP(2,1 / (DZ$2:(INDIRECT(DQ$799&amp;DZ794-1)) &lt;&gt; ""),ROW(DZ$2:(INDIRECT(DQ$799&amp;DZ794-1)))))</f>
        <v>56</v>
      </c>
      <c r="EC795" s="3" t="s">
        <v>4</v>
      </c>
      <c r="ED795" s="1">
        <f ca="1">COUNTIF(EL2:EL789,"D")</f>
        <v>8</v>
      </c>
      <c r="EF795" s="3" t="s">
        <v>3</v>
      </c>
      <c r="EG795" s="1" t="str">
        <f ca="1">EI792&amp;EI793&amp;EI794&amp;EI795&amp;EI796</f>
        <v>4944454748</v>
      </c>
      <c r="EI795" s="1">
        <f ca="1">INDIRECT(EC$799&amp;EL795)</f>
        <v>47</v>
      </c>
      <c r="EL795" s="1">
        <f ca="1">IF(ISBLANK(INDIRECT(EC$799&amp;EL794-1)), LOOKUP(2,1 / (EL$2:(INDIRECT(EC$799&amp;EL794-2)) &lt;&gt; ""),ROW(EL$2:(INDIRECT(EC$799&amp;EL794-2)))),LOOKUP(2,1 / (EL$2:(INDIRECT(EC$799&amp;EL794-1)) &lt;&gt; ""),ROW(EL$2:(INDIRECT(EC$799&amp;EL794-1)))))</f>
        <v>56</v>
      </c>
      <c r="EO795" s="3" t="s">
        <v>4</v>
      </c>
      <c r="EP795" s="1">
        <f ca="1">COUNTIF(EX2:EX789,"D")</f>
        <v>7</v>
      </c>
      <c r="ER795" s="3" t="s">
        <v>3</v>
      </c>
      <c r="ES795" s="1" t="str">
        <f ca="1">EU792&amp;EU793&amp;EU794&amp;EU795&amp;EU796</f>
        <v>4944464748</v>
      </c>
      <c r="EU795" s="1">
        <f ca="1">INDIRECT(EO$799&amp;EX795)</f>
        <v>47</v>
      </c>
      <c r="EX795" s="1">
        <f ca="1">IF(ISBLANK(INDIRECT(EO$799&amp;EX794-1)), LOOKUP(2,1 / (EX$2:(INDIRECT(EO$799&amp;EX794-2)) &lt;&gt; ""),ROW(EX$2:(INDIRECT(EO$799&amp;EX794-2)))),LOOKUP(2,1 / (EX$2:(INDIRECT(EO$799&amp;EX794-1)) &lt;&gt; ""),ROW(EX$2:(INDIRECT(EO$799&amp;EX794-1)))))</f>
        <v>56</v>
      </c>
      <c r="FA795" s="3" t="s">
        <v>4</v>
      </c>
      <c r="FB795" s="1">
        <f ca="1">COUNTIF(FJ2:FJ789,"D")</f>
        <v>6</v>
      </c>
      <c r="FD795" s="3" t="s">
        <v>3</v>
      </c>
      <c r="FE795" s="1" t="str">
        <f ca="1">FG792&amp;FG793&amp;FG794&amp;FG795&amp;FG796</f>
        <v>4944464748</v>
      </c>
      <c r="FG795" s="1">
        <f ca="1">INDIRECT(FA$799&amp;FJ795)</f>
        <v>47</v>
      </c>
      <c r="FJ795" s="1">
        <f ca="1">IF(ISBLANK(INDIRECT(FA$799&amp;FJ794-1)), LOOKUP(2,1 / (FJ$2:(INDIRECT(FA$799&amp;FJ794-2)) &lt;&gt; ""),ROW(FJ$2:(INDIRECT(FA$799&amp;FJ794-2)))),LOOKUP(2,1 / (FJ$2:(INDIRECT(FA$799&amp;FJ794-1)) &lt;&gt; ""),ROW(FJ$2:(INDIRECT(FA$799&amp;FJ794-1)))))</f>
        <v>56</v>
      </c>
      <c r="FM795" s="3" t="s">
        <v>4</v>
      </c>
      <c r="FN795" s="1">
        <f ca="1">COUNTIF(FV2:FV789,"D")</f>
        <v>6</v>
      </c>
      <c r="FP795" s="3" t="s">
        <v>3</v>
      </c>
      <c r="FQ795" s="1" t="str">
        <f ca="1">FS792&amp;FS793&amp;FS794&amp;FS795&amp;FS796</f>
        <v>4944464748</v>
      </c>
      <c r="FS795" s="1">
        <f ca="1">INDIRECT(FM$799&amp;FV795)</f>
        <v>47</v>
      </c>
      <c r="FV795" s="1">
        <f ca="1">IF(ISBLANK(INDIRECT(FM$799&amp;FV794-1)), LOOKUP(2,1 / (FV$2:(INDIRECT(FM$799&amp;FV794-2)) &lt;&gt; ""),ROW(FV$2:(INDIRECT(FM$799&amp;FV794-2)))),LOOKUP(2,1 / (FV$2:(INDIRECT(FM$799&amp;FV794-1)) &lt;&gt; ""),ROW(FV$2:(INDIRECT(FM$799&amp;FV794-1)))))</f>
        <v>56</v>
      </c>
      <c r="FY795" s="3" t="s">
        <v>4</v>
      </c>
      <c r="FZ795" s="1">
        <f ca="1">COUNTIF(GH2:GH789,"D")</f>
        <v>9</v>
      </c>
      <c r="GB795" s="3" t="s">
        <v>3</v>
      </c>
      <c r="GC795" s="1" t="str">
        <f ca="1">GE792&amp;GE793&amp;GE794&amp;GE795&amp;GE796</f>
        <v>4944454748</v>
      </c>
      <c r="GE795" s="1">
        <f ca="1">INDIRECT(FY$799&amp;GH795)</f>
        <v>47</v>
      </c>
      <c r="GH795" s="1">
        <f ca="1">IF(ISBLANK(INDIRECT(FY$799&amp;GH794-1)), LOOKUP(2,1 / (GH$2:(INDIRECT(FY$799&amp;GH794-2)) &lt;&gt; ""),ROW(GH$2:(INDIRECT(FY$799&amp;GH794-2)))),LOOKUP(2,1 / (GH$2:(INDIRECT(FY$799&amp;GH794-1)) &lt;&gt; ""),ROW(GH$2:(INDIRECT(FY$799&amp;GH794-1)))))</f>
        <v>56</v>
      </c>
      <c r="GK795" s="3" t="s">
        <v>4</v>
      </c>
      <c r="GL795" s="1">
        <f ca="1">COUNTIF(GT2:GT789,"D")</f>
        <v>7</v>
      </c>
      <c r="GN795" s="3" t="s">
        <v>3</v>
      </c>
      <c r="GO795" s="1" t="str">
        <f ca="1">GQ792&amp;GQ793&amp;GQ794&amp;GQ795&amp;GQ796</f>
        <v>4944454748</v>
      </c>
      <c r="GQ795" s="1">
        <f ca="1">INDIRECT(GK$799&amp;GT795)</f>
        <v>47</v>
      </c>
      <c r="GT795" s="1">
        <f ca="1">IF(ISBLANK(INDIRECT(GK$799&amp;GT794-1)), LOOKUP(2,1 / (GT$2:(INDIRECT(GK$799&amp;GT794-2)) &lt;&gt; ""),ROW(GT$2:(INDIRECT(GK$799&amp;GT794-2)))),LOOKUP(2,1 / (GT$2:(INDIRECT(GK$799&amp;GT794-1)) &lt;&gt; ""),ROW(GT$2:(INDIRECT(GK$799&amp;GT794-1)))))</f>
        <v>56</v>
      </c>
      <c r="GW795" s="3" t="s">
        <v>4</v>
      </c>
      <c r="GX795" s="1">
        <f ca="1">COUNTIF(HF2:HF789,"D")</f>
        <v>6</v>
      </c>
      <c r="GZ795" s="3" t="s">
        <v>3</v>
      </c>
      <c r="HA795" s="1" t="str">
        <f ca="1">HC792&amp;HC793&amp;HC794&amp;HC795&amp;HC796</f>
        <v>4945464748</v>
      </c>
      <c r="HC795" s="1">
        <f ca="1">INDIRECT(GW$799&amp;HF795)</f>
        <v>47</v>
      </c>
      <c r="HF795" s="1">
        <f ca="1">IF(ISBLANK(INDIRECT(GW$799&amp;HF794-1)), LOOKUP(2,1 / (HF$2:(INDIRECT(GW$799&amp;HF794-2)) &lt;&gt; ""),ROW(HF$2:(INDIRECT(GW$799&amp;HF794-2)))),LOOKUP(2,1 / (HF$2:(INDIRECT(GW$799&amp;HF794-1)) &lt;&gt; ""),ROW(HF$2:(INDIRECT(GW$799&amp;HF794-1)))))</f>
        <v>56</v>
      </c>
      <c r="HI795" s="3" t="s">
        <v>4</v>
      </c>
      <c r="HJ795" s="1">
        <f ca="1">COUNTIF(HR2:HR789,"D")</f>
        <v>10</v>
      </c>
      <c r="HL795" s="3" t="s">
        <v>3</v>
      </c>
      <c r="HM795" s="1" t="str">
        <f ca="1">HO792&amp;HO793&amp;HO794&amp;HO795&amp;HO796</f>
        <v>4944454748</v>
      </c>
      <c r="HO795" s="1">
        <f ca="1">INDIRECT(HI$799&amp;HR795)</f>
        <v>47</v>
      </c>
      <c r="HR795" s="1">
        <f ca="1">IF(ISBLANK(INDIRECT(HI$799&amp;HR794-1)), LOOKUP(2,1 / (HR$2:(INDIRECT(HI$799&amp;HR794-2)) &lt;&gt; ""),ROW(HR$2:(INDIRECT(HI$799&amp;HR794-2)))),LOOKUP(2,1 / (HR$2:(INDIRECT(HI$799&amp;HR794-1)) &lt;&gt; ""),ROW(HR$2:(INDIRECT(HI$799&amp;HR794-1)))))</f>
        <v>56</v>
      </c>
      <c r="HU795" s="3" t="s">
        <v>4</v>
      </c>
      <c r="HV795" s="1">
        <f ca="1">COUNTIF(ID2:ID789,"D")</f>
        <v>7</v>
      </c>
      <c r="HX795" s="3" t="s">
        <v>3</v>
      </c>
      <c r="HY795" s="1" t="str">
        <f ca="1">IA792&amp;IA793&amp;IA794&amp;IA795&amp;IA796</f>
        <v>4944454748</v>
      </c>
      <c r="IA795" s="1">
        <f ca="1">INDIRECT(HU$799&amp;ID795)</f>
        <v>47</v>
      </c>
      <c r="ID795" s="1">
        <f ca="1">IF(ISBLANK(INDIRECT(HU$799&amp;ID794-1)), LOOKUP(2,1 / (ID$2:(INDIRECT(HU$799&amp;ID794-2)) &lt;&gt; ""),ROW(ID$2:(INDIRECT(HU$799&amp;ID794-2)))),LOOKUP(2,1 / (ID$2:(INDIRECT(HU$799&amp;ID794-1)) &lt;&gt; ""),ROW(ID$2:(INDIRECT(HU$799&amp;ID794-1)))))</f>
        <v>56</v>
      </c>
    </row>
    <row r="796" spans="1:239" hidden="1" x14ac:dyDescent="0.25">
      <c r="A796" s="3" t="s">
        <v>2</v>
      </c>
      <c r="B796" s="1">
        <f ca="1">COUNTIF(J2:J789,"L")</f>
        <v>5</v>
      </c>
      <c r="D796" s="3" t="s">
        <v>1</v>
      </c>
      <c r="E796" s="1" t="str">
        <f ca="1">INDIRECT(B799&amp;J797)</f>
        <v>H</v>
      </c>
      <c r="G796" s="1">
        <f ca="1">INDIRECT(A$799&amp;J796)</f>
        <v>48</v>
      </c>
      <c r="J796" s="1">
        <f ca="1">IF(ISBLANK(INDIRECT(A$799&amp;J795-1)), LOOKUP(2,1 / (J$2:(INDIRECT(A$799&amp;J795-2)) &lt;&gt; ""),ROW(J$2:(INDIRECT(A$799&amp;J795-2)))),LOOKUP(2,1 / (J$2:(INDIRECT(A$799&amp;J795-1)) &lt;&gt; ""),ROW(J$2:(INDIRECT(A$799&amp;J795-1)))))</f>
        <v>55</v>
      </c>
      <c r="M796" s="3" t="s">
        <v>2</v>
      </c>
      <c r="N796" s="1">
        <f ca="1">COUNTIF(V2:V789,"L")</f>
        <v>10</v>
      </c>
      <c r="P796" s="3" t="s">
        <v>1</v>
      </c>
      <c r="Q796" s="1" t="str">
        <f ca="1">INDIRECT(N799&amp;V797)</f>
        <v>A</v>
      </c>
      <c r="S796" s="1">
        <f ca="1">INDIRECT(M$799&amp;V796)</f>
        <v>48</v>
      </c>
      <c r="V796" s="1">
        <f ca="1">IF(ISBLANK(INDIRECT(M$799&amp;V795-1)), LOOKUP(2,1 / (V$2:(INDIRECT(M$799&amp;V795-2)) &lt;&gt; ""),ROW(V$2:(INDIRECT(M$799&amp;V795-2)))),LOOKUP(2,1 / (V$2:(INDIRECT(M$799&amp;V795-1)) &lt;&gt; ""),ROW(V$2:(INDIRECT(M$799&amp;V795-1)))))</f>
        <v>55</v>
      </c>
      <c r="Y796" s="3" t="s">
        <v>2</v>
      </c>
      <c r="Z796" s="1">
        <f ca="1">COUNTIF(AH2:AH789,"L")</f>
        <v>16</v>
      </c>
      <c r="AB796" s="3" t="s">
        <v>1</v>
      </c>
      <c r="AC796" s="1" t="str">
        <f ca="1">INDIRECT(Z799&amp;AH797)</f>
        <v>A</v>
      </c>
      <c r="AE796" s="1">
        <f ca="1">INDIRECT(Y$799&amp;AH796)</f>
        <v>48</v>
      </c>
      <c r="AH796" s="1">
        <f ca="1">IF(ISBLANK(INDIRECT(Y$799&amp;AH795-1)), LOOKUP(2,1 / (AH$2:(INDIRECT(Y$799&amp;AH795-2)) &lt;&gt; ""),ROW(AH$2:(INDIRECT(Y$799&amp;AH795-2)))),LOOKUP(2,1 / (AH$2:(INDIRECT(Y$799&amp;AH795-1)) &lt;&gt; ""),ROW(AH$2:(INDIRECT(Y$799&amp;AH795-1)))))</f>
        <v>55</v>
      </c>
      <c r="AK796" s="3" t="s">
        <v>2</v>
      </c>
      <c r="AL796" s="1">
        <f ca="1">COUNTIF(AT2:AT789,"L")</f>
        <v>19</v>
      </c>
      <c r="AN796" s="3" t="s">
        <v>1</v>
      </c>
      <c r="AO796" s="1" t="str">
        <f ca="1">INDIRECT(AL799&amp;AT797)</f>
        <v>H</v>
      </c>
      <c r="AQ796" s="1">
        <f ca="1">INDIRECT(AK$799&amp;AT796)</f>
        <v>48</v>
      </c>
      <c r="AT796" s="1">
        <f ca="1">IF(ISBLANK(INDIRECT(AK$799&amp;AT795-1)), LOOKUP(2,1 / (AT$2:(INDIRECT(AK$799&amp;AT795-2)) &lt;&gt; ""),ROW(AT$2:(INDIRECT(AK$799&amp;AT795-2)))),LOOKUP(2,1 / (AT$2:(INDIRECT(AK$799&amp;AT795-1)) &lt;&gt; ""),ROW(AT$2:(INDIRECT(AK$799&amp;AT795-1)))))</f>
        <v>55</v>
      </c>
      <c r="AW796" s="3" t="s">
        <v>2</v>
      </c>
      <c r="AX796" s="1">
        <f ca="1">COUNTIF(BF2:BF789,"L")</f>
        <v>14</v>
      </c>
      <c r="AZ796" s="3" t="s">
        <v>1</v>
      </c>
      <c r="BA796" s="1" t="str">
        <f ca="1">INDIRECT(AX799&amp;BF797)</f>
        <v>H</v>
      </c>
      <c r="BC796" s="1">
        <f ca="1">INDIRECT(AW$799&amp;BF796)</f>
        <v>48</v>
      </c>
      <c r="BF796" s="1">
        <f ca="1">IF(ISBLANK(INDIRECT(AW$799&amp;BF795-1)), LOOKUP(2,1 / (BF$2:(INDIRECT(AW$799&amp;BF795-2)) &lt;&gt; ""),ROW(BF$2:(INDIRECT(AW$799&amp;BF795-2)))),LOOKUP(2,1 / (BF$2:(INDIRECT(AW$799&amp;BF795-1)) &lt;&gt; ""),ROW(BF$2:(INDIRECT(AW$799&amp;BF795-1)))))</f>
        <v>55</v>
      </c>
      <c r="BI796" s="3" t="s">
        <v>2</v>
      </c>
      <c r="BJ796" s="1">
        <f ca="1">COUNTIF(BR2:BR789,"L")</f>
        <v>24</v>
      </c>
      <c r="BL796" s="3" t="s">
        <v>1</v>
      </c>
      <c r="BM796" s="1" t="str">
        <f ca="1">INDIRECT(BJ799&amp;BR797)</f>
        <v>H</v>
      </c>
      <c r="BO796" s="1">
        <f ca="1">INDIRECT(BI$799&amp;BR796)</f>
        <v>48</v>
      </c>
      <c r="BR796" s="1">
        <f ca="1">IF(ISBLANK(INDIRECT(BI$799&amp;BR795-1)), LOOKUP(2,1 / (BR$2:(INDIRECT(BI$799&amp;BR795-2)) &lt;&gt; ""),ROW(BR$2:(INDIRECT(BI$799&amp;BR795-2)))),LOOKUP(2,1 / (BR$2:(INDIRECT(BI$799&amp;BR795-1)) &lt;&gt; ""),ROW(BR$2:(INDIRECT(BI$799&amp;BR795-1)))))</f>
        <v>55</v>
      </c>
      <c r="BU796" s="3" t="s">
        <v>2</v>
      </c>
      <c r="BV796" s="1">
        <f ca="1">COUNTIF(CD2:CD789,"L")</f>
        <v>11</v>
      </c>
      <c r="BX796" s="3" t="s">
        <v>1</v>
      </c>
      <c r="BY796" s="1" t="str">
        <f ca="1">INDIRECT(BV799&amp;CD797)</f>
        <v>H</v>
      </c>
      <c r="CA796" s="1">
        <f ca="1">INDIRECT(BU$799&amp;CD796)</f>
        <v>48</v>
      </c>
      <c r="CD796" s="1">
        <f ca="1">IF(ISBLANK(INDIRECT(BU$799&amp;CD795-1)), LOOKUP(2,1 / (CD$2:(INDIRECT(BU$799&amp;CD795-2)) &lt;&gt; ""),ROW(CD$2:(INDIRECT(BU$799&amp;CD795-2)))),LOOKUP(2,1 / (CD$2:(INDIRECT(BU$799&amp;CD795-1)) &lt;&gt; ""),ROW(CD$2:(INDIRECT(BU$799&amp;CD795-1)))))</f>
        <v>55</v>
      </c>
      <c r="CG796" s="3" t="s">
        <v>2</v>
      </c>
      <c r="CH796" s="1">
        <f ca="1">COUNTIF(CP2:CP789,"L")</f>
        <v>15</v>
      </c>
      <c r="CJ796" s="3" t="s">
        <v>1</v>
      </c>
      <c r="CK796" s="1" t="str">
        <f ca="1">INDIRECT(CH799&amp;CP797)</f>
        <v>H</v>
      </c>
      <c r="CM796" s="1">
        <f ca="1">INDIRECT(CG$799&amp;CP796)</f>
        <v>48</v>
      </c>
      <c r="CP796" s="1">
        <f ca="1">IF(ISBLANK(INDIRECT(CG$799&amp;CP795-1)), LOOKUP(2,1 / (CP$2:(INDIRECT(CG$799&amp;CP795-2)) &lt;&gt; ""),ROW(CP$2:(INDIRECT(CG$799&amp;CP795-2)))),LOOKUP(2,1 / (CP$2:(INDIRECT(CG$799&amp;CP795-1)) &lt;&gt; ""),ROW(CP$2:(INDIRECT(CG$799&amp;CP795-1)))))</f>
        <v>55</v>
      </c>
      <c r="CS796" s="3" t="s">
        <v>2</v>
      </c>
      <c r="CT796" s="1">
        <f ca="1">COUNTIF(DB2:DB789,"L")</f>
        <v>16</v>
      </c>
      <c r="CV796" s="3" t="s">
        <v>1</v>
      </c>
      <c r="CW796" s="1" t="str">
        <f ca="1">INDIRECT(CT799&amp;DB797)</f>
        <v>A</v>
      </c>
      <c r="CY796" s="1">
        <f ca="1">INDIRECT(CS$799&amp;DB796)</f>
        <v>48</v>
      </c>
      <c r="DB796" s="1">
        <f ca="1">IF(ISBLANK(INDIRECT(CS$799&amp;DB795-1)), LOOKUP(2,1 / (DB$2:(INDIRECT(CS$799&amp;DB795-2)) &lt;&gt; ""),ROW(DB$2:(INDIRECT(CS$799&amp;DB795-2)))),LOOKUP(2,1 / (DB$2:(INDIRECT(CS$799&amp;DB795-1)) &lt;&gt; ""),ROW(DB$2:(INDIRECT(CS$799&amp;DB795-1)))))</f>
        <v>55</v>
      </c>
      <c r="DE796" s="3" t="s">
        <v>2</v>
      </c>
      <c r="DF796" s="1">
        <f ca="1">COUNTIF(DN2:DN789,"L")</f>
        <v>17</v>
      </c>
      <c r="DH796" s="3" t="s">
        <v>1</v>
      </c>
      <c r="DI796" s="1" t="str">
        <f ca="1">INDIRECT(DF799&amp;DN797)</f>
        <v>A</v>
      </c>
      <c r="DK796" s="1">
        <f ca="1">INDIRECT(DE$799&amp;DN796)</f>
        <v>48</v>
      </c>
      <c r="DN796" s="1">
        <f ca="1">IF(ISBLANK(INDIRECT(DE$799&amp;DN795-1)), LOOKUP(2,1 / (DN$2:(INDIRECT(DE$799&amp;DN795-2)) &lt;&gt; ""),ROW(DN$2:(INDIRECT(DE$799&amp;DN795-2)))),LOOKUP(2,1 / (DN$2:(INDIRECT(DE$799&amp;DN795-1)) &lt;&gt; ""),ROW(DN$2:(INDIRECT(DE$799&amp;DN795-1)))))</f>
        <v>55</v>
      </c>
      <c r="DQ796" s="3" t="s">
        <v>2</v>
      </c>
      <c r="DR796" s="1">
        <f ca="1">COUNTIF(DZ2:DZ789,"L")</f>
        <v>4</v>
      </c>
      <c r="DT796" s="3" t="s">
        <v>1</v>
      </c>
      <c r="DU796" s="1" t="str">
        <f ca="1">INDIRECT(DR799&amp;DZ797)</f>
        <v>H</v>
      </c>
      <c r="DW796" s="1">
        <f ca="1">INDIRECT(DQ$799&amp;DZ796)</f>
        <v>48</v>
      </c>
      <c r="DZ796" s="1">
        <f ca="1">IF(ISBLANK(INDIRECT(DQ$799&amp;DZ795-1)), LOOKUP(2,1 / (DZ$2:(INDIRECT(DQ$799&amp;DZ795-2)) &lt;&gt; ""),ROW(DZ$2:(INDIRECT(DQ$799&amp;DZ795-2)))),LOOKUP(2,1 / (DZ$2:(INDIRECT(DQ$799&amp;DZ795-1)) &lt;&gt; ""),ROW(DZ$2:(INDIRECT(DQ$799&amp;DZ795-1)))))</f>
        <v>55</v>
      </c>
      <c r="EC796" s="3" t="s">
        <v>2</v>
      </c>
      <c r="ED796" s="1">
        <f ca="1">COUNTIF(EL2:EL789,"L")</f>
        <v>24</v>
      </c>
      <c r="EF796" s="3" t="s">
        <v>1</v>
      </c>
      <c r="EG796" s="1" t="str">
        <f ca="1">INDIRECT(ED799&amp;EL797)</f>
        <v>H</v>
      </c>
      <c r="EI796" s="1">
        <f ca="1">INDIRECT(EC$799&amp;EL796)</f>
        <v>48</v>
      </c>
      <c r="EL796" s="1">
        <f ca="1">IF(ISBLANK(INDIRECT(EC$799&amp;EL795-1)), LOOKUP(2,1 / (EL$2:(INDIRECT(EC$799&amp;EL795-2)) &lt;&gt; ""),ROW(EL$2:(INDIRECT(EC$799&amp;EL795-2)))),LOOKUP(2,1 / (EL$2:(INDIRECT(EC$799&amp;EL795-1)) &lt;&gt; ""),ROW(EL$2:(INDIRECT(EC$799&amp;EL795-1)))))</f>
        <v>55</v>
      </c>
      <c r="EO796" s="3" t="s">
        <v>2</v>
      </c>
      <c r="EP796" s="1">
        <f ca="1">COUNTIF(EX2:EX789,"L")</f>
        <v>3</v>
      </c>
      <c r="ER796" s="3" t="s">
        <v>1</v>
      </c>
      <c r="ES796" s="1" t="str">
        <f ca="1">INDIRECT(EP799&amp;EX797)</f>
        <v>H</v>
      </c>
      <c r="EU796" s="1">
        <f ca="1">INDIRECT(EO$799&amp;EX796)</f>
        <v>48</v>
      </c>
      <c r="EX796" s="1">
        <f ca="1">IF(ISBLANK(INDIRECT(EO$799&amp;EX795-1)), LOOKUP(2,1 / (EX$2:(INDIRECT(EO$799&amp;EX795-2)) &lt;&gt; ""),ROW(EX$2:(INDIRECT(EO$799&amp;EX795-2)))),LOOKUP(2,1 / (EX$2:(INDIRECT(EO$799&amp;EX795-1)) &lt;&gt; ""),ROW(EX$2:(INDIRECT(EO$799&amp;EX795-1)))))</f>
        <v>55</v>
      </c>
      <c r="FA796" s="3" t="s">
        <v>2</v>
      </c>
      <c r="FB796" s="1">
        <f ca="1">COUNTIF(FJ2:FJ789,"L")</f>
        <v>14</v>
      </c>
      <c r="FD796" s="3" t="s">
        <v>1</v>
      </c>
      <c r="FE796" s="1" t="str">
        <f ca="1">INDIRECT(FB799&amp;FJ797)</f>
        <v>A</v>
      </c>
      <c r="FG796" s="1">
        <f ca="1">INDIRECT(FA$799&amp;FJ796)</f>
        <v>48</v>
      </c>
      <c r="FJ796" s="1">
        <f ca="1">IF(ISBLANK(INDIRECT(FA$799&amp;FJ795-1)), LOOKUP(2,1 / (FJ$2:(INDIRECT(FA$799&amp;FJ795-2)) &lt;&gt; ""),ROW(FJ$2:(INDIRECT(FA$799&amp;FJ795-2)))),LOOKUP(2,1 / (FJ$2:(INDIRECT(FA$799&amp;FJ795-1)) &lt;&gt; ""),ROW(FJ$2:(INDIRECT(FA$799&amp;FJ795-1)))))</f>
        <v>55</v>
      </c>
      <c r="FM796" s="3" t="s">
        <v>2</v>
      </c>
      <c r="FN796" s="1">
        <f ca="1">COUNTIF(FV2:FV789,"L")</f>
        <v>14</v>
      </c>
      <c r="FP796" s="3" t="s">
        <v>1</v>
      </c>
      <c r="FQ796" s="1" t="str">
        <f ca="1">INDIRECT(FN799&amp;FV797)</f>
        <v>A</v>
      </c>
      <c r="FS796" s="1">
        <f ca="1">INDIRECT(FM$799&amp;FV796)</f>
        <v>48</v>
      </c>
      <c r="FV796" s="1">
        <f ca="1">IF(ISBLANK(INDIRECT(FM$799&amp;FV795-1)), LOOKUP(2,1 / (FV$2:(INDIRECT(FM$799&amp;FV795-2)) &lt;&gt; ""),ROW(FV$2:(INDIRECT(FM$799&amp;FV795-2)))),LOOKUP(2,1 / (FV$2:(INDIRECT(FM$799&amp;FV795-1)) &lt;&gt; ""),ROW(FV$2:(INDIRECT(FM$799&amp;FV795-1)))))</f>
        <v>55</v>
      </c>
      <c r="FY796" s="3" t="s">
        <v>2</v>
      </c>
      <c r="FZ796" s="1">
        <f ca="1">COUNTIF(GH2:GH789,"L")</f>
        <v>20</v>
      </c>
      <c r="GB796" s="3" t="s">
        <v>1</v>
      </c>
      <c r="GC796" s="1" t="str">
        <f ca="1">INDIRECT(FZ799&amp;GH797)</f>
        <v>A</v>
      </c>
      <c r="GE796" s="1">
        <f ca="1">INDIRECT(FY$799&amp;GH796)</f>
        <v>48</v>
      </c>
      <c r="GH796" s="1">
        <f ca="1">IF(ISBLANK(INDIRECT(FY$799&amp;GH795-1)), LOOKUP(2,1 / (GH$2:(INDIRECT(FY$799&amp;GH795-2)) &lt;&gt; ""),ROW(GH$2:(INDIRECT(FY$799&amp;GH795-2)))),LOOKUP(2,1 / (GH$2:(INDIRECT(FY$799&amp;GH795-1)) &lt;&gt; ""),ROW(GH$2:(INDIRECT(FY$799&amp;GH795-1)))))</f>
        <v>55</v>
      </c>
      <c r="GK796" s="3" t="s">
        <v>2</v>
      </c>
      <c r="GL796" s="1">
        <f ca="1">COUNTIF(GT2:GT789,"L")</f>
        <v>28</v>
      </c>
      <c r="GN796" s="3" t="s">
        <v>1</v>
      </c>
      <c r="GO796" s="1" t="str">
        <f ca="1">INDIRECT(GL799&amp;GT797)</f>
        <v>H</v>
      </c>
      <c r="GQ796" s="1">
        <f ca="1">INDIRECT(GK$799&amp;GT796)</f>
        <v>48</v>
      </c>
      <c r="GT796" s="1">
        <f ca="1">IF(ISBLANK(INDIRECT(GK$799&amp;GT795-1)), LOOKUP(2,1 / (GT$2:(INDIRECT(GK$799&amp;GT795-2)) &lt;&gt; ""),ROW(GT$2:(INDIRECT(GK$799&amp;GT795-2)))),LOOKUP(2,1 / (GT$2:(INDIRECT(GK$799&amp;GT795-1)) &lt;&gt; ""),ROW(GT$2:(INDIRECT(GK$799&amp;GT795-1)))))</f>
        <v>55</v>
      </c>
      <c r="GW796" s="3" t="s">
        <v>2</v>
      </c>
      <c r="GX796" s="1">
        <f ca="1">COUNTIF(HF2:HF789,"L")</f>
        <v>12</v>
      </c>
      <c r="GZ796" s="3" t="s">
        <v>1</v>
      </c>
      <c r="HA796" s="1" t="str">
        <f ca="1">INDIRECT(GX799&amp;HF797)</f>
        <v>A</v>
      </c>
      <c r="HC796" s="1">
        <f ca="1">INDIRECT(GW$799&amp;HF796)</f>
        <v>48</v>
      </c>
      <c r="HF796" s="1">
        <f ca="1">IF(ISBLANK(INDIRECT(GW$799&amp;HF795-1)), LOOKUP(2,1 / (HF$2:(INDIRECT(GW$799&amp;HF795-2)) &lt;&gt; ""),ROW(HF$2:(INDIRECT(GW$799&amp;HF795-2)))),LOOKUP(2,1 / (HF$2:(INDIRECT(GW$799&amp;HF795-1)) &lt;&gt; ""),ROW(HF$2:(INDIRECT(GW$799&amp;HF795-1)))))</f>
        <v>55</v>
      </c>
      <c r="HI796" s="3" t="s">
        <v>2</v>
      </c>
      <c r="HJ796" s="1">
        <f ca="1">COUNTIF(HR2:HR789,"L")</f>
        <v>14</v>
      </c>
      <c r="HL796" s="3" t="s">
        <v>1</v>
      </c>
      <c r="HM796" s="1" t="str">
        <f ca="1">INDIRECT(HJ799&amp;HR797)</f>
        <v>A</v>
      </c>
      <c r="HO796" s="1">
        <f ca="1">INDIRECT(HI$799&amp;HR796)</f>
        <v>48</v>
      </c>
      <c r="HR796" s="1">
        <f ca="1">IF(ISBLANK(INDIRECT(HI$799&amp;HR795-1)), LOOKUP(2,1 / (HR$2:(INDIRECT(HI$799&amp;HR795-2)) &lt;&gt; ""),ROW(HR$2:(INDIRECT(HI$799&amp;HR795-2)))),LOOKUP(2,1 / (HR$2:(INDIRECT(HI$799&amp;HR795-1)) &lt;&gt; ""),ROW(HR$2:(INDIRECT(HI$799&amp;HR795-1)))))</f>
        <v>55</v>
      </c>
      <c r="HU796" s="3" t="s">
        <v>2</v>
      </c>
      <c r="HV796" s="1">
        <f ca="1">COUNTIF(ID2:ID789,"L")</f>
        <v>18</v>
      </c>
      <c r="HX796" s="3" t="s">
        <v>1</v>
      </c>
      <c r="HY796" s="1" t="str">
        <f ca="1">INDIRECT(HV799&amp;ID797)</f>
        <v>A</v>
      </c>
      <c r="IA796" s="1">
        <f ca="1">INDIRECT(HU$799&amp;ID796)</f>
        <v>48</v>
      </c>
      <c r="ID796" s="1">
        <f ca="1">IF(ISBLANK(INDIRECT(HU$799&amp;ID795-1)), LOOKUP(2,1 / (ID$2:(INDIRECT(HU$799&amp;ID795-2)) &lt;&gt; ""),ROW(ID$2:(INDIRECT(HU$799&amp;ID795-2)))),LOOKUP(2,1 / (ID$2:(INDIRECT(HU$799&amp;ID795-1)) &lt;&gt; ""),ROW(ID$2:(INDIRECT(HU$799&amp;ID795-1)))))</f>
        <v>55</v>
      </c>
    </row>
    <row r="797" spans="1:239" hidden="1" x14ac:dyDescent="0.25">
      <c r="D797" s="3" t="s">
        <v>0</v>
      </c>
      <c r="E797" s="1">
        <f ca="1">INDIRECT(D799&amp;J797)</f>
        <v>0</v>
      </c>
      <c r="J797" s="1">
        <f ca="1">IF(ISBLANK(INDIRECT(B$799&amp;J792+1)), LOOKUP(2,1 / (E$2:(INDIRECT(B$799&amp;J792+2)) &lt;&gt; ""),ROW(E$2:(INDIRECT(B$799&amp;J792+2)))),LOOKUP(2,1 / (E$2:(INDIRECT(B$799&amp;J792+1)) &lt;&gt; ""),ROW(E$2:(INDIRECT(B$799&amp;J792+1)))))</f>
        <v>59</v>
      </c>
      <c r="P797" s="3" t="s">
        <v>0</v>
      </c>
      <c r="Q797" s="1">
        <f ca="1">INDIRECT(P799&amp;V797)</f>
        <v>0</v>
      </c>
      <c r="V797" s="1">
        <f ca="1">IF(ISBLANK(INDIRECT(N$799&amp;V792+1)), LOOKUP(2,1 / (Q$2:(INDIRECT(N$799&amp;V792+2)) &lt;&gt; ""),ROW(Q$2:(INDIRECT(N$799&amp;V792+2)))),LOOKUP(2,1 / (Q$2:(INDIRECT(N$799&amp;V792+1)) &lt;&gt; ""),ROW(Q$2:(INDIRECT(N$799&amp;V792+1)))))</f>
        <v>59</v>
      </c>
      <c r="AB797" s="3" t="s">
        <v>0</v>
      </c>
      <c r="AC797" s="1">
        <f ca="1">INDIRECT(AB799&amp;AH797)</f>
        <v>0</v>
      </c>
      <c r="AH797" s="1">
        <f ca="1">IF(ISBLANK(INDIRECT(Z$799&amp;AH792+1)), LOOKUP(2,1 / (AC$2:(INDIRECT(Z$799&amp;AH792+2)) &lt;&gt; ""),ROW(AC$2:(INDIRECT(Z$799&amp;AH792+2)))),LOOKUP(2,1 / (AC$2:(INDIRECT(Z$799&amp;AH792+1)) &lt;&gt; ""),ROW(AC$2:(INDIRECT(Z$799&amp;AH792+1)))))</f>
        <v>59</v>
      </c>
      <c r="AN797" s="3" t="s">
        <v>0</v>
      </c>
      <c r="AO797" s="1">
        <f ca="1">INDIRECT(AN799&amp;AT797)</f>
        <v>0</v>
      </c>
      <c r="AT797" s="1">
        <f ca="1">IF(ISBLANK(INDIRECT(AL$799&amp;AT792+1)), LOOKUP(2,1 / (AO$2:(INDIRECT(AL$799&amp;AT792+2)) &lt;&gt; ""),ROW(AO$2:(INDIRECT(AL$799&amp;AT792+2)))),LOOKUP(2,1 / (AO$2:(INDIRECT(AL$799&amp;AT792+1)) &lt;&gt; ""),ROW(AO$2:(INDIRECT(AL$799&amp;AT792+1)))))</f>
        <v>59</v>
      </c>
      <c r="AZ797" s="3" t="s">
        <v>0</v>
      </c>
      <c r="BA797" s="1">
        <f ca="1">INDIRECT(AZ799&amp;BF797)</f>
        <v>0</v>
      </c>
      <c r="BF797" s="1">
        <f ca="1">IF(ISBLANK(INDIRECT(AX$799&amp;BF792+1)), LOOKUP(2,1 / (BA$2:(INDIRECT(AX$799&amp;BF792+2)) &lt;&gt; ""),ROW(BA$2:(INDIRECT(AX$799&amp;BF792+2)))),LOOKUP(2,1 / (BA$2:(INDIRECT(AX$799&amp;BF792+1)) &lt;&gt; ""),ROW(BA$2:(INDIRECT(AX$799&amp;BF792+1)))))</f>
        <v>59</v>
      </c>
      <c r="BL797" s="3" t="s">
        <v>0</v>
      </c>
      <c r="BM797" s="1">
        <f ca="1">INDIRECT(BL799&amp;BR797)</f>
        <v>0</v>
      </c>
      <c r="BR797" s="1">
        <f ca="1">IF(ISBLANK(INDIRECT(BJ$799&amp;BR792+1)), LOOKUP(2,1 / (BM$2:(INDIRECT(BJ$799&amp;BR792+2)) &lt;&gt; ""),ROW(BM$2:(INDIRECT(BJ$799&amp;BR792+2)))),LOOKUP(2,1 / (BM$2:(INDIRECT(BJ$799&amp;BR792+1)) &lt;&gt; ""),ROW(BM$2:(INDIRECT(BJ$799&amp;BR792+1)))))</f>
        <v>59</v>
      </c>
      <c r="BX797" s="3" t="s">
        <v>0</v>
      </c>
      <c r="BY797" s="1">
        <f ca="1">INDIRECT(BX799&amp;CD797)</f>
        <v>0</v>
      </c>
      <c r="CD797" s="1">
        <f ca="1">IF(ISBLANK(INDIRECT(BV$799&amp;CD792+1)), LOOKUP(2,1 / (BY$2:(INDIRECT(BV$799&amp;CD792+2)) &lt;&gt; ""),ROW(BY$2:(INDIRECT(BV$799&amp;CD792+2)))),LOOKUP(2,1 / (BY$2:(INDIRECT(BV$799&amp;CD792+1)) &lt;&gt; ""),ROW(BY$2:(INDIRECT(BV$799&amp;CD792+1)))))</f>
        <v>59</v>
      </c>
      <c r="CJ797" s="3" t="s">
        <v>0</v>
      </c>
      <c r="CK797" s="1">
        <f ca="1">INDIRECT(CJ799&amp;CP797)</f>
        <v>0</v>
      </c>
      <c r="CP797" s="1">
        <f ca="1">IF(ISBLANK(INDIRECT(CH$799&amp;CP792+1)), LOOKUP(2,1 / (CK$2:(INDIRECT(CH$799&amp;CP792+2)) &lt;&gt; ""),ROW(CK$2:(INDIRECT(CH$799&amp;CP792+2)))),LOOKUP(2,1 / (CK$2:(INDIRECT(CH$799&amp;CP792+1)) &lt;&gt; ""),ROW(CK$2:(INDIRECT(CH$799&amp;CP792+1)))))</f>
        <v>59</v>
      </c>
      <c r="CV797" s="3" t="s">
        <v>0</v>
      </c>
      <c r="CW797" s="1">
        <f ca="1">INDIRECT(CV799&amp;DB797)</f>
        <v>0</v>
      </c>
      <c r="DB797" s="1">
        <f ca="1">IF(ISBLANK(INDIRECT(CT$799&amp;DB792+1)), LOOKUP(2,1 / (CW$2:(INDIRECT(CT$799&amp;DB792+2)) &lt;&gt; ""),ROW(CW$2:(INDIRECT(CT$799&amp;DB792+2)))),LOOKUP(2,1 / (CW$2:(INDIRECT(CT$799&amp;DB792+1)) &lt;&gt; ""),ROW(CW$2:(INDIRECT(CT$799&amp;DB792+1)))))</f>
        <v>59</v>
      </c>
      <c r="DH797" s="3" t="s">
        <v>0</v>
      </c>
      <c r="DI797" s="1">
        <f ca="1">INDIRECT(DH799&amp;DN797)</f>
        <v>0</v>
      </c>
      <c r="DN797" s="1">
        <f ca="1">IF(ISBLANK(INDIRECT(DF$799&amp;DN792+1)), LOOKUP(2,1 / (DI$2:(INDIRECT(DF$799&amp;DN792+2)) &lt;&gt; ""),ROW(DI$2:(INDIRECT(DF$799&amp;DN792+2)))),LOOKUP(2,1 / (DI$2:(INDIRECT(DF$799&amp;DN792+1)) &lt;&gt; ""),ROW(DI$2:(INDIRECT(DF$799&amp;DN792+1)))))</f>
        <v>59</v>
      </c>
      <c r="DT797" s="3" t="s">
        <v>0</v>
      </c>
      <c r="DU797" s="1">
        <f ca="1">INDIRECT(DT799&amp;DZ797)</f>
        <v>0</v>
      </c>
      <c r="DZ797" s="1">
        <f ca="1">IF(ISBLANK(INDIRECT(DR$799&amp;DZ792+1)), LOOKUP(2,1 / (DU$2:(INDIRECT(DR$799&amp;DZ792+2)) &lt;&gt; ""),ROW(DU$2:(INDIRECT(DR$799&amp;DZ792+2)))),LOOKUP(2,1 / (DU$2:(INDIRECT(DR$799&amp;DZ792+1)) &lt;&gt; ""),ROW(DU$2:(INDIRECT(DR$799&amp;DZ792+1)))))</f>
        <v>59</v>
      </c>
      <c r="EF797" s="3" t="s">
        <v>0</v>
      </c>
      <c r="EG797" s="1">
        <f ca="1">INDIRECT(EF799&amp;EL797)</f>
        <v>0</v>
      </c>
      <c r="EL797" s="1">
        <f ca="1">IF(ISBLANK(INDIRECT(ED$799&amp;EL792+1)), LOOKUP(2,1 / (EG$2:(INDIRECT(ED$799&amp;EL792+2)) &lt;&gt; ""),ROW(EG$2:(INDIRECT(ED$799&amp;EL792+2)))),LOOKUP(2,1 / (EG$2:(INDIRECT(ED$799&amp;EL792+1)) &lt;&gt; ""),ROW(EG$2:(INDIRECT(ED$799&amp;EL792+1)))))</f>
        <v>59</v>
      </c>
      <c r="ER797" s="3" t="s">
        <v>0</v>
      </c>
      <c r="ES797" s="1">
        <f ca="1">INDIRECT(ER799&amp;EX797)</f>
        <v>0</v>
      </c>
      <c r="EX797" s="1">
        <f ca="1">IF(ISBLANK(INDIRECT(EP$799&amp;EX792+1)), LOOKUP(2,1 / (ES$2:(INDIRECT(EP$799&amp;EX792+2)) &lt;&gt; ""),ROW(ES$2:(INDIRECT(EP$799&amp;EX792+2)))),LOOKUP(2,1 / (ES$2:(INDIRECT(EP$799&amp;EX792+1)) &lt;&gt; ""),ROW(ES$2:(INDIRECT(EP$799&amp;EX792+1)))))</f>
        <v>59</v>
      </c>
      <c r="FD797" s="3" t="s">
        <v>0</v>
      </c>
      <c r="FE797" s="1">
        <f ca="1">INDIRECT(FD799&amp;FJ797)</f>
        <v>0</v>
      </c>
      <c r="FJ797" s="1">
        <f ca="1">IF(ISBLANK(INDIRECT(FB$799&amp;FJ792+1)), LOOKUP(2,1 / (FE$2:(INDIRECT(FB$799&amp;FJ792+2)) &lt;&gt; ""),ROW(FE$2:(INDIRECT(FB$799&amp;FJ792+2)))),LOOKUP(2,1 / (FE$2:(INDIRECT(FB$799&amp;FJ792+1)) &lt;&gt; ""),ROW(FE$2:(INDIRECT(FB$799&amp;FJ792+1)))))</f>
        <v>59</v>
      </c>
      <c r="FP797" s="3" t="s">
        <v>0</v>
      </c>
      <c r="FQ797" s="1">
        <f ca="1">INDIRECT(FP799&amp;FV797)</f>
        <v>0</v>
      </c>
      <c r="FV797" s="1">
        <f ca="1">IF(ISBLANK(INDIRECT(FN$799&amp;FV792+1)), LOOKUP(2,1 / (FQ$2:(INDIRECT(FN$799&amp;FV792+2)) &lt;&gt; ""),ROW(FQ$2:(INDIRECT(FN$799&amp;FV792+2)))),LOOKUP(2,1 / (FQ$2:(INDIRECT(FN$799&amp;FV792+1)) &lt;&gt; ""),ROW(FQ$2:(INDIRECT(FN$799&amp;FV792+1)))))</f>
        <v>59</v>
      </c>
      <c r="GB797" s="3" t="s">
        <v>0</v>
      </c>
      <c r="GC797" s="1">
        <f ca="1">INDIRECT(GB799&amp;GH797)</f>
        <v>0</v>
      </c>
      <c r="GH797" s="1">
        <f ca="1">IF(ISBLANK(INDIRECT(FZ$799&amp;GH792+1)), LOOKUP(2,1 / (GC$2:(INDIRECT(FZ$799&amp;GH792+2)) &lt;&gt; ""),ROW(GC$2:(INDIRECT(FZ$799&amp;GH792+2)))),LOOKUP(2,1 / (GC$2:(INDIRECT(FZ$799&amp;GH792+1)) &lt;&gt; ""),ROW(GC$2:(INDIRECT(FZ$799&amp;GH792+1)))))</f>
        <v>59</v>
      </c>
      <c r="GN797" s="3" t="s">
        <v>0</v>
      </c>
      <c r="GO797" s="1">
        <f ca="1">INDIRECT(GN799&amp;GT797)</f>
        <v>0</v>
      </c>
      <c r="GT797" s="1">
        <f ca="1">IF(ISBLANK(INDIRECT(GL$799&amp;GT792+1)), LOOKUP(2,1 / (GO$2:(INDIRECT(GL$799&amp;GT792+2)) &lt;&gt; ""),ROW(GO$2:(INDIRECT(GL$799&amp;GT792+2)))),LOOKUP(2,1 / (GO$2:(INDIRECT(GL$799&amp;GT792+1)) &lt;&gt; ""),ROW(GO$2:(INDIRECT(GL$799&amp;GT792+1)))))</f>
        <v>59</v>
      </c>
      <c r="GZ797" s="3" t="s">
        <v>0</v>
      </c>
      <c r="HA797" s="1">
        <f ca="1">INDIRECT(GZ799&amp;HF797)</f>
        <v>0</v>
      </c>
      <c r="HF797" s="1">
        <f ca="1">IF(ISBLANK(INDIRECT(GX$799&amp;HF792+1)), LOOKUP(2,1 / (HA$2:(INDIRECT(GX$799&amp;HF792+2)) &lt;&gt; ""),ROW(HA$2:(INDIRECT(GX$799&amp;HF792+2)))),LOOKUP(2,1 / (HA$2:(INDIRECT(GX$799&amp;HF792+1)) &lt;&gt; ""),ROW(HA$2:(INDIRECT(GX$799&amp;HF792+1)))))</f>
        <v>59</v>
      </c>
      <c r="HL797" s="3" t="s">
        <v>0</v>
      </c>
      <c r="HM797" s="1">
        <f ca="1">INDIRECT(HL799&amp;HR797)</f>
        <v>0</v>
      </c>
      <c r="HR797" s="1">
        <f ca="1">IF(ISBLANK(INDIRECT(HJ$799&amp;HR792+1)), LOOKUP(2,1 / (HM$2:(INDIRECT(HJ$799&amp;HR792+2)) &lt;&gt; ""),ROW(HM$2:(INDIRECT(HJ$799&amp;HR792+2)))),LOOKUP(2,1 / (HM$2:(INDIRECT(HJ$799&amp;HR792+1)) &lt;&gt; ""),ROW(HM$2:(INDIRECT(HJ$799&amp;HR792+1)))))</f>
        <v>59</v>
      </c>
      <c r="HX797" s="3" t="s">
        <v>0</v>
      </c>
      <c r="HY797" s="1">
        <f ca="1">INDIRECT(HX799&amp;ID797)</f>
        <v>0</v>
      </c>
      <c r="ID797" s="1">
        <f ca="1">IF(ISBLANK(INDIRECT(HV$799&amp;ID792+1)), LOOKUP(2,1 / (HY$2:(INDIRECT(HV$799&amp;ID792+2)) &lt;&gt; ""),ROW(HY$2:(INDIRECT(HV$799&amp;ID792+2)))),LOOKUP(2,1 / (HY$2:(INDIRECT(HV$799&amp;ID792+1)) &lt;&gt; ""),ROW(HY$2:(INDIRECT(HV$799&amp;ID792+1)))))</f>
        <v>59</v>
      </c>
    </row>
    <row r="798" spans="1:239" hidden="1" x14ac:dyDescent="0.25"/>
    <row r="799" spans="1:239" hidden="1" x14ac:dyDescent="0.25">
      <c r="A799" s="2" t="str">
        <f>SUBSTITUTE(ADDRESS(1,COLUMN(J2),4),"1","")</f>
        <v>J</v>
      </c>
      <c r="B799" s="2" t="str">
        <f>SUBSTITUTE(ADDRESS(1,COLUMN(E2),4),"1","")</f>
        <v>E</v>
      </c>
      <c r="D799" s="2" t="str">
        <f>SUBSTITUTE(ADDRESS(1,COLUMN(F2),4),"1","")</f>
        <v>F</v>
      </c>
      <c r="M799" s="2" t="str">
        <f>SUBSTITUTE(ADDRESS(1,COLUMN(V2),4),"1","")</f>
        <v>V</v>
      </c>
      <c r="N799" s="2" t="str">
        <f>SUBSTITUTE(ADDRESS(1,COLUMN(Q2),4),"1","")</f>
        <v>Q</v>
      </c>
      <c r="P799" s="2" t="str">
        <f>SUBSTITUTE(ADDRESS(1,COLUMN(R2),4),"1","")</f>
        <v>R</v>
      </c>
      <c r="Y799" s="2" t="str">
        <f>SUBSTITUTE(ADDRESS(1,COLUMN(AH2),4),"1","")</f>
        <v>AH</v>
      </c>
      <c r="Z799" s="2" t="str">
        <f>SUBSTITUTE(ADDRESS(1,COLUMN(AC2),4),"1","")</f>
        <v>AC</v>
      </c>
      <c r="AB799" s="2" t="str">
        <f>SUBSTITUTE(ADDRESS(1,COLUMN(AD2),4),"1","")</f>
        <v>AD</v>
      </c>
      <c r="AK799" s="2" t="str">
        <f>SUBSTITUTE(ADDRESS(1,COLUMN(AT2),4),"1","")</f>
        <v>AT</v>
      </c>
      <c r="AL799" s="2" t="str">
        <f>SUBSTITUTE(ADDRESS(1,COLUMN(AO2),4),"1","")</f>
        <v>AO</v>
      </c>
      <c r="AN799" s="2" t="str">
        <f>SUBSTITUTE(ADDRESS(1,COLUMN(AP2),4),"1","")</f>
        <v>AP</v>
      </c>
      <c r="AW799" s="2" t="str">
        <f>SUBSTITUTE(ADDRESS(1,COLUMN(BF2),4),"1","")</f>
        <v>BF</v>
      </c>
      <c r="AX799" s="2" t="str">
        <f>SUBSTITUTE(ADDRESS(1,COLUMN(BA2),4),"1","")</f>
        <v>BA</v>
      </c>
      <c r="AZ799" s="2" t="str">
        <f>SUBSTITUTE(ADDRESS(1,COLUMN(BB2),4),"1","")</f>
        <v>BB</v>
      </c>
      <c r="BI799" s="2" t="str">
        <f>SUBSTITUTE(ADDRESS(1,COLUMN(BR2),4),"1","")</f>
        <v>BR</v>
      </c>
      <c r="BJ799" s="2" t="str">
        <f>SUBSTITUTE(ADDRESS(1,COLUMN(BM2),4),"1","")</f>
        <v>BM</v>
      </c>
      <c r="BL799" s="2" t="str">
        <f>SUBSTITUTE(ADDRESS(1,COLUMN(BN2),4),"1","")</f>
        <v>BN</v>
      </c>
      <c r="BU799" s="2" t="str">
        <f>SUBSTITUTE(ADDRESS(1,COLUMN(CD2),4),"1","")</f>
        <v>CD</v>
      </c>
      <c r="BV799" s="2" t="str">
        <f>SUBSTITUTE(ADDRESS(1,COLUMN(BY2),4),"1","")</f>
        <v>BY</v>
      </c>
      <c r="BX799" s="2" t="str">
        <f>SUBSTITUTE(ADDRESS(1,COLUMN(BZ2),4),"1","")</f>
        <v>BZ</v>
      </c>
      <c r="CG799" s="2" t="str">
        <f>SUBSTITUTE(ADDRESS(1,COLUMN(CP2),4),"1","")</f>
        <v>CP</v>
      </c>
      <c r="CH799" s="2" t="str">
        <f>SUBSTITUTE(ADDRESS(1,COLUMN(CK2),4),"1","")</f>
        <v>CK</v>
      </c>
      <c r="CJ799" s="2" t="str">
        <f>SUBSTITUTE(ADDRESS(1,COLUMN(CL2),4),"1","")</f>
        <v>CL</v>
      </c>
      <c r="CS799" s="2" t="str">
        <f>SUBSTITUTE(ADDRESS(1,COLUMN(DB2),4),"1","")</f>
        <v>DB</v>
      </c>
      <c r="CT799" s="2" t="str">
        <f>SUBSTITUTE(ADDRESS(1,COLUMN(CW2),4),"1","")</f>
        <v>CW</v>
      </c>
      <c r="CV799" s="2" t="str">
        <f>SUBSTITUTE(ADDRESS(1,COLUMN(CX2),4),"1","")</f>
        <v>CX</v>
      </c>
      <c r="DE799" s="2" t="str">
        <f>SUBSTITUTE(ADDRESS(1,COLUMN(DN2),4),"1","")</f>
        <v>DN</v>
      </c>
      <c r="DF799" s="2" t="str">
        <f>SUBSTITUTE(ADDRESS(1,COLUMN(DI2),4),"1","")</f>
        <v>DI</v>
      </c>
      <c r="DH799" s="2" t="str">
        <f>SUBSTITUTE(ADDRESS(1,COLUMN(DJ2),4),"1","")</f>
        <v>DJ</v>
      </c>
      <c r="DQ799" s="2" t="str">
        <f>SUBSTITUTE(ADDRESS(1,COLUMN(DZ2),4),"1","")</f>
        <v>DZ</v>
      </c>
      <c r="DR799" s="2" t="str">
        <f>SUBSTITUTE(ADDRESS(1,COLUMN(DU2),4),"1","")</f>
        <v>DU</v>
      </c>
      <c r="DT799" s="2" t="str">
        <f>SUBSTITUTE(ADDRESS(1,COLUMN(DV2),4),"1","")</f>
        <v>DV</v>
      </c>
      <c r="EC799" s="2" t="str">
        <f>SUBSTITUTE(ADDRESS(1,COLUMN(EL2),4),"1","")</f>
        <v>EL</v>
      </c>
      <c r="ED799" s="2" t="str">
        <f>SUBSTITUTE(ADDRESS(1,COLUMN(EG2),4),"1","")</f>
        <v>EG</v>
      </c>
      <c r="EF799" s="2" t="str">
        <f>SUBSTITUTE(ADDRESS(1,COLUMN(EH2),4),"1","")</f>
        <v>EH</v>
      </c>
      <c r="EO799" s="2" t="str">
        <f>SUBSTITUTE(ADDRESS(1,COLUMN(EX2),4),"1","")</f>
        <v>EX</v>
      </c>
      <c r="EP799" s="2" t="str">
        <f>SUBSTITUTE(ADDRESS(1,COLUMN(ES2),4),"1","")</f>
        <v>ES</v>
      </c>
      <c r="ER799" s="2" t="str">
        <f>SUBSTITUTE(ADDRESS(1,COLUMN(ET2),4),"1","")</f>
        <v>ET</v>
      </c>
      <c r="FA799" s="2" t="str">
        <f>SUBSTITUTE(ADDRESS(1,COLUMN(FJ2),4),"1","")</f>
        <v>FJ</v>
      </c>
      <c r="FB799" s="2" t="str">
        <f>SUBSTITUTE(ADDRESS(1,COLUMN(FE2),4),"1","")</f>
        <v>FE</v>
      </c>
      <c r="FD799" s="2" t="str">
        <f>SUBSTITUTE(ADDRESS(1,COLUMN(FF2),4),"1","")</f>
        <v>FF</v>
      </c>
      <c r="FM799" s="2" t="str">
        <f>SUBSTITUTE(ADDRESS(1,COLUMN(FV2),4),"1","")</f>
        <v>FV</v>
      </c>
      <c r="FN799" s="2" t="str">
        <f>SUBSTITUTE(ADDRESS(1,COLUMN(FQ2),4),"1","")</f>
        <v>FQ</v>
      </c>
      <c r="FP799" s="2" t="str">
        <f>SUBSTITUTE(ADDRESS(1,COLUMN(FR2),4),"1","")</f>
        <v>FR</v>
      </c>
      <c r="FY799" s="2" t="str">
        <f>SUBSTITUTE(ADDRESS(1,COLUMN(GH2),4),"1","")</f>
        <v>GH</v>
      </c>
      <c r="FZ799" s="2" t="str">
        <f>SUBSTITUTE(ADDRESS(1,COLUMN(GC2),4),"1","")</f>
        <v>GC</v>
      </c>
      <c r="GB799" s="2" t="str">
        <f>SUBSTITUTE(ADDRESS(1,COLUMN(GD2),4),"1","")</f>
        <v>GD</v>
      </c>
      <c r="GK799" s="2" t="str">
        <f>SUBSTITUTE(ADDRESS(1,COLUMN(GT2),4),"1","")</f>
        <v>GT</v>
      </c>
      <c r="GL799" s="2" t="str">
        <f>SUBSTITUTE(ADDRESS(1,COLUMN(GO2),4),"1","")</f>
        <v>GO</v>
      </c>
      <c r="GN799" s="2" t="str">
        <f>SUBSTITUTE(ADDRESS(1,COLUMN(GP2),4),"1","")</f>
        <v>GP</v>
      </c>
      <c r="GW799" s="2" t="str">
        <f>SUBSTITUTE(ADDRESS(1,COLUMN(HF2),4),"1","")</f>
        <v>HF</v>
      </c>
      <c r="GX799" s="2" t="str">
        <f>SUBSTITUTE(ADDRESS(1,COLUMN(HA2),4),"1","")</f>
        <v>HA</v>
      </c>
      <c r="GZ799" s="2" t="str">
        <f>SUBSTITUTE(ADDRESS(1,COLUMN(HB2),4),"1","")</f>
        <v>HB</v>
      </c>
      <c r="HI799" s="2" t="str">
        <f>SUBSTITUTE(ADDRESS(1,COLUMN(HR2),4),"1","")</f>
        <v>HR</v>
      </c>
      <c r="HJ799" s="2" t="str">
        <f>SUBSTITUTE(ADDRESS(1,COLUMN(HM2),4),"1","")</f>
        <v>HM</v>
      </c>
      <c r="HL799" s="2" t="str">
        <f>SUBSTITUTE(ADDRESS(1,COLUMN(HN2),4),"1","")</f>
        <v>HN</v>
      </c>
      <c r="HU799" s="2" t="str">
        <f>SUBSTITUTE(ADDRESS(1,COLUMN(ID2),4),"1","")</f>
        <v>ID</v>
      </c>
      <c r="HV799" s="2" t="str">
        <f>SUBSTITUTE(ADDRESS(1,COLUMN(HY2),4),"1","")</f>
        <v>HY</v>
      </c>
      <c r="HX799" s="2" t="str">
        <f>SUBSTITUTE(ADDRESS(1,COLUMN(HZ2),4),"1","")</f>
        <v>HZ</v>
      </c>
    </row>
    <row r="800" spans="1:239" hidden="1" x14ac:dyDescent="0.25"/>
    <row r="801" s="1" customFormat="1" hidden="1" x14ac:dyDescent="0.25"/>
  </sheetData>
  <sheetProtection algorithmName="SHA-512" hashValue="rsX7kvNISOktJHeeQ//xbMhV2q0qMpzoZhrKd59XKOU5tNc4NGAoD48+iwtBO6RT5wSAieAB/jAVbndiM9ypXQ==" saltValue="b/vwCJ1tdo8XGYWrMl9ZOA==" spinCount="100000" sheet="1" objects="1" scenarios="1"/>
  <pageMargins left="0.7" right="0.7" top="0.75" bottom="0.75" header="0.3" footer="0.3"/>
  <pageSetup scale="50" fitToWidth="0" orientation="portrait" r:id="rId1"/>
  <colBreaks count="19" manualBreakCount="19">
    <brk id="12" max="1048575" man="1"/>
    <brk id="24" max="51" man="1"/>
    <brk id="36" max="1048575" man="1"/>
    <brk id="48" max="51" man="1"/>
    <brk id="60" max="1048575" man="1"/>
    <brk id="72" max="1048575" man="1"/>
    <brk id="84" max="1048575" man="1"/>
    <brk id="96" max="1048575" man="1"/>
    <brk id="108" max="1048575" man="1"/>
    <brk id="120" max="1048575" man="1"/>
    <brk id="132" max="1048575" man="1"/>
    <brk id="144" max="1048575" man="1"/>
    <brk id="156" max="1048575" man="1"/>
    <brk id="168" max="1048575" man="1"/>
    <brk id="180" max="1048575" man="1"/>
    <brk id="192" max="1048575" man="1"/>
    <brk id="204" max="1048575" man="1"/>
    <brk id="216" max="1048575" man="1"/>
    <brk id="2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Fixtures_by_Clubs</vt:lpstr>
      <vt:lpstr>Fixtures_by_Clubs!WPrint_Area_W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2024-12-04T20:17:20Z</dcterms:created>
  <dcterms:modified xsi:type="dcterms:W3CDTF">2024-12-05T12:02:53Z</dcterms:modified>
</cp:coreProperties>
</file>