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https://studntnu.sharepoint.com/sites/o365_RECC_WestAsiaNorthAfrica/Shared Documents/General/ODYM-RECC-mini/Dataset/"/>
    </mc:Choice>
  </mc:AlternateContent>
  <xr:revisionPtr revIDLastSave="14" documentId="13_ncr:1_{51FC57EF-2D8A-4E19-8422-349FF843F190}" xr6:coauthVersionLast="47" xr6:coauthVersionMax="47" xr10:uidLastSave="{94B8470D-CA98-4784-BF42-B719B11115B9}"/>
  <bookViews>
    <workbookView xWindow="57480" yWindow="-120" windowWidth="29040" windowHeight="15840" xr2:uid="{00000000-000D-0000-FFFF-FFFF00000000}"/>
  </bookViews>
  <sheets>
    <sheet name="Cover" sheetId="7" r:id="rId1"/>
    <sheet name="values" sheetId="6" r:id="rId2"/>
    <sheet name="values_before" sheetId="14" r:id="rId3"/>
    <sheet name="log" sheetId="9" r:id="rId4"/>
    <sheet name="ref" sheetId="10" r:id="rId5"/>
    <sheet name="___" sheetId="13" r:id="rId6"/>
    <sheet name="Calibration" sheetId="5" r:id="rId7"/>
    <sheet name="Calibration_Result" sheetId="8" r:id="rId8"/>
    <sheet name="ancillary data passenger cars" sheetId="4" r:id="rId9"/>
    <sheet name="passenger_km_pav" sheetId="11" r:id="rId10"/>
    <sheet name="ancillary data resbuildings" sheetId="3" r:id="rId11"/>
    <sheet name="ancil. data nonres buildings" sheetId="12"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29" i="5" l="1"/>
  <c r="AB29" i="5"/>
  <c r="AC29" i="5"/>
  <c r="AD29" i="5"/>
  <c r="AE29" i="5"/>
  <c r="AF29" i="5"/>
  <c r="AG29" i="5"/>
  <c r="AH29" i="5"/>
  <c r="AI29" i="5"/>
  <c r="AJ29" i="5"/>
  <c r="AK29" i="5"/>
  <c r="AL29" i="5"/>
  <c r="AM29" i="5"/>
  <c r="AN29" i="5"/>
  <c r="AO29" i="5"/>
  <c r="AP29" i="5"/>
  <c r="AQ29" i="5"/>
  <c r="AR29" i="5"/>
  <c r="AS29" i="5"/>
  <c r="AT29" i="5"/>
  <c r="AU29" i="5"/>
  <c r="Z29" i="5"/>
  <c r="K29" i="5"/>
  <c r="L29" i="5"/>
  <c r="M29" i="5"/>
  <c r="N29" i="5"/>
  <c r="O29" i="5"/>
  <c r="J29" i="5"/>
  <c r="AA16" i="5"/>
  <c r="AB16" i="5"/>
  <c r="AC16" i="5"/>
  <c r="AD16" i="5"/>
  <c r="AE16" i="5"/>
  <c r="AF16" i="5"/>
  <c r="AG16" i="5"/>
  <c r="AH16" i="5"/>
  <c r="AI16" i="5"/>
  <c r="AJ16" i="5"/>
  <c r="AK16" i="5"/>
  <c r="AL16" i="5"/>
  <c r="AM16" i="5"/>
  <c r="AN16" i="5"/>
  <c r="AO16" i="5"/>
  <c r="AP16" i="5"/>
  <c r="AQ16" i="5"/>
  <c r="AR16" i="5"/>
  <c r="AS16" i="5"/>
  <c r="AT16" i="5"/>
  <c r="AU16" i="5"/>
  <c r="Z16" i="5"/>
  <c r="K16" i="5"/>
  <c r="L16" i="5"/>
  <c r="M16" i="5"/>
  <c r="N16" i="5"/>
  <c r="O16" i="5"/>
  <c r="J16" i="5"/>
  <c r="AA3" i="5"/>
  <c r="AB3" i="5"/>
  <c r="AC3" i="5"/>
  <c r="AD3" i="5"/>
  <c r="AE3" i="5"/>
  <c r="AF3" i="5"/>
  <c r="AG3" i="5"/>
  <c r="AH3" i="5"/>
  <c r="AI3" i="5"/>
  <c r="AJ3" i="5"/>
  <c r="AK3" i="5"/>
  <c r="AL3" i="5"/>
  <c r="AM3" i="5"/>
  <c r="AN3" i="5"/>
  <c r="AO3" i="5"/>
  <c r="AP3" i="5"/>
  <c r="AQ3" i="5"/>
  <c r="AR3" i="5"/>
  <c r="AS3" i="5"/>
  <c r="AT3" i="5"/>
  <c r="AU3" i="5"/>
  <c r="Z3" i="5"/>
  <c r="K3" i="5"/>
  <c r="L3" i="5"/>
  <c r="M3" i="5"/>
  <c r="N3" i="5"/>
  <c r="O3" i="5"/>
  <c r="J3" i="5"/>
  <c r="N39" i="12" l="1"/>
  <c r="AA30" i="12" l="1"/>
  <c r="Z32" i="5" s="1"/>
  <c r="Z35" i="5" s="1"/>
  <c r="AB30" i="12"/>
  <c r="AA32" i="5" s="1"/>
  <c r="AC30" i="12"/>
  <c r="AD30" i="12"/>
  <c r="AC32" i="5" s="1"/>
  <c r="AE30" i="12"/>
  <c r="AD32" i="5" s="1"/>
  <c r="AF30" i="12"/>
  <c r="AE32" i="5" s="1"/>
  <c r="AG30" i="12"/>
  <c r="AF32" i="5" s="1"/>
  <c r="AH30" i="12"/>
  <c r="AG32" i="5" s="1"/>
  <c r="AI30" i="12"/>
  <c r="AH32" i="5" s="1"/>
  <c r="AJ30" i="12"/>
  <c r="AI32" i="5" s="1"/>
  <c r="AK30" i="12"/>
  <c r="AJ32" i="5" s="1"/>
  <c r="AL30" i="12"/>
  <c r="AK32" i="5" s="1"/>
  <c r="AM30" i="12"/>
  <c r="AL32" i="5" s="1"/>
  <c r="AN30" i="12"/>
  <c r="AM32" i="5" s="1"/>
  <c r="AO30" i="12"/>
  <c r="AN32" i="5" s="1"/>
  <c r="AP30" i="12"/>
  <c r="AO32" i="5" s="1"/>
  <c r="AQ30" i="12"/>
  <c r="AP32" i="5" s="1"/>
  <c r="AR30" i="12"/>
  <c r="AQ32" i="5" s="1"/>
  <c r="AS30" i="12"/>
  <c r="AT30" i="12"/>
  <c r="AS32" i="5" s="1"/>
  <c r="AU30" i="12"/>
  <c r="AT32" i="5" s="1"/>
  <c r="AV30" i="12"/>
  <c r="AU32" i="5" s="1"/>
  <c r="Z43" i="5" l="1"/>
  <c r="AA35" i="5"/>
  <c r="AA43" i="5" s="1"/>
  <c r="AB35" i="5"/>
  <c r="AB43" i="5" s="1"/>
  <c r="AC35" i="5"/>
  <c r="AC43" i="5" s="1"/>
  <c r="AD35" i="5"/>
  <c r="AD43" i="5" s="1"/>
  <c r="AE35" i="5"/>
  <c r="AE43" i="5" s="1"/>
  <c r="AF35" i="5"/>
  <c r="AF43" i="5" s="1"/>
  <c r="AG35" i="5"/>
  <c r="AG43" i="5" s="1"/>
  <c r="AH35" i="5"/>
  <c r="AH43" i="5" s="1"/>
  <c r="AI35" i="5"/>
  <c r="AI43" i="5" s="1"/>
  <c r="AJ35" i="5"/>
  <c r="AJ43" i="5" s="1"/>
  <c r="AK35" i="5"/>
  <c r="AK43" i="5" s="1"/>
  <c r="AL35" i="5"/>
  <c r="AL43" i="5" s="1"/>
  <c r="AM35" i="5"/>
  <c r="AM43" i="5" s="1"/>
  <c r="AN35" i="5"/>
  <c r="AN43" i="5" s="1"/>
  <c r="AO35" i="5"/>
  <c r="AO43" i="5" s="1"/>
  <c r="AP35" i="5"/>
  <c r="AP43" i="5" s="1"/>
  <c r="AQ35" i="5"/>
  <c r="AQ43" i="5" s="1"/>
  <c r="AR35" i="5"/>
  <c r="AR43" i="5" s="1"/>
  <c r="AS35" i="5"/>
  <c r="AS43" i="5" s="1"/>
  <c r="AT35" i="5"/>
  <c r="AT43" i="5" s="1"/>
  <c r="AU35" i="5"/>
  <c r="AU43" i="5" s="1"/>
  <c r="K64" i="3"/>
  <c r="AD19" i="5" s="1"/>
  <c r="AD22" i="5" s="1"/>
  <c r="AD42" i="5" s="1"/>
  <c r="K75" i="3"/>
  <c r="AM19" i="5" s="1"/>
  <c r="AM22" i="5" s="1"/>
  <c r="AM42" i="5" s="1"/>
  <c r="AS19" i="5"/>
  <c r="AS22" i="5" s="1"/>
  <c r="AS42" i="5" s="1"/>
  <c r="AT19" i="5"/>
  <c r="AT22" i="5" s="1"/>
  <c r="AT42" i="5" s="1"/>
  <c r="AB19" i="5"/>
  <c r="AB22" i="5" s="1"/>
  <c r="AB42" i="5" s="1"/>
  <c r="B64" i="3"/>
  <c r="B75" i="3"/>
  <c r="B79" i="3"/>
  <c r="K79" i="3" s="1"/>
  <c r="AC19" i="5" s="1"/>
  <c r="AC22" i="5" s="1"/>
  <c r="AC42" i="5" s="1"/>
  <c r="B76" i="3"/>
  <c r="K76" i="3" s="1"/>
  <c r="AR19" i="5" s="1"/>
  <c r="AR22" i="5" s="1"/>
  <c r="AR42" i="5" s="1"/>
  <c r="B74" i="3"/>
  <c r="K74" i="3" s="1"/>
  <c r="AL19" i="5" s="1"/>
  <c r="AL22" i="5" s="1"/>
  <c r="AL42" i="5" s="1"/>
  <c r="B73" i="3"/>
  <c r="K73" i="3" s="1"/>
  <c r="B70" i="3"/>
  <c r="K70" i="3" s="1"/>
  <c r="B69" i="3"/>
  <c r="K69" i="3" s="1"/>
  <c r="B68" i="3"/>
  <c r="K68" i="3" s="1"/>
  <c r="AO19" i="5" s="1"/>
  <c r="AO22" i="5" s="1"/>
  <c r="AO42" i="5" s="1"/>
  <c r="B67" i="3"/>
  <c r="K67" i="3" s="1"/>
  <c r="AJ19" i="5" s="1"/>
  <c r="AJ22" i="5" s="1"/>
  <c r="AJ42" i="5" s="1"/>
  <c r="B66" i="3"/>
  <c r="K66" i="3" s="1"/>
  <c r="AG19" i="5" s="1"/>
  <c r="AG22" i="5" s="1"/>
  <c r="AG42" i="5" s="1"/>
  <c r="K65" i="3"/>
  <c r="AE19" i="5" s="1"/>
  <c r="AE22" i="5" s="1"/>
  <c r="AE42" i="5" s="1"/>
  <c r="B65" i="3"/>
  <c r="K55" i="3"/>
  <c r="AH19" i="5" s="1"/>
  <c r="AH22" i="5" s="1"/>
  <c r="AH42" i="5" s="1"/>
  <c r="K56" i="3"/>
  <c r="AI19" i="5" s="1"/>
  <c r="AI22" i="5" s="1"/>
  <c r="AI42" i="5" s="1"/>
  <c r="K59" i="3"/>
  <c r="AP19" i="5" s="1"/>
  <c r="AP22" i="5" s="1"/>
  <c r="AP42" i="5" s="1"/>
  <c r="B61" i="3"/>
  <c r="K61" i="3" s="1"/>
  <c r="AU19" i="5" s="1"/>
  <c r="AU22" i="5" s="1"/>
  <c r="AU42" i="5" s="1"/>
  <c r="B60" i="3"/>
  <c r="K60" i="3" s="1"/>
  <c r="AQ19" i="5" s="1"/>
  <c r="AQ22" i="5" s="1"/>
  <c r="AQ42" i="5" s="1"/>
  <c r="B59" i="3"/>
  <c r="B58" i="3"/>
  <c r="K58" i="3" s="1"/>
  <c r="AN19" i="5" s="1"/>
  <c r="AN22" i="5" s="1"/>
  <c r="AN42" i="5" s="1"/>
  <c r="B57" i="3"/>
  <c r="K57" i="3" s="1"/>
  <c r="AK19" i="5" s="1"/>
  <c r="AK22" i="5" s="1"/>
  <c r="AK42" i="5" s="1"/>
  <c r="B56" i="3"/>
  <c r="B55" i="3"/>
  <c r="B54" i="3"/>
  <c r="K54" i="3" s="1"/>
  <c r="AF19" i="5" s="1"/>
  <c r="AF22" i="5" s="1"/>
  <c r="AF42" i="5" s="1"/>
  <c r="B53" i="3"/>
  <c r="K53" i="3" s="1"/>
  <c r="AA19" i="5" s="1"/>
  <c r="AA22" i="5" s="1"/>
  <c r="AA42" i="5" s="1"/>
  <c r="M75" i="3"/>
  <c r="M64" i="3"/>
  <c r="B52" i="3"/>
  <c r="K52" i="3" s="1"/>
  <c r="Z19" i="5" s="1"/>
  <c r="Z22" i="5" s="1"/>
  <c r="Z42" i="5" s="1"/>
  <c r="U30" i="5" l="1"/>
  <c r="U29" i="5"/>
  <c r="U35" i="5" s="1"/>
  <c r="D35" i="5"/>
  <c r="E35" i="5"/>
  <c r="F35" i="5"/>
  <c r="G35" i="5"/>
  <c r="H35" i="5"/>
  <c r="I35" i="5"/>
  <c r="J35" i="5"/>
  <c r="K35" i="5"/>
  <c r="L35" i="5"/>
  <c r="M35" i="5"/>
  <c r="N35" i="5"/>
  <c r="O35" i="5"/>
  <c r="P35" i="5"/>
  <c r="Q35" i="5"/>
  <c r="R35" i="5"/>
  <c r="S35" i="5"/>
  <c r="T35" i="5"/>
  <c r="V35" i="5"/>
  <c r="W35" i="5"/>
  <c r="X35" i="5"/>
  <c r="Y35" i="5"/>
  <c r="O40" i="12" l="1"/>
  <c r="H46" i="12"/>
  <c r="V29" i="12"/>
  <c r="D30" i="12" l="1"/>
  <c r="E30" i="12"/>
  <c r="F30" i="12"/>
  <c r="G30" i="12"/>
  <c r="H30" i="12"/>
  <c r="I30" i="12"/>
  <c r="J30" i="12"/>
  <c r="K30" i="12"/>
  <c r="L30" i="12"/>
  <c r="M30" i="12"/>
  <c r="N30" i="12"/>
  <c r="O30" i="12"/>
  <c r="P30" i="12"/>
  <c r="Q30" i="12"/>
  <c r="R30" i="12"/>
  <c r="S30" i="12"/>
  <c r="T30" i="12"/>
  <c r="U30" i="12"/>
  <c r="V30" i="12"/>
  <c r="W30" i="12"/>
  <c r="X30" i="12"/>
  <c r="Y30" i="12"/>
  <c r="Z30" i="12"/>
  <c r="R22" i="5" l="1"/>
  <c r="R42" i="5" s="1"/>
  <c r="S22" i="5"/>
  <c r="S42" i="5" s="1"/>
  <c r="T22" i="5"/>
  <c r="T42" i="5" s="1"/>
  <c r="U22" i="5"/>
  <c r="V22" i="5"/>
  <c r="V42" i="5" s="1"/>
  <c r="W22" i="5"/>
  <c r="X22" i="5"/>
  <c r="X42" i="5" s="1"/>
  <c r="Y22" i="5"/>
  <c r="Y42" i="5" s="1"/>
  <c r="Y6" i="8" l="1"/>
  <c r="Y9" i="8" s="1"/>
  <c r="X6" i="8"/>
  <c r="X9" i="8" s="1"/>
  <c r="Y43" i="5"/>
  <c r="Y6" i="5"/>
  <c r="Y9" i="5" s="1"/>
  <c r="Y41" i="5" s="1"/>
  <c r="X43" i="5"/>
  <c r="X6" i="5"/>
  <c r="X9" i="5" s="1"/>
  <c r="X41" i="5" s="1"/>
  <c r="Q35" i="8" l="1"/>
  <c r="P35" i="8"/>
  <c r="O35" i="8"/>
  <c r="N35" i="8"/>
  <c r="M35" i="8"/>
  <c r="L35" i="8"/>
  <c r="J35" i="8"/>
  <c r="I35" i="8"/>
  <c r="H35" i="8"/>
  <c r="G35" i="8"/>
  <c r="E35" i="8"/>
  <c r="D35" i="8"/>
  <c r="C35" i="8"/>
  <c r="W6" i="8"/>
  <c r="W9" i="8" s="1"/>
  <c r="V6" i="8"/>
  <c r="V9" i="8" s="1"/>
  <c r="U6" i="8"/>
  <c r="U9" i="8" s="1"/>
  <c r="T6" i="8"/>
  <c r="T9" i="8" s="1"/>
  <c r="S6" i="8"/>
  <c r="S9" i="8" s="1"/>
  <c r="R6" i="8"/>
  <c r="R9" i="8" s="1"/>
  <c r="S6" i="5" l="1"/>
  <c r="S9" i="5" s="1"/>
  <c r="S41" i="5" s="1"/>
  <c r="T6" i="5"/>
  <c r="T9" i="5" s="1"/>
  <c r="T41" i="5" s="1"/>
  <c r="U6" i="5"/>
  <c r="U9" i="5" s="1"/>
  <c r="U41" i="5" s="1"/>
  <c r="V6" i="5"/>
  <c r="V9" i="5" s="1"/>
  <c r="V41" i="5" s="1"/>
  <c r="W6" i="5"/>
  <c r="W9" i="5" s="1"/>
  <c r="R6" i="5"/>
  <c r="R9" i="5" s="1"/>
  <c r="R41" i="5" s="1"/>
  <c r="R43" i="5" l="1"/>
  <c r="S43" i="5"/>
  <c r="T43" i="5"/>
  <c r="U43" i="5"/>
  <c r="V43" i="5"/>
  <c r="W43" i="5"/>
  <c r="J12" i="12" l="1"/>
  <c r="B10" i="12"/>
  <c r="J10" i="12" s="1"/>
  <c r="J8" i="12"/>
  <c r="J5" i="12"/>
  <c r="J14" i="12" s="1"/>
  <c r="J16" i="12" l="1"/>
  <c r="Q43" i="5"/>
  <c r="P43" i="5"/>
  <c r="M43" i="5"/>
  <c r="L43" i="5"/>
  <c r="I43" i="5"/>
  <c r="H43" i="5"/>
  <c r="D43" i="5"/>
  <c r="C35" i="5"/>
  <c r="C43" i="5" s="1"/>
  <c r="O43" i="5"/>
  <c r="N43" i="5"/>
  <c r="K43" i="5"/>
  <c r="J43" i="5"/>
  <c r="G43" i="5"/>
  <c r="E43" i="5"/>
  <c r="M35" i="3" l="1"/>
  <c r="F49" i="3"/>
  <c r="K35" i="3" s="1"/>
  <c r="I19" i="8" s="1"/>
  <c r="I22" i="8" s="1"/>
  <c r="I10" i="9" l="1"/>
  <c r="I9" i="9"/>
  <c r="I5" i="11" l="1"/>
  <c r="I6" i="11"/>
  <c r="I7" i="11"/>
  <c r="I8" i="11"/>
  <c r="I9" i="11"/>
  <c r="I10" i="11"/>
  <c r="I11" i="11"/>
  <c r="I12" i="11"/>
  <c r="I13" i="11"/>
  <c r="I14" i="11"/>
  <c r="I15" i="11"/>
  <c r="I16" i="11"/>
  <c r="I17" i="11"/>
  <c r="I4" i="11"/>
  <c r="K33" i="3" l="1"/>
  <c r="D19" i="8" s="1"/>
  <c r="D22" i="8" s="1"/>
  <c r="K37" i="3"/>
  <c r="H19" i="8" s="1"/>
  <c r="H22" i="8" s="1"/>
  <c r="K36" i="3" l="1"/>
  <c r="C19" i="8" s="1"/>
  <c r="C22" i="8" s="1"/>
  <c r="K34" i="3"/>
  <c r="G19" i="8" s="1"/>
  <c r="G22" i="8" s="1"/>
  <c r="K39" i="3" l="1"/>
  <c r="K19" i="8" s="1"/>
  <c r="K22" i="8" s="1"/>
  <c r="K40" i="3"/>
  <c r="L19" i="8" s="1"/>
  <c r="L22" i="8" s="1"/>
  <c r="K41" i="3"/>
  <c r="M19" i="8" s="1"/>
  <c r="M22" i="8" s="1"/>
  <c r="K42" i="3"/>
  <c r="N19" i="8" s="1"/>
  <c r="N22" i="8" s="1"/>
  <c r="K43" i="3"/>
  <c r="O19" i="8" s="1"/>
  <c r="O22" i="8" s="1"/>
  <c r="K44" i="3"/>
  <c r="P19" i="8" s="1"/>
  <c r="P22" i="8" s="1"/>
  <c r="K45" i="3"/>
  <c r="Q19" i="8" s="1"/>
  <c r="Q22" i="8" s="1"/>
  <c r="K46" i="3"/>
  <c r="E19" i="8" s="1"/>
  <c r="E22" i="8" s="1"/>
  <c r="K38" i="3"/>
  <c r="M19" i="5"/>
  <c r="K19" i="5"/>
  <c r="C19" i="5"/>
  <c r="D19" i="5"/>
  <c r="D22" i="5" s="1"/>
  <c r="D42" i="5" s="1"/>
  <c r="G19" i="5"/>
  <c r="G22" i="5" s="1"/>
  <c r="G42" i="5" s="1"/>
  <c r="O19" i="5" l="1"/>
  <c r="J19" i="8"/>
  <c r="J22" i="8" s="1"/>
  <c r="J19" i="5"/>
  <c r="J22" i="5" s="1"/>
  <c r="E19" i="5"/>
  <c r="P19" i="5"/>
  <c r="N19" i="5"/>
  <c r="Q19" i="5"/>
  <c r="L19" i="5"/>
  <c r="S39" i="4" l="1"/>
  <c r="S40" i="4" l="1"/>
  <c r="K6" i="4" l="1"/>
  <c r="I6" i="8" s="1"/>
  <c r="I9" i="8" s="1"/>
  <c r="N24" i="4"/>
  <c r="N21" i="4"/>
  <c r="Q26" i="4" l="1"/>
  <c r="Q34" i="4" s="1"/>
  <c r="K47" i="4" s="1"/>
  <c r="AC6" i="5" s="1"/>
  <c r="AC9" i="5" s="1"/>
  <c r="AC41" i="5" s="1"/>
  <c r="K22" i="4"/>
  <c r="AF6" i="5" s="1"/>
  <c r="AF9" i="5" s="1"/>
  <c r="AF41" i="5" s="1"/>
  <c r="K21" i="4"/>
  <c r="AA6" i="5" s="1"/>
  <c r="AA9" i="5" s="1"/>
  <c r="AA41" i="5" s="1"/>
  <c r="K35" i="4"/>
  <c r="AJ6" i="5" s="1"/>
  <c r="AJ9" i="5" s="1"/>
  <c r="AJ41" i="5" s="1"/>
  <c r="K15" i="4"/>
  <c r="L6" i="8" s="1"/>
  <c r="L9" i="8" s="1"/>
  <c r="K24" i="4"/>
  <c r="AI6" i="5" s="1"/>
  <c r="AI9" i="5" s="1"/>
  <c r="AI41" i="5" s="1"/>
  <c r="K26" i="4"/>
  <c r="AN6" i="5" s="1"/>
  <c r="AN9" i="5" s="1"/>
  <c r="AN41" i="5" s="1"/>
  <c r="K32" i="4"/>
  <c r="AD6" i="5" s="1"/>
  <c r="AD9" i="5" s="1"/>
  <c r="AD41" i="5" s="1"/>
  <c r="I6" i="5"/>
  <c r="I9" i="5" s="1"/>
  <c r="I41" i="5" s="1"/>
  <c r="K28" i="4" l="1"/>
  <c r="AQ6" i="5" s="1"/>
  <c r="AQ9" i="5" s="1"/>
  <c r="AQ41" i="5" s="1"/>
  <c r="K37" i="4"/>
  <c r="AS6" i="5" s="1"/>
  <c r="AS9" i="5" s="1"/>
  <c r="AS41" i="5" s="1"/>
  <c r="K18" i="4"/>
  <c r="O6" i="8" s="1"/>
  <c r="O9" i="8" s="1"/>
  <c r="K25" i="4"/>
  <c r="AK6" i="5" s="1"/>
  <c r="AK9" i="5" s="1"/>
  <c r="AK41" i="5" s="1"/>
  <c r="K17" i="4"/>
  <c r="N6" i="8" s="1"/>
  <c r="N9" i="8" s="1"/>
  <c r="K38" i="4"/>
  <c r="AT6" i="5" s="1"/>
  <c r="AT9" i="5" s="1"/>
  <c r="AT41" i="5" s="1"/>
  <c r="K13" i="4"/>
  <c r="J6" i="8" s="1"/>
  <c r="J9" i="8" s="1"/>
  <c r="K16" i="4"/>
  <c r="M6" i="8" s="1"/>
  <c r="M9" i="8" s="1"/>
  <c r="K27" i="4"/>
  <c r="AP6" i="5" s="1"/>
  <c r="AP9" i="5" s="1"/>
  <c r="AP41" i="5" s="1"/>
  <c r="K36" i="4"/>
  <c r="AO6" i="5" s="1"/>
  <c r="AO9" i="5" s="1"/>
  <c r="AO41" i="5" s="1"/>
  <c r="K23" i="4"/>
  <c r="AH6" i="5" s="1"/>
  <c r="AH9" i="5" s="1"/>
  <c r="AH41" i="5" s="1"/>
  <c r="K33" i="4"/>
  <c r="AE6" i="5" s="1"/>
  <c r="AE9" i="5" s="1"/>
  <c r="AE41" i="5" s="1"/>
  <c r="K20" i="4"/>
  <c r="Z6" i="5" s="1"/>
  <c r="Z9" i="5" s="1"/>
  <c r="Z41" i="5" s="1"/>
  <c r="K29" i="4"/>
  <c r="AU6" i="5" s="1"/>
  <c r="AU9" i="5" s="1"/>
  <c r="AU41" i="5" s="1"/>
  <c r="K34" i="4"/>
  <c r="AG6" i="5" s="1"/>
  <c r="AG9" i="5" s="1"/>
  <c r="AG41" i="5" s="1"/>
  <c r="K10" i="4"/>
  <c r="H6" i="8" s="1"/>
  <c r="H9" i="8" s="1"/>
  <c r="O6" i="5"/>
  <c r="H6" i="5"/>
  <c r="L6" i="5"/>
  <c r="K41" i="4"/>
  <c r="AB6" i="5" s="1"/>
  <c r="AB9" i="5" s="1"/>
  <c r="AB41" i="5" s="1"/>
  <c r="K42" i="4"/>
  <c r="AL6" i="5" s="1"/>
  <c r="AL9" i="5" s="1"/>
  <c r="AL41" i="5" s="1"/>
  <c r="K43" i="4"/>
  <c r="AM6" i="5" s="1"/>
  <c r="AM9" i="5" s="1"/>
  <c r="AM41" i="5" s="1"/>
  <c r="K44" i="4"/>
  <c r="AR6" i="5" s="1"/>
  <c r="AR9" i="5" s="1"/>
  <c r="AR41" i="5" s="1"/>
  <c r="J6" i="5" l="1"/>
  <c r="N6" i="5"/>
  <c r="M6" i="5"/>
  <c r="S12" i="4"/>
  <c r="S11" i="4"/>
  <c r="N6" i="4"/>
  <c r="N7" i="4" s="1"/>
  <c r="S13" i="4" l="1"/>
  <c r="Q16" i="4" s="1"/>
  <c r="K14" i="4" s="1"/>
  <c r="K6" i="8" s="1"/>
  <c r="K9" i="8" s="1"/>
  <c r="E22" i="5"/>
  <c r="E42" i="5" s="1"/>
  <c r="J42" i="5"/>
  <c r="K22" i="5"/>
  <c r="K42" i="5" s="1"/>
  <c r="L22" i="5"/>
  <c r="L42" i="5" s="1"/>
  <c r="M22" i="5"/>
  <c r="M42" i="5" s="1"/>
  <c r="N22" i="5"/>
  <c r="N42" i="5" s="1"/>
  <c r="O22" i="5"/>
  <c r="O42" i="5" s="1"/>
  <c r="P22" i="5"/>
  <c r="P42" i="5" s="1"/>
  <c r="Q22" i="5"/>
  <c r="Q42" i="5" s="1"/>
  <c r="C22" i="5"/>
  <c r="C42" i="5" s="1"/>
  <c r="H9" i="5"/>
  <c r="H41" i="5" s="1"/>
  <c r="J9" i="5"/>
  <c r="J41" i="5" s="1"/>
  <c r="L9" i="5"/>
  <c r="L41" i="5" s="1"/>
  <c r="M9" i="5"/>
  <c r="M41" i="5" s="1"/>
  <c r="N9" i="5"/>
  <c r="N41" i="5" s="1"/>
  <c r="O9" i="5"/>
  <c r="O41" i="5" s="1"/>
  <c r="K6" i="5" l="1"/>
  <c r="K9" i="5" s="1"/>
  <c r="K41" i="5" s="1"/>
  <c r="B45" i="4"/>
  <c r="K45" i="4" s="1"/>
  <c r="B39" i="4"/>
  <c r="K39" i="4" s="1"/>
  <c r="B30" i="4"/>
  <c r="K30" i="4" s="1"/>
  <c r="K9" i="4"/>
  <c r="C6" i="8" s="1"/>
  <c r="C9" i="8" s="1"/>
  <c r="K8" i="4"/>
  <c r="G6" i="8" s="1"/>
  <c r="G9" i="8" s="1"/>
  <c r="K7" i="4"/>
  <c r="D6" i="8" s="1"/>
  <c r="D9" i="8" s="1"/>
  <c r="P6" i="8" l="1"/>
  <c r="P9" i="8" s="1"/>
  <c r="Q6" i="8"/>
  <c r="Q9" i="8" s="1"/>
  <c r="E6" i="8"/>
  <c r="E9" i="8" s="1"/>
  <c r="C6" i="5"/>
  <c r="C9" i="5" s="1"/>
  <c r="C41" i="5" s="1"/>
  <c r="D6" i="5"/>
  <c r="D9" i="5" s="1"/>
  <c r="D41" i="5" s="1"/>
  <c r="G6" i="5"/>
  <c r="G9" i="5" s="1"/>
  <c r="P6" i="5"/>
  <c r="P9" i="5" s="1"/>
  <c r="P41" i="5" s="1"/>
  <c r="Q6" i="5"/>
  <c r="Q9" i="5" s="1"/>
  <c r="Q41" i="5" s="1"/>
  <c r="E6" i="5"/>
  <c r="E9" i="5" s="1"/>
  <c r="E41" i="5" s="1"/>
  <c r="I19" i="5"/>
  <c r="I22" i="5" s="1"/>
  <c r="I42" i="5" s="1"/>
  <c r="H19" i="5"/>
  <c r="H22" i="5" s="1"/>
  <c r="H42" i="5" s="1"/>
  <c r="B27" i="3"/>
  <c r="B21" i="3"/>
  <c r="B12" i="3"/>
</calcChain>
</file>

<file path=xl/sharedStrings.xml><?xml version="1.0" encoding="utf-8"?>
<sst xmlns="http://schemas.openxmlformats.org/spreadsheetml/2006/main" count="1626" uniqueCount="442">
  <si>
    <t>countries</t>
  </si>
  <si>
    <t>Canada</t>
  </si>
  <si>
    <t>China</t>
  </si>
  <si>
    <t>India</t>
  </si>
  <si>
    <t>USA</t>
  </si>
  <si>
    <t>Japan</t>
  </si>
  <si>
    <t>France</t>
  </si>
  <si>
    <t>Germany</t>
  </si>
  <si>
    <t>Italy</t>
  </si>
  <si>
    <t>Poland</t>
  </si>
  <si>
    <t>Spain</t>
  </si>
  <si>
    <t>United_Kingdom</t>
  </si>
  <si>
    <t>Oth_R32EU15</t>
  </si>
  <si>
    <t>comments</t>
  </si>
  <si>
    <t>Oth_R32EU12-H</t>
  </si>
  <si>
    <t>R32EU12-M</t>
  </si>
  <si>
    <t>source</t>
  </si>
  <si>
    <t>link</t>
  </si>
  <si>
    <t>amount</t>
  </si>
  <si>
    <t>year</t>
  </si>
  <si>
    <t>unit</t>
  </si>
  <si>
    <t>2016?</t>
  </si>
  <si>
    <t>Eurostat</t>
  </si>
  <si>
    <t>https://ec.europa.eu/eurostat/documents/3217494/9172750/KS-EN-18-001-EN-N.pdf/474c2308-002a-40cd-87b6-9364209bf936</t>
  </si>
  <si>
    <t>Belgium</t>
  </si>
  <si>
    <t>Denmark</t>
  </si>
  <si>
    <t>Finland</t>
  </si>
  <si>
    <t>Greece</t>
  </si>
  <si>
    <t>Ireland</t>
  </si>
  <si>
    <t>Luxembourg</t>
  </si>
  <si>
    <t>Netherlands</t>
  </si>
  <si>
    <t>Portugal</t>
  </si>
  <si>
    <t>Sweden</t>
  </si>
  <si>
    <t>Austria</t>
  </si>
  <si>
    <t>kt</t>
  </si>
  <si>
    <t>Czech_Republic</t>
  </si>
  <si>
    <t>Estonia</t>
  </si>
  <si>
    <t>Hungary</t>
  </si>
  <si>
    <t>Malta</t>
  </si>
  <si>
    <t>Slovakia</t>
  </si>
  <si>
    <t>Slovenia</t>
  </si>
  <si>
    <t>Cyprus</t>
  </si>
  <si>
    <t>Latvia</t>
  </si>
  <si>
    <t>Lithuania</t>
  </si>
  <si>
    <t>Romania</t>
  </si>
  <si>
    <t>Bulgaria</t>
  </si>
  <si>
    <t>IEA</t>
  </si>
  <si>
    <t>https://www.iea.org/statistics/kwes/consumption/</t>
  </si>
  <si>
    <t>Mtoe</t>
  </si>
  <si>
    <t>ktoe</t>
  </si>
  <si>
    <t>TJ</t>
  </si>
  <si>
    <t>https://www150.statcan.gc.ca/t1/tbl1/en/tv.action?pid=2510002901</t>
  </si>
  <si>
    <t>Statistics Canada</t>
  </si>
  <si>
    <t>Convert data from Tons Oil Equivalent to Joules</t>
  </si>
  <si>
    <t>comment</t>
  </si>
  <si>
    <t>Austria, Belgium, Denmark, Finland, Greece, Ireland, Luxembourg, Netherlands, Portugal, Sweden.</t>
  </si>
  <si>
    <t>Cyprus, Czech_Republic, Estonia, Hungary, Malta, Slovakia, Slovenia.</t>
  </si>
  <si>
    <t>Bulgaria, Latvia, Lithuania, Romania.</t>
  </si>
  <si>
    <t>1 Mio tonnes of oil equivalent = 41868 terajoules (http://www.conversion-website.com/energy/ton-of-oil-equivalent-to-terajoule.html)</t>
  </si>
  <si>
    <t>https://www.eia.gov/outlooks/ieo/pdf/transportation.pdf</t>
  </si>
  <si>
    <t>Figure 8-9. Transportation energy consumption by mode in selected countries and regions, 2012 (percent) (S.5):</t>
  </si>
  <si>
    <t>Transportation Energy Data Book</t>
  </si>
  <si>
    <t>Excel file</t>
  </si>
  <si>
    <t>Transportation_Energy_Book_USA_2016.xls</t>
  </si>
  <si>
    <t>convert to TJ: 1 Btu = 1.0550559E-9 TJ (https://www.convertunits.com/from/TJ/to/Btu)</t>
  </si>
  <si>
    <t>trillion Btu</t>
  </si>
  <si>
    <t>ETP2017_transport_summary (3).xlsx</t>
  </si>
  <si>
    <t>International Energy Agency, Energy Technology Perspectives 2017 - www.iea.org/etp2017 (restricted access)</t>
  </si>
  <si>
    <t>PJ</t>
  </si>
  <si>
    <t>convert from PJ to TJ, Reference Technology Scenario Data was used, Passenger transport final energy consumption: Light road</t>
  </si>
  <si>
    <t>http://oee.nrcan.gc.ca/corporate/statistics/neud/dpa/showTable.cfm?type=CP&amp;sector=tran&amp;juris=ca&amp;rn=7&amp;page=0</t>
  </si>
  <si>
    <t>Canada_Transportation_Energy_Use.xls</t>
  </si>
  <si>
    <t>Natural Resources Canada</t>
  </si>
  <si>
    <t xml:space="preserve">convert from PJ to TJ </t>
  </si>
  <si>
    <t>Road transport. convert to TJ: 1 thousand tonnes of oil equivalent = 41.868 terajoules (http://www.conversion-website.com/energy/ton-of-oil-equivalent-to-terajoule.html)</t>
  </si>
  <si>
    <t>https://ec.europa.eu/eurostat/documents/3217494/9172750/KS-EN-18-001-EN-N.pdf/474c2308-002a-40cd-87b6-9364209bf937</t>
  </si>
  <si>
    <t>https://ec.europa.eu/eurostat/documents/3217494/9172750/KS-EN-18-001-EN-N.pdf/474c2308-002a-40cd-87b6-9364209bf938</t>
  </si>
  <si>
    <t>https://ec.europa.eu/eurostat/documents/3217494/9172750/KS-EN-18-001-EN-N.pdf/474c2308-002a-40cd-87b6-9364209bf939</t>
  </si>
  <si>
    <t>https://ec.europa.eu/eurostat/documents/3217494/9172750/KS-EN-18-001-EN-N.pdf/474c2308-002a-40cd-87b6-9364209bf940</t>
  </si>
  <si>
    <t>https://ec.europa.eu/eurostat/documents/3217494/9172750/KS-EN-18-001-EN-N.pdf/474c2308-002a-40cd-87b6-9364209bf941</t>
  </si>
  <si>
    <t>https://ec.europa.eu/eurostat/documents/3217494/9172750/KS-EN-18-001-EN-N.pdf/474c2308-002a-40cd-87b6-9364209bf943</t>
  </si>
  <si>
    <t>https://ec.europa.eu/eurostat/documents/3217494/9172750/KS-EN-18-001-EN-N.pdf/474c2308-002a-40cd-87b6-9364209bf944</t>
  </si>
  <si>
    <t>https://ec.europa.eu/eurostat/documents/3217494/9172750/KS-EN-18-001-EN-N.pdf/474c2308-002a-40cd-87b6-9364209bf945</t>
  </si>
  <si>
    <t>https://ec.europa.eu/eurostat/documents/3217494/9172750/KS-EN-18-001-EN-N.pdf/474c2308-002a-40cd-87b6-9364209bf946</t>
  </si>
  <si>
    <t>https://ec.europa.eu/eurostat/documents/3217494/9172750/KS-EN-18-001-EN-N.pdf/474c2308-002a-40cd-87b6-9364209bf947</t>
  </si>
  <si>
    <t>https://ec.europa.eu/eurostat/documents/3217494/9172750/KS-EN-18-001-EN-N.pdf/474c2308-002a-40cd-87b6-9364209bf948</t>
  </si>
  <si>
    <t>https://ec.europa.eu/eurostat/documents/3217494/9172750/KS-EN-18-001-EN-N.pdf/474c2308-002a-40cd-87b6-9364209bf949</t>
  </si>
  <si>
    <t>https://ec.europa.eu/eurostat/documents/3217494/9172750/KS-EN-18-001-EN-N.pdf/474c2308-002a-40cd-87b6-9364209bf950</t>
  </si>
  <si>
    <t>https://ec.europa.eu/eurostat/documents/3217494/9172750/KS-EN-18-001-EN-N.pdf/474c2308-002a-40cd-87b6-9364209bf951</t>
  </si>
  <si>
    <t>https://ec.europa.eu/eurostat/documents/3217494/9172750/KS-EN-18-001-EN-N.pdf/474c2308-002a-40cd-87b6-9364209bf952</t>
  </si>
  <si>
    <t>https://ec.europa.eu/eurostat/documents/3217494/9172750/KS-EN-18-001-EN-N.pdf/474c2308-002a-40cd-87b6-9364209bf953</t>
  </si>
  <si>
    <t>https://ec.europa.eu/eurostat/documents/3217494/9172750/KS-EN-18-001-EN-N.pdf/474c2308-002a-40cd-87b6-9364209bf955</t>
  </si>
  <si>
    <t>https://ec.europa.eu/eurostat/documents/3217494/9172750/KS-EN-18-001-EN-N.pdf/474c2308-002a-40cd-87b6-9364209bf956</t>
  </si>
  <si>
    <t>https://ec.europa.eu/eurostat/documents/3217494/9172750/KS-EN-18-001-EN-N.pdf/474c2308-002a-40cd-87b6-9364209bf957</t>
  </si>
  <si>
    <t>https://ec.europa.eu/eurostat/documents/3217494/9172750/KS-EN-18-001-EN-N.pdf/474c2308-002a-40cd-87b6-9364209bf958</t>
  </si>
  <si>
    <t>https://ec.europa.eu/eurostat/documents/3217494/9172750/KS-EN-18-001-EN-N.pdf/474c2308-002a-40cd-87b6-9364209bf959</t>
  </si>
  <si>
    <t>https://ec.europa.eu/eurostat/documents/3217494/9172750/KS-EN-18-001-EN-N.pdf/474c2308-002a-40cd-87b6-9364209bf960</t>
  </si>
  <si>
    <t>https://ec.europa.eu/eurostat/documents/3217494/9172750/KS-EN-18-001-EN-N.pdf/474c2308-002a-40cd-87b6-9364209bf961</t>
  </si>
  <si>
    <t>https://ec.europa.eu/eurostat/documents/3217494/9172750/KS-EN-18-001-EN-N.pdf/474c2308-002a-40cd-87b6-9364209bf962</t>
  </si>
  <si>
    <t>https://ec.europa.eu/eurostat/documents/3217494/9172750/KS-EN-18-001-EN-N.pdf/474c2308-002a-40cd-87b6-9364209bf964</t>
  </si>
  <si>
    <t>https://ec.europa.eu/eurostat/documents/3217494/9172750/KS-EN-18-001-EN-N.pdf/474c2308-002a-40cd-87b6-9364209bf965</t>
  </si>
  <si>
    <t>https://ec.europa.eu/eurostat/documents/3217494/9172750/KS-EN-18-001-EN-N.pdf/474c2308-002a-40cd-87b6-9364209bf966</t>
  </si>
  <si>
    <t>https://ec.europa.eu/eurostat/documents/3217494/9172750/KS-EN-18-001-EN-N.pdf/474c2308-002a-40cd-87b6-9364209bf967</t>
  </si>
  <si>
    <t>https://ec.europa.eu/eurostat/documents/3217494/9172750/KS-EN-18-001-EN-N.pdf/474c2308-002a-40cd-87b6-9364209bf968</t>
  </si>
  <si>
    <t>Road transport EU</t>
  </si>
  <si>
    <t>Whole Transport sector! Tonvert from Mtoe to TJ</t>
  </si>
  <si>
    <t>R32IDN</t>
  </si>
  <si>
    <t>R32IND</t>
  </si>
  <si>
    <t>R32JPN</t>
  </si>
  <si>
    <t>R32USA</t>
  </si>
  <si>
    <t>UK</t>
  </si>
  <si>
    <t>Vehicles</t>
  </si>
  <si>
    <t>model result</t>
  </si>
  <si>
    <t>Calibration values</t>
  </si>
  <si>
    <t>(2014)</t>
  </si>
  <si>
    <t>Status</t>
  </si>
  <si>
    <t>Round 2, Stefan Pauliuk, May 2019</t>
  </si>
  <si>
    <t>Road transport energy consumption, 2016, ktoe</t>
  </si>
  <si>
    <t>DE-Energy-Balances-February-2019-edition, sheet 2016, cell I122</t>
  </si>
  <si>
    <t>https://www.umweltbundesamt.de/daten/verkehr/kraftstoffe</t>
  </si>
  <si>
    <t>Total fuel consumption of pass vehicles</t>
  </si>
  <si>
    <t>diesel</t>
  </si>
  <si>
    <t>gasoline</t>
  </si>
  <si>
    <t>M litre</t>
  </si>
  <si>
    <t>Fuel</t>
  </si>
  <si>
    <t>Total cons, M litres</t>
  </si>
  <si>
    <t xml:space="preserve">Energy density, MJ/l, </t>
  </si>
  <si>
    <t>https://de.statista.com/statistik/daten/studie/484054/umfrage/durchschnittsverbrauch-pkw-in-privaten-haushalten-in-deutschland/</t>
  </si>
  <si>
    <t>Average fuel consumption has risen again…</t>
  </si>
  <si>
    <t>Total</t>
  </si>
  <si>
    <t>Share of pass. Veh. In total fleet:</t>
  </si>
  <si>
    <t>estimate based on km-driven (OECD)</t>
  </si>
  <si>
    <t>Round 1, Paula Vollmer, April 2019, Revised by S.P., April/May 2019</t>
  </si>
  <si>
    <t>Scope</t>
  </si>
  <si>
    <t>pass. Vehicles</t>
  </si>
  <si>
    <t>Road transport</t>
  </si>
  <si>
    <t>OECD Europe</t>
  </si>
  <si>
    <t>share of passenger vehicle energy consumption in total road transport.</t>
  </si>
  <si>
    <t>That figure includes LDV and busses.</t>
  </si>
  <si>
    <t>Global share of LDV vehicle energy consumption in total passenger vehicle consumption:</t>
  </si>
  <si>
    <t>Total LDV share in total road transport:</t>
  </si>
  <si>
    <t>Cars and light trucks</t>
  </si>
  <si>
    <t>Non-OECD Europe</t>
  </si>
  <si>
    <t>light road as opposed to heavy road</t>
  </si>
  <si>
    <t>Gasoline average l/100 km</t>
  </si>
  <si>
    <t>Diesel average l/100 km</t>
  </si>
  <si>
    <t>Energy content MJ/l</t>
  </si>
  <si>
    <t>MJ/km</t>
  </si>
  <si>
    <t>Entire transport sector</t>
  </si>
  <si>
    <t>https://www.eia.gov/todayinenergy/detail.php?id=23832</t>
  </si>
  <si>
    <t>%</t>
  </si>
  <si>
    <t>share of on road passenger transport and on-road freight (= total road) in total transport demand</t>
  </si>
  <si>
    <t>leave as is</t>
  </si>
  <si>
    <t xml:space="preserve"> calibration data include "light road" as opposed to heavy road</t>
  </si>
  <si>
    <t>Calibration action</t>
  </si>
  <si>
    <t>Comment</t>
  </si>
  <si>
    <t>assumption: as OECD Europe as specific data are absent.</t>
  </si>
  <si>
    <t>not considered</t>
  </si>
  <si>
    <t>https://www.iea.org/publications/freepublications/publication/Building2013_free.pdf</t>
  </si>
  <si>
    <t>heating, cooling, DHW: 12% (2010)</t>
  </si>
  <si>
    <t xml:space="preserve"> calibration data (share of Heating/cooling/DHW in total res.bld. Energy demand) are from 2010 and have likely increased since 2010.</t>
  </si>
  <si>
    <t>residential buildings, total energy use in buildings</t>
  </si>
  <si>
    <t>https://ec.europa.eu/eurostat/statistics-explained/index.php/Energy_consumption_in_households#Energy_consumption_in_households_by_type_of_end-use</t>
  </si>
  <si>
    <t>79.5% of total energy into heating/cooling/DHW</t>
  </si>
  <si>
    <t>Increase MJ/m2/yr</t>
  </si>
  <si>
    <t>Decrease MJ/m2/yr</t>
  </si>
  <si>
    <t>% for heating/cooling/DHW</t>
  </si>
  <si>
    <t>Energy values are total res. building energy consumption, energy within scope is 46% of that.</t>
  </si>
  <si>
    <t>http://oee.nrcan.gc.ca/corporate/statistics/neud/dpa/showTable.cfm?type=HB&amp;sector=res&amp;juris=00&amp;rn=1&amp;page=0</t>
  </si>
  <si>
    <t xml:space="preserve">Home Office of Energy Efficiency Energy Use Statistics National Energy Use Database Energy Use Data Handbook Tables Residential Sector Residential Secondary Energy Use (Final Demand) by Energy Source and End Use </t>
  </si>
  <si>
    <t>\Dropbox\G7 RECC\Data\RB_ResidentialBuildings\JP\H_Historic\RB_JP_H_EI\190314_RB_JP_H_EI.xlsx</t>
  </si>
  <si>
    <t>https://www.sciencedirect.com/science/article/pii/S0301421514004200#f0005</t>
  </si>
  <si>
    <t>in 2012, 70% of energy use was for the three services considered</t>
  </si>
  <si>
    <t>R32CAN</t>
  </si>
  <si>
    <t>R32CHN</t>
  </si>
  <si>
    <t>ODYM-RECC Parameter File</t>
  </si>
  <si>
    <t xml:space="preserve"> </t>
  </si>
  <si>
    <t># Fields highlighted in grey are mandatory. Fields highlighted in blue are linked to other tables and databases. Order of fields and field naming is fixed, do not change!</t>
  </si>
  <si>
    <t>Format_Version</t>
  </si>
  <si>
    <t>V0.2</t>
  </si>
  <si>
    <t># Specify the version number of the formatting used for this file</t>
  </si>
  <si>
    <t>Dataset_Name</t>
  </si>
  <si>
    <t># Name of dataset, short and descriptive</t>
  </si>
  <si>
    <t>Dataset_Description</t>
  </si>
  <si>
    <t># Description of dataset</t>
  </si>
  <si>
    <t>Dataset_Unit</t>
  </si>
  <si>
    <t># Unit of dataset, cf. UNITS sheet in classification master file, GLOBAL, LIST, or TABLE</t>
  </si>
  <si>
    <t>Dataset_Uncertainty</t>
  </si>
  <si>
    <t>none</t>
  </si>
  <si>
    <t># Uncertainty in form of stats_array string (http://stats-arrays.readthedocs.io/en/latest/), GLOBAL, LIST, or TABLE</t>
  </si>
  <si>
    <t>Dataset_Comment</t>
  </si>
  <si>
    <t># Comment, GLOBAL, LIST, or TABLE</t>
  </si>
  <si>
    <t>Dataset_System_Location</t>
  </si>
  <si>
    <t># Points to processes and flows in a general system definition, optional</t>
  </si>
  <si>
    <t>Dataset_ID</t>
  </si>
  <si>
    <t># ID of dataset, optional, establish link to IEDI</t>
  </si>
  <si>
    <t>Dataset_UUID</t>
  </si>
  <si>
    <t># UUID of dataset, can be generated manually, for archiving and reference purposes</t>
  </si>
  <si>
    <t>Date created</t>
  </si>
  <si>
    <t># Date when dataset was first obtained/created/released</t>
  </si>
  <si>
    <t>Last modified</t>
  </si>
  <si>
    <t># Date of last modification</t>
  </si>
  <si>
    <t>Last modified by</t>
  </si>
  <si>
    <t># Name of researcher responsible for last modification</t>
  </si>
  <si>
    <t>Dataset_Version</t>
  </si>
  <si>
    <t># Version number of dataset</t>
  </si>
  <si>
    <t>Dataset_Classification_version_number</t>
  </si>
  <si>
    <t># Version number of classifications used for this dataset</t>
  </si>
  <si>
    <t>[Empty on purpose]</t>
  </si>
  <si>
    <t>Dataset_RecordType</t>
  </si>
  <si>
    <t>TABLE</t>
  </si>
  <si>
    <t>No_Rows</t>
  </si>
  <si>
    <t>No_Cols</t>
  </si>
  <si>
    <t># Two types are supported: list and table</t>
  </si>
  <si>
    <t>Row Aspects classification</t>
  </si>
  <si>
    <t>Row Aspects_Meaning</t>
  </si>
  <si>
    <t>Col Aspects classification</t>
  </si>
  <si>
    <t>Col Aspects_Meaning</t>
  </si>
  <si>
    <t>DATA</t>
  </si>
  <si>
    <t>DATA_Info</t>
  </si>
  <si>
    <t>values</t>
  </si>
  <si>
    <t xml:space="preserve"># Aspects: Specify aspects in order of appearance in data table. </t>
  </si>
  <si>
    <t># Aspects_Meaning: Describe meaning of each aspect</t>
  </si>
  <si>
    <t>stats_array_string</t>
  </si>
  <si>
    <t>String describing uncertainty distribution (http://stats-arrays.readthedocs.io/en/latest/)</t>
  </si>
  <si>
    <t># DATA: Specify the different quantification layers given: Value, Error, etc, or different scenarios. Must be identical to column names in sheet "Values_Master"</t>
  </si>
  <si>
    <t>Comment on data proxy choice</t>
  </si>
  <si>
    <t># DATA_Info: Describe each data layer</t>
  </si>
  <si>
    <t>5a59c156-fbfa-4aec-aec9-0df4f6bc0b1c</t>
  </si>
  <si>
    <t>6_PR_Calibration</t>
  </si>
  <si>
    <t>V2.0</t>
  </si>
  <si>
    <t>region</t>
  </si>
  <si>
    <t>calibration values</t>
  </si>
  <si>
    <t>calibration of EI and IO parameter on in-use stocks to match total reported energy consumption</t>
  </si>
  <si>
    <t>Values</t>
  </si>
  <si>
    <t>km/yr multiplication</t>
  </si>
  <si>
    <t>MJ/km multiplier</t>
  </si>
  <si>
    <t>MJ/m2/yr multiplier</t>
  </si>
  <si>
    <t>V2.1</t>
  </si>
  <si>
    <t>old UUID</t>
  </si>
  <si>
    <t>Who</t>
  </si>
  <si>
    <t>Ref3</t>
  </si>
  <si>
    <t>Ref4</t>
  </si>
  <si>
    <t>Ref5</t>
  </si>
  <si>
    <t>sp</t>
  </si>
  <si>
    <t>Dataset</t>
  </si>
  <si>
    <t>literature_id</t>
  </si>
  <si>
    <t>literature_key</t>
  </si>
  <si>
    <t>authors</t>
  </si>
  <si>
    <t>title</t>
  </si>
  <si>
    <t>journal_outlet_institution</t>
  </si>
  <si>
    <t>city</t>
  </si>
  <si>
    <t>DOI</t>
  </si>
  <si>
    <t>URL</t>
  </si>
  <si>
    <t>copyright</t>
  </si>
  <si>
    <t>other</t>
  </si>
  <si>
    <t>notes</t>
  </si>
  <si>
    <t>added log and ref sheets and completed the latter.</t>
  </si>
  <si>
    <t>US Transportation Energy Data Book</t>
  </si>
  <si>
    <t>Pop</t>
  </si>
  <si>
    <t>cars per cap</t>
  </si>
  <si>
    <t>km/cars</t>
  </si>
  <si>
    <t>passenger-km/cap</t>
  </si>
  <si>
    <t>occupancy rate</t>
  </si>
  <si>
    <t>2_S_RECC_FinalProducts_Future_passvehicles_V2.1</t>
  </si>
  <si>
    <t>Source:</t>
  </si>
  <si>
    <t>3_IO_Vehicles_UsePhase_V2.1</t>
  </si>
  <si>
    <t>6_MIP_VehicleOccupancyRate_V1.1</t>
  </si>
  <si>
    <t>Result</t>
  </si>
  <si>
    <t>Peter Berill found that 39 m2/cap is correcter than 46,75 m2/cap for Japan.</t>
  </si>
  <si>
    <t>Hence, the total stock was scaled down by a factor of 0,834 = 39/46,75, which means, that the pre-calib energy consumption will also change and needs to be factored in here.</t>
  </si>
  <si>
    <t>Before fix:</t>
  </si>
  <si>
    <t>After fix</t>
  </si>
  <si>
    <t>Sheet "Calibration", lines 15 and 16.</t>
  </si>
  <si>
    <t>Calib Factor for reb R32JPN changes from 0,917247871497515 to 1,09981759172364.</t>
  </si>
  <si>
    <t>EJ</t>
  </si>
  <si>
    <t>https://github.com/YaleCIE/RECC-project/issues/98</t>
  </si>
  <si>
    <t>residential buildings, energy use for heating, cooling, DHW</t>
  </si>
  <si>
    <t>V2.2</t>
  </si>
  <si>
    <t>a60de654-3183-4d5d-a602-cc722c5d8dbb</t>
  </si>
  <si>
    <t>changed reference value and calibration factor for USA residential buildings, old value clearly was too low.</t>
  </si>
  <si>
    <t>2015 residentialbuildings total:</t>
  </si>
  <si>
    <t>trillion BTU</t>
  </si>
  <si>
    <t>https://www.eia.gov/consumption/</t>
  </si>
  <si>
    <t>U.S. Energy Information Administration, Monthly Energy Review – Table 2.1</t>
  </si>
  <si>
    <t>2015 Share of heating, cooling, DHW in total building energy</t>
  </si>
  <si>
    <t>iedc_dataset_name (dataset ID of industrial ecology data commons (IEDC), replaces detailed description here, available under http://www.database.industrialecology.uni-freiburg.de/)</t>
  </si>
  <si>
    <t>iedc_dataset_version_number (dataset version number of industrial ecology data commons (IEDC))</t>
  </si>
  <si>
    <t>ea911a94-cfae-4cab-acb4-4fcaa67b8104</t>
  </si>
  <si>
    <t>V2.3</t>
  </si>
  <si>
    <t>https://www.umweltbundesamt.de/daten/energie/energieverbrauch-nach-energietraegern-sektoren</t>
  </si>
  <si>
    <t>https://de.statista.com/statistik/daten/studie/312450/umfrage/treibhausgasemissionen-in-deutschland-nach-quellgruppe/</t>
  </si>
  <si>
    <t>This figure is withou the indirect emissions (fuel, electricity, and energy supply)</t>
  </si>
  <si>
    <t xml:space="preserve">Model run, pre-calib: </t>
  </si>
  <si>
    <t>Res. Buildings</t>
  </si>
  <si>
    <t>NonRes. Buildings</t>
  </si>
  <si>
    <t>added energy consumption and THG of nonres buildings, as well as corrected calibration factor of pass.vehs. Germany as result of refine 2015 stock dataset.</t>
  </si>
  <si>
    <t>dena-GEBÄUDEREPORT 2016: Statistiken und Analysen zur Energieeffizienz im Gebäudebestand</t>
  </si>
  <si>
    <t>DENA</t>
  </si>
  <si>
    <t>UBA Germany</t>
  </si>
  <si>
    <t>Energy cons. Nrb Germany:  ca. 400 TWh or 1 440 000 TJ., ref. [13]</t>
  </si>
  <si>
    <t>of which heating (ref. [12])</t>
  </si>
  <si>
    <t>199 TWh or ca. 720000 TJ (Abb. 134)</t>
  </si>
  <si>
    <t>of which electricity (ref. [12], Abb. 136</t>
  </si>
  <si>
    <t>Total Electricity, ref. [11], page 21:</t>
  </si>
  <si>
    <t>Total Heating/Cooling/DHW energy NRB Germany</t>
  </si>
  <si>
    <t>Lighting/ICT/mechanical energy:</t>
  </si>
  <si>
    <t>ca. 15% of total, Abb. 139 in ref. [12]</t>
  </si>
  <si>
    <t>Total heat + electricity + electricity for heat - electricity for lighting/ICT/mech. Energy</t>
  </si>
  <si>
    <t>Statista Germany</t>
  </si>
  <si>
    <t>CO2-Emissionen: Handel und Dienstleistungen 2017: 38 Mt, ref. [14]</t>
  </si>
  <si>
    <t>V2.4</t>
  </si>
  <si>
    <t>8c73639b-2f2d-46d0-a0fb-59634cd27a0d</t>
  </si>
  <si>
    <t>R5.2OECD_Other</t>
  </si>
  <si>
    <t>R5.2REF_Other</t>
  </si>
  <si>
    <t>R5.2ASIA_Other</t>
  </si>
  <si>
    <t>R5.2MAF_Other</t>
  </si>
  <si>
    <t>R5.2LAM_Other</t>
  </si>
  <si>
    <t>SingleCountry</t>
  </si>
  <si>
    <t>added data for 5 RoW regions and SingleCountry placeholder</t>
  </si>
  <si>
    <t>updated values following 3_IO update...</t>
  </si>
  <si>
    <t>and 2.5.20</t>
  </si>
  <si>
    <t>and 28.5.20</t>
  </si>
  <si>
    <t>added disaggrated MAF regions</t>
  </si>
  <si>
    <t>R5.2MNF_Other</t>
  </si>
  <si>
    <t>R5.2SSA_Other</t>
  </si>
  <si>
    <t>and 5.6.20</t>
  </si>
  <si>
    <t>re-calculated 'reb' values after refining 3_EI and 3_IO parameters.</t>
  </si>
  <si>
    <t>and 8.8.20</t>
  </si>
  <si>
    <t>re-calculated 'reb' values after refining 2_S_2015 parameter.</t>
  </si>
  <si>
    <t>7fdbc089-61cd-446e-af2e-c92a0100ccfb</t>
  </si>
  <si>
    <t>Add reference data for Non-residential buildings, calibrate model results.</t>
  </si>
  <si>
    <t>V2.5</t>
  </si>
  <si>
    <t>ODP_Short_name</t>
  </si>
  <si>
    <t>Date of ODP sign-off</t>
  </si>
  <si>
    <t>Version number before ODP</t>
  </si>
  <si>
    <t>Version number after ODP</t>
  </si>
  <si>
    <t>new UUID and reference color</t>
  </si>
  <si>
    <t>What - detailed description</t>
  </si>
  <si>
    <t>ODP type</t>
  </si>
  <si>
    <t>List items of ref sheet used</t>
  </si>
  <si>
    <t>https://www.iea.org/data-and-statistics/data-product/world-energy-balances</t>
  </si>
  <si>
    <t>https://iea.blob.core.windows.net/assets/8feba489-0cb2-4e98-a684-2be02165ca5e/WorldEnergyBalancesHighlights2022.xlsx</t>
  </si>
  <si>
    <t>World Energy Balances, Sample data, April 2023 update</t>
  </si>
  <si>
    <t>this file</t>
  </si>
  <si>
    <t>Sheet: "ancil. data nonres buildings"</t>
  </si>
  <si>
    <t>13.6. 23: Add reference data for Non-residential buildings, calibrate model results.</t>
  </si>
  <si>
    <t>Calibration values (PJ)</t>
  </si>
  <si>
    <t>Nonres Calibration data for Germany, for RECC Germany paper only</t>
  </si>
  <si>
    <t>Product</t>
  </si>
  <si>
    <t>Flow</t>
  </si>
  <si>
    <t>Commercial and public services (PJ)</t>
  </si>
  <si>
    <t>From ref [15], sheet "TimeSeries_1971-2021", filter the values as follows:</t>
  </si>
  <si>
    <t>Col. B</t>
  </si>
  <si>
    <t>Col. C</t>
  </si>
  <si>
    <t>Calibration values (TJ)</t>
  </si>
  <si>
    <t>Austria, Belgium, Denmark, Finland, Greece, Ireland, Luxembourg, Netherlands, Portugal, Sweden together: 1199 PJ</t>
  </si>
  <si>
    <t>Bulgaria, Latvia, Lithuania, Romania together:</t>
  </si>
  <si>
    <t>Cyprus, Czech Republic, Estonia, Hungary, Malta, Slovakia, Slovenia together:  317 PJ, no data for Cyprus and Malta!</t>
  </si>
  <si>
    <t>Other OEDC: Here: Turkey, Mexico, Australia, Chile, New Zealand together: 1140</t>
  </si>
  <si>
    <t xml:space="preserve">Proxy: </t>
  </si>
  <si>
    <t>Middle East plus Egypt</t>
  </si>
  <si>
    <t>Proxy:</t>
  </si>
  <si>
    <t>Africa minus Egypt</t>
  </si>
  <si>
    <t>Non-OECD Americas</t>
  </si>
  <si>
    <t>+</t>
  </si>
  <si>
    <t>Non-OECD Asia (including China)</t>
  </si>
  <si>
    <t>minus China</t>
  </si>
  <si>
    <t>Non-OECD Europe and Eurasia</t>
  </si>
  <si>
    <t>50 PJ for Latvia and Lithuania</t>
  </si>
  <si>
    <t>https://www.iea.org/countries/romania</t>
  </si>
  <si>
    <t>Romania, Key energy statistics, 2020</t>
  </si>
  <si>
    <t>Bulgaria, Key energy statistics, 2020</t>
  </si>
  <si>
    <t>https://www.iea.org/countries/bulgaria</t>
  </si>
  <si>
    <t>[15,16,17,18]</t>
  </si>
  <si>
    <t>Ref. [17]: 76 TJ for Romania</t>
  </si>
  <si>
    <t>Ref. [18]: 45 TJ for Bulgaria</t>
  </si>
  <si>
    <t>2015 use phase energy consumption, across all building types and energy standards, by model region. Unit: TJ/yr. Value for SSP1.</t>
  </si>
  <si>
    <t>Current_UUID</t>
  </si>
  <si>
    <t>b27930ff-de57-44a2-a156-a4472eabb7ac</t>
  </si>
  <si>
    <t>Model run with uncalibrated data</t>
  </si>
  <si>
    <t>Croatia</t>
  </si>
  <si>
    <t>Czech Republic</t>
  </si>
  <si>
    <t>share heating/cooling/DHW for year 2016 from https://ec.europa.eu/eurostat/databrowser/view/NRG_D_HHQ__custom_6633364/default/table?lang=en; archieved in \CURRENT_V2_5\Single_EU_Country_Datasets\raw_data\calibration_data_veh_buildings</t>
  </si>
  <si>
    <t>no data for final energy consumption spilt in households available, Oth_R32EU12-H average taken</t>
  </si>
  <si>
    <t>no data for final energy consumption spilt in households available, R32EU12-M average taken</t>
  </si>
  <si>
    <t>ch</t>
  </si>
  <si>
    <t>V2.6</t>
  </si>
  <si>
    <t>37c71f99-0eac-4cc5-8ae3-5cf4203ed26c</t>
  </si>
  <si>
    <t>Apprehend data for 22 EU single countries based on same sources as for already included EU countries; share final energy counsumption in households for cooling/heating/DHW same source but values for Germany etc. slighlty off (possible not  values for year 2016); see sheet 'Calibration' and sheets 'ancillary data ...' for details</t>
  </si>
  <si>
    <t>Model results for 'Non-Calibration' run (with calibration factor set to '1'), results for year 2016, SSP1, Baseline (unmitigated), scenario runs</t>
  </si>
  <si>
    <t>Apprehend data for 22 EU single countries, calibration for residential buildings only</t>
  </si>
  <si>
    <t>Calibration only for residential buildings</t>
  </si>
  <si>
    <t>Passenger cars and non-residential buildings contain dummy value '1' --&gt; no calibration</t>
  </si>
  <si>
    <t>V2.7</t>
  </si>
  <si>
    <t>127f9790-b3de-4829-bf67-76d81f91e32c</t>
  </si>
  <si>
    <t>317PJ - available values =</t>
  </si>
  <si>
    <t>25-08-2023, ch</t>
  </si>
  <si>
    <t>2015 per capita stock values, total (all segments and drive technologies), by model region. Unit: 1 (veh. per person).</t>
  </si>
  <si>
    <t>2015 annual passenger kilometrage, by model region. Unit: km/yr.</t>
  </si>
  <si>
    <t>2015 annual vehicle kilometrage, by model region. Unit: km/yr. Value for SSP1.</t>
  </si>
  <si>
    <t>2015 average vehicle occupancy rate, across all segments and drive technologies, by model region. Unit: km/yr. Value for SSP1.</t>
  </si>
  <si>
    <t>2015 use phase energy consumption, across all segments and drive technologies, by model region. Unit: TJ/yr. Value for SSP1.</t>
  </si>
  <si>
    <t>e969cbd8-517c-4376-a80e-cacad88940af</t>
  </si>
  <si>
    <t>2015 per capita stock values, total (all building types and energy standards), by model region. Unit: m2 per person.</t>
  </si>
  <si>
    <t>Calibration pav, reb and nrb EU countries</t>
  </si>
  <si>
    <t>New calibration for pav and reb for all EU countries, including France, Germany,…; nrb new values only for the 22 added EU countries</t>
  </si>
  <si>
    <t>For details see sheets Calibration, ancillary data passenger cars, ancillary data resbuildings, and ancil. data nonres buildings</t>
  </si>
  <si>
    <t>pav re-calculated after refining 2_S_RECC_FinalProducts_2015_passvehicles_V1.4 (correction of fuel split also for France, etc)</t>
  </si>
  <si>
    <t>reb re-calculated after refining 2_S_RECC_FinalProducts_2015_resbuildings_V1.4 (scaling of stock data to match ODYSSEE database values for European countries residential building stock)</t>
  </si>
  <si>
    <t>nrb newly calculated for 22 added EU countries</t>
  </si>
  <si>
    <t>nrb: no data for Croatia, Cyprus, and Malta --&gt; use dummy value '1' (no calibration)</t>
  </si>
  <si>
    <t>Sectors</t>
  </si>
  <si>
    <t>sector label for calibration parameters</t>
  </si>
  <si>
    <t>fc</t>
  </si>
  <si>
    <t>WN1.0</t>
  </si>
  <si>
    <t>residential buildings</t>
  </si>
  <si>
    <t>Replace custom dimension C with sector G:</t>
  </si>
  <si>
    <t>from Cr to Gr</t>
  </si>
  <si>
    <t>Clean dataset for WN version</t>
  </si>
  <si>
    <t>db2daaa3-0353-4bb3-bd5c-9c5cda0ea82a</t>
  </si>
  <si>
    <t>RECC_Classifications_Master_WN1.0</t>
  </si>
  <si>
    <t>Regions_WN</t>
  </si>
  <si>
    <t>ALG</t>
  </si>
  <si>
    <t>AR</t>
  </si>
  <si>
    <t>AZ</t>
  </si>
  <si>
    <t>BHR</t>
  </si>
  <si>
    <t>EG</t>
  </si>
  <si>
    <t>GE</t>
  </si>
  <si>
    <t>IRA</t>
  </si>
  <si>
    <t>JRD</t>
  </si>
  <si>
    <t>KWT</t>
  </si>
  <si>
    <t>LEB</t>
  </si>
  <si>
    <t>LIB</t>
  </si>
  <si>
    <t>MOR</t>
  </si>
  <si>
    <t>OMN</t>
  </si>
  <si>
    <t>QTR</t>
  </si>
  <si>
    <t>SAU</t>
  </si>
  <si>
    <t>SYR</t>
  </si>
  <si>
    <t>TUN</t>
  </si>
  <si>
    <t>TUR</t>
  </si>
  <si>
    <t>UAE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</si>
</sst>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3" x14ac:knownFonts="1">
    <font>
      <sz val="11"/>
      <color theme="1"/>
      <name val="Calibri"/>
      <family val="2"/>
      <scheme val="minor"/>
    </font>
    <font>
      <b/>
      <sz val="11"/>
      <color theme="1"/>
      <name val="Calibri"/>
      <family val="2"/>
      <scheme val="minor"/>
    </font>
    <font>
      <u/>
      <sz val="11"/>
      <color theme="10"/>
      <name val="Calibri"/>
      <family val="2"/>
      <scheme val="minor"/>
    </font>
    <font>
      <b/>
      <sz val="11"/>
      <name val="Calibri"/>
      <family val="2"/>
      <scheme val="minor"/>
    </font>
    <font>
      <b/>
      <sz val="13.5"/>
      <color theme="1"/>
      <name val="Calibri"/>
      <family val="2"/>
      <scheme val="minor"/>
    </font>
    <font>
      <sz val="11"/>
      <color theme="1"/>
      <name val="Times New Roman"/>
      <family val="1"/>
    </font>
    <font>
      <b/>
      <sz val="11"/>
      <color theme="0"/>
      <name val="Calibri"/>
      <family val="2"/>
      <scheme val="minor"/>
    </font>
    <font>
      <sz val="11"/>
      <name val="Calibri"/>
      <family val="2"/>
      <scheme val="minor"/>
    </font>
    <font>
      <sz val="10"/>
      <name val="Arial"/>
      <family val="2"/>
    </font>
    <font>
      <b/>
      <sz val="10"/>
      <name val="Arial"/>
      <family val="2"/>
    </font>
    <font>
      <i/>
      <sz val="11"/>
      <color theme="1"/>
      <name val="Calibri"/>
      <family val="2"/>
      <scheme val="minor"/>
    </font>
    <font>
      <b/>
      <sz val="11"/>
      <name val="Calibri"/>
      <family val="2"/>
    </font>
    <font>
      <b/>
      <sz val="11"/>
      <name val="Calibri"/>
    </font>
  </fonts>
  <fills count="17">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
      <patternFill patternType="solid">
        <fgColor theme="2"/>
        <bgColor indexed="64"/>
      </patternFill>
    </fill>
    <fill>
      <patternFill patternType="solid">
        <fgColor rgb="FFFFC000"/>
        <bgColor indexed="64"/>
      </patternFill>
    </fill>
    <fill>
      <patternFill patternType="solid">
        <fgColor rgb="FF00B050"/>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rgb="FF92D050"/>
        <bgColor indexed="64"/>
      </patternFill>
    </fill>
    <fill>
      <patternFill patternType="solid">
        <fgColor theme="8"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9"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2">
    <xf numFmtId="0" fontId="0" fillId="0" borderId="0"/>
    <xf numFmtId="0" fontId="2" fillId="0" borderId="0" applyNumberFormat="0" applyFill="0" applyBorder="0" applyAlignment="0" applyProtection="0"/>
  </cellStyleXfs>
  <cellXfs count="74">
    <xf numFmtId="0" fontId="0" fillId="0" borderId="0" xfId="0"/>
    <xf numFmtId="0" fontId="1" fillId="0" borderId="0" xfId="0" applyFont="1"/>
    <xf numFmtId="0" fontId="0" fillId="0" borderId="0" xfId="0" applyAlignment="1">
      <alignment wrapText="1"/>
    </xf>
    <xf numFmtId="0" fontId="3" fillId="0" borderId="0" xfId="1" applyFont="1"/>
    <xf numFmtId="0" fontId="0" fillId="0" borderId="0" xfId="0" applyAlignment="1">
      <alignment vertical="top" wrapText="1"/>
    </xf>
    <xf numFmtId="0" fontId="4" fillId="0" borderId="0" xfId="0" applyFont="1" applyAlignment="1">
      <alignment vertical="center"/>
    </xf>
    <xf numFmtId="0" fontId="0" fillId="0" borderId="0" xfId="0" applyAlignment="1">
      <alignment vertical="center"/>
    </xf>
    <xf numFmtId="0" fontId="5" fillId="0" borderId="0" xfId="0" applyFont="1"/>
    <xf numFmtId="0" fontId="2" fillId="0" borderId="0" xfId="1"/>
    <xf numFmtId="11" fontId="0" fillId="0" borderId="0" xfId="0" applyNumberFormat="1"/>
    <xf numFmtId="0" fontId="0" fillId="0" borderId="0" xfId="0" quotePrefix="1"/>
    <xf numFmtId="0" fontId="1" fillId="2" borderId="1" xfId="0" applyFont="1" applyFill="1" applyBorder="1"/>
    <xf numFmtId="11" fontId="0" fillId="0" borderId="2" xfId="0" applyNumberFormat="1" applyBorder="1"/>
    <xf numFmtId="11" fontId="0" fillId="0" borderId="3" xfId="0" applyNumberFormat="1" applyBorder="1"/>
    <xf numFmtId="11" fontId="0" fillId="0" borderId="4" xfId="0" applyNumberFormat="1" applyBorder="1"/>
    <xf numFmtId="11" fontId="0" fillId="0" borderId="5" xfId="0" applyNumberFormat="1" applyBorder="1"/>
    <xf numFmtId="11" fontId="0" fillId="0" borderId="6" xfId="0" applyNumberFormat="1" applyBorder="1"/>
    <xf numFmtId="11" fontId="0" fillId="0" borderId="7" xfId="0" applyNumberFormat="1" applyBorder="1"/>
    <xf numFmtId="0" fontId="1" fillId="3" borderId="0" xfId="0" applyFont="1" applyFill="1"/>
    <xf numFmtId="0" fontId="0" fillId="3" borderId="0" xfId="0" applyFill="1"/>
    <xf numFmtId="0" fontId="1" fillId="4" borderId="0" xfId="0" applyFont="1" applyFill="1"/>
    <xf numFmtId="2" fontId="6" fillId="5" borderId="0" xfId="0" applyNumberFormat="1" applyFont="1" applyFill="1"/>
    <xf numFmtId="2" fontId="6" fillId="6" borderId="0" xfId="0" applyNumberFormat="1" applyFont="1" applyFill="1"/>
    <xf numFmtId="0" fontId="1" fillId="3" borderId="0" xfId="0" applyFont="1" applyFill="1" applyAlignment="1">
      <alignment horizontal="center"/>
    </xf>
    <xf numFmtId="0" fontId="7" fillId="0" borderId="0" xfId="0" applyFont="1"/>
    <xf numFmtId="0" fontId="8" fillId="0" borderId="0" xfId="0" applyFont="1"/>
    <xf numFmtId="0" fontId="0" fillId="7" borderId="0" xfId="0" applyFill="1"/>
    <xf numFmtId="14" fontId="0" fillId="0" borderId="0" xfId="0" quotePrefix="1" applyNumberFormat="1"/>
    <xf numFmtId="0" fontId="0" fillId="7" borderId="0" xfId="0" quotePrefix="1" applyFill="1"/>
    <xf numFmtId="0" fontId="3" fillId="3" borderId="0" xfId="0" applyFont="1" applyFill="1"/>
    <xf numFmtId="0" fontId="7" fillId="7" borderId="0" xfId="0" applyFont="1" applyFill="1" applyAlignment="1">
      <alignment horizontal="center"/>
    </xf>
    <xf numFmtId="0" fontId="0" fillId="8" borderId="2" xfId="0" applyFill="1" applyBorder="1"/>
    <xf numFmtId="0" fontId="0" fillId="8" borderId="3" xfId="0" applyFill="1" applyBorder="1"/>
    <xf numFmtId="0" fontId="0" fillId="8" borderId="4" xfId="0" applyFill="1" applyBorder="1"/>
    <xf numFmtId="0" fontId="0" fillId="8" borderId="8" xfId="0" applyFill="1" applyBorder="1"/>
    <xf numFmtId="0" fontId="0" fillId="8" borderId="0" xfId="0" applyFill="1"/>
    <xf numFmtId="0" fontId="0" fillId="8" borderId="9" xfId="0" applyFill="1" applyBorder="1"/>
    <xf numFmtId="0" fontId="0" fillId="8" borderId="5" xfId="0" applyFill="1" applyBorder="1"/>
    <xf numFmtId="0" fontId="0" fillId="8" borderId="6" xfId="0" applyFill="1" applyBorder="1"/>
    <xf numFmtId="0" fontId="0" fillId="8" borderId="7" xfId="0" applyFill="1" applyBorder="1"/>
    <xf numFmtId="14" fontId="0" fillId="0" borderId="0" xfId="0" applyNumberFormat="1"/>
    <xf numFmtId="16" fontId="0" fillId="0" borderId="0" xfId="0" applyNumberFormat="1"/>
    <xf numFmtId="0" fontId="0" fillId="0" borderId="0" xfId="0" applyAlignment="1">
      <alignment vertical="top"/>
    </xf>
    <xf numFmtId="15" fontId="0" fillId="0" borderId="0" xfId="0" applyNumberFormat="1"/>
    <xf numFmtId="0" fontId="0" fillId="9" borderId="0" xfId="0" applyFill="1"/>
    <xf numFmtId="0" fontId="9" fillId="0" borderId="0" xfId="0" applyFont="1"/>
    <xf numFmtId="0" fontId="0" fillId="0" borderId="6" xfId="0" applyBorder="1"/>
    <xf numFmtId="2" fontId="6" fillId="11" borderId="0" xfId="0" applyNumberFormat="1" applyFont="1" applyFill="1"/>
    <xf numFmtId="2" fontId="6" fillId="10" borderId="0" xfId="0" applyNumberFormat="1" applyFont="1" applyFill="1"/>
    <xf numFmtId="0" fontId="0" fillId="0" borderId="7" xfId="0" applyBorder="1"/>
    <xf numFmtId="2" fontId="6" fillId="3" borderId="0" xfId="0" applyNumberFormat="1" applyFont="1" applyFill="1"/>
    <xf numFmtId="0" fontId="8" fillId="12" borderId="0" xfId="0" applyFont="1" applyFill="1"/>
    <xf numFmtId="14" fontId="0" fillId="12" borderId="0" xfId="0" applyNumberFormat="1" applyFill="1"/>
    <xf numFmtId="0" fontId="0" fillId="12" borderId="0" xfId="0" applyFill="1"/>
    <xf numFmtId="0" fontId="9" fillId="13" borderId="0" xfId="0" applyFont="1" applyFill="1" applyAlignment="1">
      <alignment wrapText="1"/>
    </xf>
    <xf numFmtId="0" fontId="1" fillId="13" borderId="0" xfId="0" applyFont="1" applyFill="1"/>
    <xf numFmtId="0" fontId="1" fillId="13" borderId="0" xfId="0" applyFont="1" applyFill="1" applyAlignment="1">
      <alignment wrapText="1"/>
    </xf>
    <xf numFmtId="0" fontId="1" fillId="14" borderId="0" xfId="0" applyFont="1" applyFill="1" applyAlignment="1">
      <alignment wrapText="1"/>
    </xf>
    <xf numFmtId="0" fontId="1" fillId="14" borderId="0" xfId="0" applyFont="1" applyFill="1"/>
    <xf numFmtId="0" fontId="10" fillId="0" borderId="0" xfId="0" applyFont="1"/>
    <xf numFmtId="11" fontId="0" fillId="12" borderId="0" xfId="0" applyNumberFormat="1" applyFill="1"/>
    <xf numFmtId="0" fontId="8" fillId="15" borderId="0" xfId="0" applyFont="1" applyFill="1"/>
    <xf numFmtId="14" fontId="0" fillId="15" borderId="0" xfId="0" applyNumberFormat="1" applyFill="1"/>
    <xf numFmtId="0" fontId="0" fillId="15" borderId="0" xfId="0" applyFill="1"/>
    <xf numFmtId="0" fontId="11" fillId="0" borderId="0" xfId="0" applyFont="1"/>
    <xf numFmtId="164" fontId="0" fillId="0" borderId="0" xfId="0" applyNumberFormat="1"/>
    <xf numFmtId="0" fontId="0" fillId="16" borderId="0" xfId="0" applyFill="1"/>
    <xf numFmtId="14" fontId="0" fillId="16" borderId="0" xfId="0" applyNumberFormat="1" applyFill="1"/>
    <xf numFmtId="14" fontId="0" fillId="9" borderId="0" xfId="0" applyNumberFormat="1" applyFill="1"/>
    <xf numFmtId="0" fontId="12" fillId="0" borderId="0" xfId="0" applyFont="1"/>
    <xf numFmtId="11" fontId="0" fillId="9" borderId="3" xfId="0" applyNumberFormat="1" applyFill="1" applyBorder="1"/>
    <xf numFmtId="11" fontId="0" fillId="9" borderId="6" xfId="0" applyNumberFormat="1" applyFill="1" applyBorder="1"/>
    <xf numFmtId="11" fontId="0" fillId="9" borderId="0" xfId="0" applyNumberFormat="1" applyFill="1"/>
    <xf numFmtId="0" fontId="9" fillId="0" borderId="0" xfId="0" applyFont="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eia.gov/totalenergy/data/monthly/pdf/sec2_3.pdf"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de.statista.com/statistik/daten/studie/312450/umfrage/treibhausgasemissionen-in-deutschland-nach-quellgruppe/" TargetMode="External"/><Relationship Id="rId1" Type="http://schemas.openxmlformats.org/officeDocument/2006/relationships/hyperlink" Target="https://www.umweltbundesamt.de/daten/energie/energieverbrauch-nach-energietraegern-sektoren"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iea.blob.core.windows.net/assets/8feba489-0cb2-4e98-a684-2be02165ca5e/WorldEnergyBalancesHighlights2022.xlsx" TargetMode="External"/><Relationship Id="rId2" Type="http://schemas.openxmlformats.org/officeDocument/2006/relationships/hyperlink" Target="https://www.iea.org/data-and-statistics/data-product/world-energy-balances" TargetMode="External"/><Relationship Id="rId1" Type="http://schemas.openxmlformats.org/officeDocument/2006/relationships/hyperlink" Target="https://de.statista.com/statistik/daten/studie/312450/umfrage/treibhausgasemissionen-in-deutschland-nach-quellgruppe/" TargetMode="External"/><Relationship Id="rId5" Type="http://schemas.openxmlformats.org/officeDocument/2006/relationships/hyperlink" Target="https://www.iea.org/countries/romania" TargetMode="External"/><Relationship Id="rId4" Type="http://schemas.openxmlformats.org/officeDocument/2006/relationships/hyperlink" Target="https://www.iea.org/countries/bulgaria"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3" Type="http://schemas.openxmlformats.org/officeDocument/2006/relationships/hyperlink" Target="https://ec.europa.eu/eurostat/documents/3217494/9172750/KS-EN-18-001-EN-N.pdf/474c2308-002a-40cd-87b6-9364209bf936" TargetMode="External"/><Relationship Id="rId2" Type="http://schemas.openxmlformats.org/officeDocument/2006/relationships/hyperlink" Target="https://www.eia.gov/todayinenergy/detail.php?id=23832" TargetMode="External"/><Relationship Id="rId1" Type="http://schemas.openxmlformats.org/officeDocument/2006/relationships/hyperlink" Target="https://www.eia.gov/outlooks/ieo/pdf/transportation.pdf"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8"/>
  <sheetViews>
    <sheetView tabSelected="1" workbookViewId="0">
      <selection activeCell="F30" sqref="F30"/>
    </sheetView>
  </sheetViews>
  <sheetFormatPr defaultColWidth="9.140625" defaultRowHeight="15" x14ac:dyDescent="0.25"/>
  <cols>
    <col min="1" max="1" width="36.7109375" bestFit="1" customWidth="1"/>
    <col min="2" max="2" width="37.5703125" customWidth="1"/>
    <col min="3" max="3" width="23.140625" bestFit="1" customWidth="1"/>
    <col min="4" max="4" width="26.42578125" customWidth="1"/>
    <col min="5" max="5" width="11.7109375" bestFit="1" customWidth="1"/>
    <col min="6" max="6" width="30.42578125" customWidth="1"/>
    <col min="7" max="7" width="6.5703125" customWidth="1"/>
    <col min="8" max="8" width="43" customWidth="1"/>
    <col min="9" max="9" width="3.42578125" customWidth="1"/>
    <col min="10" max="11" width="3.28515625" customWidth="1"/>
  </cols>
  <sheetData>
    <row r="1" spans="1:12" x14ac:dyDescent="0.25">
      <c r="A1" s="23" t="s">
        <v>175</v>
      </c>
      <c r="E1" s="10" t="s">
        <v>176</v>
      </c>
      <c r="H1" s="24" t="s">
        <v>177</v>
      </c>
    </row>
    <row r="2" spans="1:12" x14ac:dyDescent="0.25">
      <c r="A2" s="18" t="s">
        <v>178</v>
      </c>
      <c r="B2" s="10" t="s">
        <v>179</v>
      </c>
      <c r="E2" s="10" t="s">
        <v>176</v>
      </c>
      <c r="H2" s="25" t="s">
        <v>180</v>
      </c>
      <c r="L2" s="10"/>
    </row>
    <row r="3" spans="1:12" x14ac:dyDescent="0.25">
      <c r="A3" s="18" t="s">
        <v>181</v>
      </c>
      <c r="B3" t="s">
        <v>229</v>
      </c>
      <c r="E3" s="10" t="s">
        <v>176</v>
      </c>
      <c r="H3" s="25" t="s">
        <v>182</v>
      </c>
      <c r="L3" s="10"/>
    </row>
    <row r="4" spans="1:12" x14ac:dyDescent="0.25">
      <c r="A4" s="18" t="s">
        <v>183</v>
      </c>
      <c r="B4" t="s">
        <v>113</v>
      </c>
      <c r="E4" s="10" t="s">
        <v>176</v>
      </c>
      <c r="H4" t="s">
        <v>184</v>
      </c>
      <c r="L4" s="10"/>
    </row>
    <row r="5" spans="1:12" x14ac:dyDescent="0.25">
      <c r="A5" s="18" t="s">
        <v>185</v>
      </c>
      <c r="B5" s="10">
        <v>1</v>
      </c>
      <c r="E5" s="10" t="s">
        <v>176</v>
      </c>
      <c r="H5" t="s">
        <v>186</v>
      </c>
      <c r="L5" s="10"/>
    </row>
    <row r="6" spans="1:12" x14ac:dyDescent="0.25">
      <c r="A6" s="18" t="s">
        <v>187</v>
      </c>
      <c r="B6" s="10" t="s">
        <v>188</v>
      </c>
      <c r="E6" s="10" t="s">
        <v>176</v>
      </c>
      <c r="H6" t="s">
        <v>189</v>
      </c>
      <c r="L6" s="10"/>
    </row>
    <row r="7" spans="1:12" x14ac:dyDescent="0.25">
      <c r="A7" s="18" t="s">
        <v>190</v>
      </c>
      <c r="B7" t="s">
        <v>233</v>
      </c>
      <c r="E7" s="10" t="s">
        <v>176</v>
      </c>
      <c r="H7" t="s">
        <v>191</v>
      </c>
      <c r="L7" s="10"/>
    </row>
    <row r="8" spans="1:12" x14ac:dyDescent="0.25">
      <c r="A8" s="1" t="s">
        <v>192</v>
      </c>
      <c r="B8" t="s">
        <v>188</v>
      </c>
      <c r="E8" s="10" t="s">
        <v>176</v>
      </c>
      <c r="H8" t="s">
        <v>193</v>
      </c>
      <c r="L8" s="10"/>
    </row>
    <row r="9" spans="1:12" x14ac:dyDescent="0.25">
      <c r="A9" s="1" t="s">
        <v>194</v>
      </c>
      <c r="B9" s="26" t="s">
        <v>229</v>
      </c>
      <c r="E9" s="10" t="s">
        <v>176</v>
      </c>
      <c r="H9" t="s">
        <v>195</v>
      </c>
      <c r="L9" s="10"/>
    </row>
    <row r="10" spans="1:12" x14ac:dyDescent="0.25">
      <c r="A10" s="18" t="s">
        <v>196</v>
      </c>
      <c r="B10" t="s">
        <v>420</v>
      </c>
      <c r="E10" s="10" t="s">
        <v>176</v>
      </c>
      <c r="H10" t="s">
        <v>197</v>
      </c>
      <c r="L10" s="10"/>
    </row>
    <row r="11" spans="1:12" x14ac:dyDescent="0.25">
      <c r="A11" s="1" t="s">
        <v>198</v>
      </c>
      <c r="B11" s="27">
        <v>43589</v>
      </c>
      <c r="E11" s="10" t="s">
        <v>176</v>
      </c>
      <c r="H11" t="s">
        <v>199</v>
      </c>
      <c r="L11" s="10"/>
    </row>
    <row r="12" spans="1:12" x14ac:dyDescent="0.25">
      <c r="A12" s="18" t="s">
        <v>200</v>
      </c>
      <c r="B12" s="27">
        <v>45254</v>
      </c>
      <c r="E12" s="10" t="s">
        <v>176</v>
      </c>
      <c r="H12" t="s">
        <v>201</v>
      </c>
      <c r="L12" s="10"/>
    </row>
    <row r="13" spans="1:12" x14ac:dyDescent="0.25">
      <c r="A13" s="18" t="s">
        <v>202</v>
      </c>
      <c r="B13" t="s">
        <v>414</v>
      </c>
      <c r="E13" s="10" t="s">
        <v>176</v>
      </c>
      <c r="H13" t="s">
        <v>203</v>
      </c>
      <c r="L13" s="10"/>
    </row>
    <row r="14" spans="1:12" x14ac:dyDescent="0.25">
      <c r="A14" s="18" t="s">
        <v>204</v>
      </c>
      <c r="B14" s="28" t="s">
        <v>415</v>
      </c>
      <c r="E14" s="10" t="s">
        <v>176</v>
      </c>
      <c r="H14" t="s">
        <v>205</v>
      </c>
      <c r="L14" s="10"/>
    </row>
    <row r="15" spans="1:12" x14ac:dyDescent="0.25">
      <c r="A15" s="18" t="s">
        <v>206</v>
      </c>
      <c r="B15" s="26" t="s">
        <v>421</v>
      </c>
      <c r="E15" s="10" t="s">
        <v>176</v>
      </c>
      <c r="H15" t="s">
        <v>207</v>
      </c>
      <c r="L15" s="10"/>
    </row>
    <row r="16" spans="1:12" x14ac:dyDescent="0.25">
      <c r="A16" s="1" t="s">
        <v>208</v>
      </c>
      <c r="E16" s="10"/>
      <c r="L16" s="10"/>
    </row>
    <row r="17" spans="1:12" x14ac:dyDescent="0.25">
      <c r="A17" s="1" t="s">
        <v>208</v>
      </c>
      <c r="E17" s="10"/>
      <c r="L17" s="10"/>
    </row>
    <row r="18" spans="1:12" x14ac:dyDescent="0.25">
      <c r="A18" s="1" t="s">
        <v>208</v>
      </c>
      <c r="E18" s="10"/>
      <c r="L18" s="10"/>
    </row>
    <row r="19" spans="1:12" x14ac:dyDescent="0.25">
      <c r="A19" s="1" t="s">
        <v>208</v>
      </c>
      <c r="E19" s="10"/>
      <c r="L19" s="10"/>
    </row>
    <row r="20" spans="1:12" x14ac:dyDescent="0.25">
      <c r="A20" s="1" t="s">
        <v>208</v>
      </c>
      <c r="E20" s="10"/>
      <c r="L20" s="10"/>
    </row>
    <row r="21" spans="1:12" x14ac:dyDescent="0.25">
      <c r="A21" s="18" t="s">
        <v>209</v>
      </c>
      <c r="B21" s="23" t="s">
        <v>210</v>
      </c>
      <c r="C21" s="29" t="s">
        <v>211</v>
      </c>
      <c r="D21" s="30">
        <v>1</v>
      </c>
      <c r="E21" s="29" t="s">
        <v>212</v>
      </c>
      <c r="F21" s="30">
        <v>19</v>
      </c>
      <c r="H21" t="s">
        <v>213</v>
      </c>
      <c r="L21" s="10"/>
    </row>
    <row r="22" spans="1:12" x14ac:dyDescent="0.25">
      <c r="A22" s="18" t="s">
        <v>214</v>
      </c>
      <c r="B22" s="18" t="s">
        <v>215</v>
      </c>
      <c r="C22" s="18" t="s">
        <v>216</v>
      </c>
      <c r="D22" s="18" t="s">
        <v>217</v>
      </c>
      <c r="E22" s="18" t="s">
        <v>218</v>
      </c>
      <c r="F22" s="18" t="s">
        <v>219</v>
      </c>
      <c r="L22" s="10"/>
    </row>
    <row r="23" spans="1:12" x14ac:dyDescent="0.25">
      <c r="A23" s="26" t="s">
        <v>412</v>
      </c>
      <c r="B23" t="s">
        <v>413</v>
      </c>
      <c r="C23" s="26" t="s">
        <v>422</v>
      </c>
      <c r="D23" t="s">
        <v>231</v>
      </c>
      <c r="E23" s="26" t="s">
        <v>220</v>
      </c>
      <c r="F23" t="s">
        <v>232</v>
      </c>
      <c r="G23" s="10" t="s">
        <v>176</v>
      </c>
      <c r="H23" t="s">
        <v>221</v>
      </c>
      <c r="L23" s="10"/>
    </row>
    <row r="24" spans="1:12" x14ac:dyDescent="0.25">
      <c r="E24" s="26" t="s">
        <v>20</v>
      </c>
      <c r="F24">
        <v>1</v>
      </c>
      <c r="G24" s="10" t="s">
        <v>176</v>
      </c>
      <c r="H24" s="24" t="s">
        <v>222</v>
      </c>
      <c r="L24" s="10"/>
    </row>
    <row r="25" spans="1:12" x14ac:dyDescent="0.25">
      <c r="A25" s="24"/>
      <c r="C25" s="24"/>
      <c r="E25" s="26" t="s">
        <v>223</v>
      </c>
      <c r="F25" t="s">
        <v>224</v>
      </c>
      <c r="G25" s="10" t="s">
        <v>176</v>
      </c>
      <c r="H25" s="24" t="s">
        <v>225</v>
      </c>
      <c r="L25" s="10"/>
    </row>
    <row r="26" spans="1:12" x14ac:dyDescent="0.25">
      <c r="E26" s="26" t="s">
        <v>54</v>
      </c>
      <c r="F26" t="s">
        <v>226</v>
      </c>
      <c r="G26" s="10" t="s">
        <v>176</v>
      </c>
      <c r="H26" t="s">
        <v>227</v>
      </c>
      <c r="L26" s="10"/>
    </row>
    <row r="27" spans="1:12" x14ac:dyDescent="0.25">
      <c r="G27" s="10" t="s">
        <v>176</v>
      </c>
      <c r="L27" s="10"/>
    </row>
    <row r="28" spans="1:12" x14ac:dyDescent="0.25">
      <c r="E28" s="10" t="s">
        <v>176</v>
      </c>
      <c r="L28" s="10"/>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D1:I17"/>
  <sheetViews>
    <sheetView topLeftCell="A17" workbookViewId="0">
      <selection activeCell="E55" sqref="E55"/>
    </sheetView>
  </sheetViews>
  <sheetFormatPr defaultColWidth="11.42578125" defaultRowHeight="15" x14ac:dyDescent="0.25"/>
  <cols>
    <col min="8" max="8" width="12.5703125" bestFit="1" customWidth="1"/>
  </cols>
  <sheetData>
    <row r="1" spans="4:9" x14ac:dyDescent="0.25">
      <c r="F1" s="43">
        <v>43688</v>
      </c>
    </row>
    <row r="2" spans="4:9" x14ac:dyDescent="0.25">
      <c r="E2" t="s">
        <v>265</v>
      </c>
      <c r="F2" t="s">
        <v>264</v>
      </c>
      <c r="G2" t="s">
        <v>266</v>
      </c>
      <c r="H2" t="s">
        <v>267</v>
      </c>
      <c r="I2" t="s">
        <v>268</v>
      </c>
    </row>
    <row r="3" spans="4:9" x14ac:dyDescent="0.25">
      <c r="D3">
        <v>2015</v>
      </c>
      <c r="E3" t="s">
        <v>259</v>
      </c>
      <c r="F3" t="s">
        <v>260</v>
      </c>
      <c r="G3" t="s">
        <v>261</v>
      </c>
      <c r="H3" t="s">
        <v>263</v>
      </c>
      <c r="I3" t="s">
        <v>262</v>
      </c>
    </row>
    <row r="4" spans="4:9" x14ac:dyDescent="0.25">
      <c r="D4" t="s">
        <v>173</v>
      </c>
      <c r="F4">
        <v>0.61330000000000007</v>
      </c>
      <c r="G4">
        <v>15990.09523809524</v>
      </c>
      <c r="H4">
        <v>1.62</v>
      </c>
      <c r="I4">
        <f t="shared" ref="I4:I17" si="0">F4*G4*H4</f>
        <v>15886.895163428575</v>
      </c>
    </row>
    <row r="5" spans="4:9" x14ac:dyDescent="0.25">
      <c r="D5" t="s">
        <v>174</v>
      </c>
      <c r="F5">
        <v>9.6502255639097756E-2</v>
      </c>
      <c r="G5">
        <v>16853.333333333328</v>
      </c>
      <c r="H5">
        <v>1.26</v>
      </c>
      <c r="I5">
        <f t="shared" si="0"/>
        <v>2049.2446989473683</v>
      </c>
    </row>
    <row r="6" spans="4:9" x14ac:dyDescent="0.25">
      <c r="D6" t="s">
        <v>15</v>
      </c>
      <c r="F6">
        <v>0.19504761904761911</v>
      </c>
      <c r="G6">
        <v>10000</v>
      </c>
      <c r="H6">
        <v>1.45</v>
      </c>
      <c r="I6">
        <f t="shared" si="0"/>
        <v>2828.1904761904771</v>
      </c>
    </row>
    <row r="7" spans="4:9" x14ac:dyDescent="0.25">
      <c r="D7" t="s">
        <v>107</v>
      </c>
      <c r="F7">
        <v>1.825463659147869E-2</v>
      </c>
      <c r="G7">
        <v>12198.09523809524</v>
      </c>
      <c r="H7">
        <v>1.5</v>
      </c>
      <c r="I7">
        <f t="shared" si="0"/>
        <v>334.007693519513</v>
      </c>
    </row>
    <row r="8" spans="4:9" x14ac:dyDescent="0.25">
      <c r="D8" t="s">
        <v>108</v>
      </c>
      <c r="F8">
        <v>0.48255714285714291</v>
      </c>
      <c r="G8">
        <v>9306.6666666666661</v>
      </c>
      <c r="H8">
        <v>1.5</v>
      </c>
      <c r="I8">
        <f t="shared" si="0"/>
        <v>6736.4977142857142</v>
      </c>
    </row>
    <row r="9" spans="4:9" x14ac:dyDescent="0.25">
      <c r="D9" t="s">
        <v>109</v>
      </c>
      <c r="F9">
        <v>0.67371904761904766</v>
      </c>
      <c r="G9">
        <v>20880.076190476189</v>
      </c>
      <c r="H9">
        <v>1.6</v>
      </c>
      <c r="I9">
        <f t="shared" si="0"/>
        <v>22507.688072417237</v>
      </c>
    </row>
    <row r="10" spans="4:9" x14ac:dyDescent="0.25">
      <c r="D10" t="s">
        <v>6</v>
      </c>
      <c r="F10">
        <v>0.44392857142857151</v>
      </c>
      <c r="G10">
        <v>12968.45714285714</v>
      </c>
      <c r="H10">
        <v>1.5</v>
      </c>
      <c r="I10">
        <f t="shared" si="0"/>
        <v>8635.6029795918366</v>
      </c>
    </row>
    <row r="11" spans="4:9" x14ac:dyDescent="0.25">
      <c r="D11" t="s">
        <v>7</v>
      </c>
      <c r="F11">
        <v>0.52217619047619046</v>
      </c>
      <c r="G11">
        <v>14077.40952380952</v>
      </c>
      <c r="H11">
        <v>1.42</v>
      </c>
      <c r="I11">
        <f t="shared" si="0"/>
        <v>10438.261069220858</v>
      </c>
    </row>
    <row r="12" spans="4:9" x14ac:dyDescent="0.25">
      <c r="D12" t="s">
        <v>8</v>
      </c>
      <c r="F12">
        <v>0.60735714285714282</v>
      </c>
      <c r="G12">
        <v>9599.8476190476194</v>
      </c>
      <c r="H12">
        <v>1.45</v>
      </c>
      <c r="I12">
        <f t="shared" si="0"/>
        <v>8454.2772315646253</v>
      </c>
    </row>
    <row r="13" spans="4:9" x14ac:dyDescent="0.25">
      <c r="D13" t="s">
        <v>9</v>
      </c>
      <c r="F13">
        <v>0.51821428571428574</v>
      </c>
      <c r="G13">
        <v>8355.8095238095248</v>
      </c>
      <c r="H13">
        <v>1.3</v>
      </c>
      <c r="I13">
        <f t="shared" si="0"/>
        <v>5629.1298231292531</v>
      </c>
    </row>
    <row r="14" spans="4:9" x14ac:dyDescent="0.25">
      <c r="D14" t="s">
        <v>10</v>
      </c>
      <c r="F14">
        <v>0.47166190476190478</v>
      </c>
      <c r="G14">
        <v>12510.857142857139</v>
      </c>
      <c r="H14">
        <v>1.45</v>
      </c>
      <c r="I14">
        <f t="shared" si="0"/>
        <v>8556.2973297959161</v>
      </c>
    </row>
    <row r="15" spans="4:9" x14ac:dyDescent="0.25">
      <c r="D15" t="s">
        <v>110</v>
      </c>
      <c r="F15">
        <v>0.46968095238095242</v>
      </c>
      <c r="G15">
        <v>13146.742857142861</v>
      </c>
      <c r="H15">
        <v>1.55</v>
      </c>
      <c r="I15">
        <f t="shared" si="0"/>
        <v>9570.9007940680312</v>
      </c>
    </row>
    <row r="16" spans="4:9" x14ac:dyDescent="0.25">
      <c r="D16" t="s">
        <v>12</v>
      </c>
      <c r="F16">
        <v>0.42907142857142849</v>
      </c>
      <c r="G16">
        <v>13188.95238095238</v>
      </c>
      <c r="H16">
        <v>1.45</v>
      </c>
      <c r="I16">
        <f t="shared" si="0"/>
        <v>8205.5538272108824</v>
      </c>
    </row>
    <row r="17" spans="4:9" x14ac:dyDescent="0.25">
      <c r="D17" t="s">
        <v>14</v>
      </c>
      <c r="F17">
        <v>0.37678095238095238</v>
      </c>
      <c r="G17">
        <v>10000</v>
      </c>
      <c r="H17">
        <v>1.45</v>
      </c>
      <c r="I17">
        <f t="shared" si="0"/>
        <v>5463.3238095238094</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202"/>
  <sheetViews>
    <sheetView zoomScale="85" zoomScaleNormal="85" workbookViewId="0">
      <pane xSplit="1" ySplit="1" topLeftCell="B71" activePane="bottomRight" state="frozen"/>
      <selection pane="topRight" activeCell="B1" sqref="B1"/>
      <selection pane="bottomLeft" activeCell="A2" sqref="A2"/>
      <selection pane="bottomRight" activeCell="J91" sqref="J91"/>
    </sheetView>
  </sheetViews>
  <sheetFormatPr defaultColWidth="11.42578125" defaultRowHeight="15" x14ac:dyDescent="0.25"/>
  <cols>
    <col min="1" max="1" width="14.28515625" bestFit="1" customWidth="1"/>
    <col min="9" max="10" width="31" customWidth="1"/>
    <col min="11" max="11" width="15.85546875" customWidth="1"/>
  </cols>
  <sheetData>
    <row r="1" spans="1:12" x14ac:dyDescent="0.25">
      <c r="B1" s="1" t="s">
        <v>18</v>
      </c>
      <c r="C1" s="1" t="s">
        <v>20</v>
      </c>
      <c r="D1" s="3" t="s">
        <v>19</v>
      </c>
      <c r="E1" s="3" t="s">
        <v>133</v>
      </c>
      <c r="F1" s="3" t="s">
        <v>54</v>
      </c>
      <c r="G1" s="1" t="s">
        <v>16</v>
      </c>
      <c r="H1" s="1" t="s">
        <v>17</v>
      </c>
      <c r="I1" s="1" t="s">
        <v>54</v>
      </c>
      <c r="J1" s="1" t="s">
        <v>133</v>
      </c>
      <c r="K1" s="1" t="s">
        <v>18</v>
      </c>
      <c r="L1" s="1" t="s">
        <v>20</v>
      </c>
    </row>
    <row r="2" spans="1:12" x14ac:dyDescent="0.25">
      <c r="A2" t="s">
        <v>33</v>
      </c>
      <c r="B2">
        <v>6324</v>
      </c>
      <c r="C2" t="s">
        <v>34</v>
      </c>
      <c r="D2">
        <v>2016</v>
      </c>
      <c r="E2" t="s">
        <v>161</v>
      </c>
      <c r="G2" t="s">
        <v>22</v>
      </c>
      <c r="H2" t="s">
        <v>23</v>
      </c>
    </row>
    <row r="3" spans="1:12" x14ac:dyDescent="0.25">
      <c r="A3" t="s">
        <v>24</v>
      </c>
      <c r="B3">
        <v>8135</v>
      </c>
      <c r="C3" t="s">
        <v>34</v>
      </c>
      <c r="D3">
        <v>2016</v>
      </c>
      <c r="E3" t="s">
        <v>161</v>
      </c>
      <c r="G3" t="s">
        <v>22</v>
      </c>
      <c r="H3" t="s">
        <v>23</v>
      </c>
    </row>
    <row r="4" spans="1:12" x14ac:dyDescent="0.25">
      <c r="A4" t="s">
        <v>25</v>
      </c>
      <c r="B4">
        <v>4463</v>
      </c>
      <c r="C4" t="s">
        <v>34</v>
      </c>
      <c r="D4">
        <v>2016</v>
      </c>
      <c r="E4" t="s">
        <v>161</v>
      </c>
      <c r="G4" t="s">
        <v>22</v>
      </c>
      <c r="H4" t="s">
        <v>23</v>
      </c>
    </row>
    <row r="5" spans="1:12" x14ac:dyDescent="0.25">
      <c r="A5" t="s">
        <v>26</v>
      </c>
      <c r="B5">
        <v>5292</v>
      </c>
      <c r="C5" t="s">
        <v>34</v>
      </c>
      <c r="D5">
        <v>2016</v>
      </c>
      <c r="E5" t="s">
        <v>161</v>
      </c>
      <c r="G5" t="s">
        <v>22</v>
      </c>
      <c r="H5" t="s">
        <v>23</v>
      </c>
    </row>
    <row r="6" spans="1:12" x14ac:dyDescent="0.25">
      <c r="A6" t="s">
        <v>27</v>
      </c>
      <c r="B6">
        <v>4287</v>
      </c>
      <c r="C6" t="s">
        <v>34</v>
      </c>
      <c r="D6">
        <v>2016</v>
      </c>
      <c r="E6" t="s">
        <v>161</v>
      </c>
      <c r="G6" t="s">
        <v>22</v>
      </c>
      <c r="H6" t="s">
        <v>23</v>
      </c>
    </row>
    <row r="7" spans="1:12" x14ac:dyDescent="0.25">
      <c r="A7" t="s">
        <v>28</v>
      </c>
      <c r="B7">
        <v>2668</v>
      </c>
      <c r="C7" t="s">
        <v>34</v>
      </c>
      <c r="D7">
        <v>2016</v>
      </c>
      <c r="E7" t="s">
        <v>161</v>
      </c>
      <c r="G7" t="s">
        <v>22</v>
      </c>
      <c r="H7" t="s">
        <v>23</v>
      </c>
    </row>
    <row r="8" spans="1:12" x14ac:dyDescent="0.25">
      <c r="A8" t="s">
        <v>29</v>
      </c>
      <c r="B8">
        <v>490</v>
      </c>
      <c r="C8" t="s">
        <v>34</v>
      </c>
      <c r="D8">
        <v>2016</v>
      </c>
      <c r="E8" t="s">
        <v>161</v>
      </c>
      <c r="G8" t="s">
        <v>22</v>
      </c>
      <c r="H8" t="s">
        <v>23</v>
      </c>
    </row>
    <row r="9" spans="1:12" x14ac:dyDescent="0.25">
      <c r="A9" t="s">
        <v>30</v>
      </c>
      <c r="B9">
        <v>9855</v>
      </c>
      <c r="C9" t="s">
        <v>34</v>
      </c>
      <c r="D9">
        <v>2016</v>
      </c>
      <c r="E9" t="s">
        <v>161</v>
      </c>
      <c r="G9" t="s">
        <v>22</v>
      </c>
      <c r="H9" t="s">
        <v>23</v>
      </c>
    </row>
    <row r="10" spans="1:12" x14ac:dyDescent="0.25">
      <c r="A10" t="s">
        <v>31</v>
      </c>
      <c r="B10">
        <v>2621</v>
      </c>
      <c r="C10" t="s">
        <v>34</v>
      </c>
      <c r="D10">
        <v>2016</v>
      </c>
      <c r="E10" t="s">
        <v>161</v>
      </c>
      <c r="G10" t="s">
        <v>22</v>
      </c>
      <c r="H10" t="s">
        <v>23</v>
      </c>
    </row>
    <row r="11" spans="1:12" x14ac:dyDescent="0.25">
      <c r="A11" t="s">
        <v>32</v>
      </c>
      <c r="B11">
        <v>7462</v>
      </c>
      <c r="C11" t="s">
        <v>34</v>
      </c>
      <c r="D11">
        <v>2016</v>
      </c>
      <c r="E11" t="s">
        <v>161</v>
      </c>
      <c r="G11" t="s">
        <v>22</v>
      </c>
      <c r="H11" t="s">
        <v>23</v>
      </c>
    </row>
    <row r="12" spans="1:12" x14ac:dyDescent="0.25">
      <c r="A12" t="s">
        <v>12</v>
      </c>
      <c r="B12">
        <f>SUM(B2:B11)</f>
        <v>51597</v>
      </c>
      <c r="C12" t="s">
        <v>34</v>
      </c>
      <c r="D12">
        <v>2016</v>
      </c>
      <c r="E12" t="s">
        <v>161</v>
      </c>
      <c r="G12" t="s">
        <v>22</v>
      </c>
      <c r="H12" t="s">
        <v>23</v>
      </c>
    </row>
    <row r="14" spans="1:12" x14ac:dyDescent="0.25">
      <c r="A14" s="2" t="s">
        <v>41</v>
      </c>
      <c r="B14">
        <v>326</v>
      </c>
      <c r="C14" t="s">
        <v>34</v>
      </c>
      <c r="D14">
        <v>2016</v>
      </c>
      <c r="E14" t="s">
        <v>161</v>
      </c>
      <c r="G14" t="s">
        <v>22</v>
      </c>
      <c r="H14" t="s">
        <v>23</v>
      </c>
    </row>
    <row r="15" spans="1:12" x14ac:dyDescent="0.25">
      <c r="A15" t="s">
        <v>35</v>
      </c>
      <c r="B15">
        <v>6992</v>
      </c>
      <c r="C15" t="s">
        <v>34</v>
      </c>
      <c r="D15">
        <v>2016</v>
      </c>
      <c r="E15" t="s">
        <v>161</v>
      </c>
      <c r="G15" t="s">
        <v>22</v>
      </c>
      <c r="H15" t="s">
        <v>23</v>
      </c>
    </row>
    <row r="16" spans="1:12" x14ac:dyDescent="0.25">
      <c r="A16" t="s">
        <v>36</v>
      </c>
      <c r="B16">
        <v>931</v>
      </c>
      <c r="C16" t="s">
        <v>34</v>
      </c>
      <c r="D16">
        <v>2016</v>
      </c>
      <c r="E16" t="s">
        <v>161</v>
      </c>
      <c r="G16" t="s">
        <v>22</v>
      </c>
      <c r="H16" t="s">
        <v>23</v>
      </c>
    </row>
    <row r="17" spans="1:13" x14ac:dyDescent="0.25">
      <c r="A17" t="s">
        <v>37</v>
      </c>
      <c r="B17">
        <v>6157</v>
      </c>
      <c r="C17" t="s">
        <v>34</v>
      </c>
      <c r="D17">
        <v>2016</v>
      </c>
      <c r="E17" t="s">
        <v>161</v>
      </c>
      <c r="G17" t="s">
        <v>22</v>
      </c>
      <c r="H17" t="s">
        <v>23</v>
      </c>
    </row>
    <row r="18" spans="1:13" x14ac:dyDescent="0.25">
      <c r="A18" t="s">
        <v>38</v>
      </c>
      <c r="B18">
        <v>81</v>
      </c>
      <c r="C18" t="s">
        <v>34</v>
      </c>
      <c r="D18">
        <v>2016</v>
      </c>
      <c r="E18" t="s">
        <v>161</v>
      </c>
      <c r="G18" t="s">
        <v>22</v>
      </c>
      <c r="H18" t="s">
        <v>23</v>
      </c>
    </row>
    <row r="19" spans="1:13" x14ac:dyDescent="0.25">
      <c r="A19" t="s">
        <v>39</v>
      </c>
      <c r="B19">
        <v>2030</v>
      </c>
      <c r="C19" t="s">
        <v>34</v>
      </c>
      <c r="D19">
        <v>2016</v>
      </c>
      <c r="E19" t="s">
        <v>161</v>
      </c>
      <c r="G19" t="s">
        <v>22</v>
      </c>
      <c r="H19" t="s">
        <v>23</v>
      </c>
    </row>
    <row r="20" spans="1:13" x14ac:dyDescent="0.25">
      <c r="A20" t="s">
        <v>40</v>
      </c>
      <c r="B20">
        <v>1148</v>
      </c>
      <c r="C20" t="s">
        <v>34</v>
      </c>
      <c r="D20">
        <v>2016</v>
      </c>
      <c r="E20" t="s">
        <v>161</v>
      </c>
      <c r="G20" t="s">
        <v>22</v>
      </c>
      <c r="H20" t="s">
        <v>23</v>
      </c>
    </row>
    <row r="21" spans="1:13" x14ac:dyDescent="0.25">
      <c r="A21" t="s">
        <v>14</v>
      </c>
      <c r="B21">
        <f>SUM(B14:B20)</f>
        <v>17665</v>
      </c>
      <c r="C21" t="s">
        <v>34</v>
      </c>
      <c r="D21">
        <v>2016</v>
      </c>
      <c r="E21" t="s">
        <v>161</v>
      </c>
      <c r="G21" t="s">
        <v>22</v>
      </c>
      <c r="H21" t="s">
        <v>23</v>
      </c>
    </row>
    <row r="23" spans="1:13" x14ac:dyDescent="0.25">
      <c r="A23" s="2" t="s">
        <v>45</v>
      </c>
      <c r="B23">
        <v>2254</v>
      </c>
      <c r="C23" t="s">
        <v>34</v>
      </c>
      <c r="D23">
        <v>2016</v>
      </c>
      <c r="E23" t="s">
        <v>161</v>
      </c>
      <c r="G23" t="s">
        <v>22</v>
      </c>
      <c r="H23" t="s">
        <v>23</v>
      </c>
    </row>
    <row r="24" spans="1:13" x14ac:dyDescent="0.25">
      <c r="A24" t="s">
        <v>42</v>
      </c>
      <c r="B24">
        <v>1143</v>
      </c>
      <c r="C24" t="s">
        <v>34</v>
      </c>
      <c r="D24">
        <v>2016</v>
      </c>
      <c r="E24" t="s">
        <v>161</v>
      </c>
      <c r="G24" t="s">
        <v>22</v>
      </c>
      <c r="H24" t="s">
        <v>23</v>
      </c>
    </row>
    <row r="25" spans="1:13" x14ac:dyDescent="0.25">
      <c r="A25" t="s">
        <v>43</v>
      </c>
      <c r="B25">
        <v>1440</v>
      </c>
      <c r="C25" t="s">
        <v>34</v>
      </c>
      <c r="D25">
        <v>2016</v>
      </c>
      <c r="E25" t="s">
        <v>161</v>
      </c>
      <c r="G25" t="s">
        <v>22</v>
      </c>
      <c r="H25" t="s">
        <v>23</v>
      </c>
    </row>
    <row r="26" spans="1:13" x14ac:dyDescent="0.25">
      <c r="A26" t="s">
        <v>44</v>
      </c>
      <c r="B26">
        <v>7415</v>
      </c>
      <c r="C26" t="s">
        <v>34</v>
      </c>
      <c r="D26">
        <v>2016</v>
      </c>
      <c r="E26" t="s">
        <v>161</v>
      </c>
      <c r="G26" t="s">
        <v>22</v>
      </c>
      <c r="H26" t="s">
        <v>23</v>
      </c>
    </row>
    <row r="27" spans="1:13" x14ac:dyDescent="0.25">
      <c r="A27" t="s">
        <v>15</v>
      </c>
      <c r="B27">
        <f>SUM(B23:B26)</f>
        <v>12252</v>
      </c>
      <c r="C27" t="s">
        <v>34</v>
      </c>
      <c r="D27">
        <v>2016</v>
      </c>
      <c r="E27" t="s">
        <v>161</v>
      </c>
      <c r="G27" t="s">
        <v>22</v>
      </c>
      <c r="H27" t="s">
        <v>23</v>
      </c>
    </row>
    <row r="29" spans="1:13" x14ac:dyDescent="0.25">
      <c r="A29" t="s">
        <v>381</v>
      </c>
      <c r="B29">
        <v>2393</v>
      </c>
      <c r="C29" t="s">
        <v>49</v>
      </c>
      <c r="D29">
        <v>2016</v>
      </c>
      <c r="E29" t="s">
        <v>161</v>
      </c>
      <c r="G29" t="s">
        <v>22</v>
      </c>
      <c r="H29" t="s">
        <v>23</v>
      </c>
    </row>
    <row r="32" spans="1:13" ht="18" x14ac:dyDescent="0.25">
      <c r="A32" s="1" t="s">
        <v>53</v>
      </c>
      <c r="G32" s="5" t="s">
        <v>58</v>
      </c>
      <c r="K32" s="1" t="s">
        <v>18</v>
      </c>
      <c r="L32" s="1" t="s">
        <v>20</v>
      </c>
      <c r="M32" t="s">
        <v>166</v>
      </c>
    </row>
    <row r="33" spans="1:13" x14ac:dyDescent="0.25">
      <c r="A33" t="s">
        <v>2</v>
      </c>
      <c r="B33">
        <v>325</v>
      </c>
      <c r="C33" t="s">
        <v>48</v>
      </c>
      <c r="D33" t="s">
        <v>21</v>
      </c>
      <c r="G33" t="s">
        <v>46</v>
      </c>
      <c r="H33" t="s">
        <v>47</v>
      </c>
      <c r="I33" t="s">
        <v>171</v>
      </c>
      <c r="J33" t="s">
        <v>172</v>
      </c>
      <c r="K33" s="6">
        <f>B33*41868*M33</f>
        <v>9524970</v>
      </c>
      <c r="L33" t="s">
        <v>50</v>
      </c>
      <c r="M33">
        <v>0.7</v>
      </c>
    </row>
    <row r="34" spans="1:13" x14ac:dyDescent="0.25">
      <c r="A34" t="s">
        <v>3</v>
      </c>
      <c r="B34">
        <v>178</v>
      </c>
      <c r="C34" t="s">
        <v>48</v>
      </c>
      <c r="D34" t="s">
        <v>21</v>
      </c>
      <c r="E34" t="s">
        <v>161</v>
      </c>
      <c r="F34" t="s">
        <v>47</v>
      </c>
      <c r="G34" t="s">
        <v>46</v>
      </c>
      <c r="H34" t="s">
        <v>158</v>
      </c>
      <c r="J34" t="s">
        <v>159</v>
      </c>
      <c r="K34" s="6">
        <f>B34*41868*M34</f>
        <v>894300.48</v>
      </c>
      <c r="L34" t="s">
        <v>50</v>
      </c>
      <c r="M34">
        <v>0.12</v>
      </c>
    </row>
    <row r="35" spans="1:13" x14ac:dyDescent="0.25">
      <c r="A35" t="s">
        <v>4</v>
      </c>
      <c r="K35" s="6">
        <f>F49*M35*1000000</f>
        <v>8263519.5999999987</v>
      </c>
      <c r="L35" t="s">
        <v>50</v>
      </c>
      <c r="M35" s="6">
        <f>F50</f>
        <v>0.71</v>
      </c>
    </row>
    <row r="36" spans="1:13" x14ac:dyDescent="0.25">
      <c r="A36" t="s">
        <v>1</v>
      </c>
      <c r="B36">
        <v>1291502</v>
      </c>
      <c r="C36" t="s">
        <v>50</v>
      </c>
      <c r="D36">
        <v>2016</v>
      </c>
      <c r="E36" t="s">
        <v>161</v>
      </c>
      <c r="F36" t="s">
        <v>51</v>
      </c>
      <c r="G36" t="s">
        <v>52</v>
      </c>
      <c r="H36" t="s">
        <v>168</v>
      </c>
      <c r="I36" t="s">
        <v>169</v>
      </c>
      <c r="K36" s="6">
        <f>B36*M36</f>
        <v>1068072.1539999999</v>
      </c>
      <c r="L36" t="s">
        <v>50</v>
      </c>
      <c r="M36">
        <v>0.82699999999999996</v>
      </c>
    </row>
    <row r="37" spans="1:13" x14ac:dyDescent="0.25">
      <c r="A37" t="s">
        <v>5</v>
      </c>
      <c r="B37">
        <v>44</v>
      </c>
      <c r="C37" t="s">
        <v>48</v>
      </c>
      <c r="D37" t="s">
        <v>21</v>
      </c>
      <c r="G37" t="s">
        <v>46</v>
      </c>
      <c r="H37" t="s">
        <v>47</v>
      </c>
      <c r="I37" t="s">
        <v>170</v>
      </c>
      <c r="K37" s="6">
        <f>B37*41868*M37</f>
        <v>1018732.1760000001</v>
      </c>
      <c r="L37" t="s">
        <v>50</v>
      </c>
      <c r="M37">
        <v>0.55300000000000005</v>
      </c>
    </row>
    <row r="38" spans="1:13" x14ac:dyDescent="0.25">
      <c r="A38" t="s">
        <v>6</v>
      </c>
      <c r="B38">
        <v>39833</v>
      </c>
      <c r="C38" t="s">
        <v>49</v>
      </c>
      <c r="D38">
        <v>2016</v>
      </c>
      <c r="G38" t="s">
        <v>22</v>
      </c>
      <c r="H38" t="s">
        <v>23</v>
      </c>
      <c r="I38" t="s">
        <v>162</v>
      </c>
      <c r="J38" t="s">
        <v>163</v>
      </c>
      <c r="K38" s="6">
        <f>B38*41.868*M38</f>
        <v>1290821.506056</v>
      </c>
      <c r="L38" t="s">
        <v>50</v>
      </c>
      <c r="M38">
        <v>0.77400000000000002</v>
      </c>
    </row>
    <row r="39" spans="1:13" x14ac:dyDescent="0.25">
      <c r="A39" t="s">
        <v>7</v>
      </c>
      <c r="B39">
        <v>56046</v>
      </c>
      <c r="C39" t="s">
        <v>49</v>
      </c>
      <c r="D39">
        <v>2016</v>
      </c>
      <c r="G39" t="s">
        <v>22</v>
      </c>
      <c r="H39" t="s">
        <v>23</v>
      </c>
      <c r="I39" t="s">
        <v>162</v>
      </c>
      <c r="K39" s="6">
        <f t="shared" ref="K39:K46" si="0">B39*41.868*M39</f>
        <v>1980474.6352320001</v>
      </c>
      <c r="L39" t="s">
        <v>50</v>
      </c>
      <c r="M39">
        <v>0.84399999999999997</v>
      </c>
    </row>
    <row r="40" spans="1:13" x14ac:dyDescent="0.25">
      <c r="A40" t="s">
        <v>8</v>
      </c>
      <c r="B40">
        <v>32185</v>
      </c>
      <c r="C40" t="s">
        <v>49</v>
      </c>
      <c r="D40">
        <v>2016</v>
      </c>
      <c r="G40" t="s">
        <v>22</v>
      </c>
      <c r="H40" t="s">
        <v>23</v>
      </c>
      <c r="I40" t="s">
        <v>162</v>
      </c>
      <c r="K40" s="6">
        <f t="shared" si="0"/>
        <v>1075322.2208400001</v>
      </c>
      <c r="L40" t="s">
        <v>50</v>
      </c>
      <c r="M40">
        <v>0.79800000000000004</v>
      </c>
    </row>
    <row r="41" spans="1:13" x14ac:dyDescent="0.25">
      <c r="A41" t="s">
        <v>9</v>
      </c>
      <c r="B41">
        <v>19747</v>
      </c>
      <c r="C41" t="s">
        <v>49</v>
      </c>
      <c r="D41">
        <v>2016</v>
      </c>
      <c r="G41" t="s">
        <v>22</v>
      </c>
      <c r="H41" t="s">
        <v>23</v>
      </c>
      <c r="I41" t="s">
        <v>162</v>
      </c>
      <c r="K41" s="6">
        <f t="shared" si="0"/>
        <v>679602.79951200006</v>
      </c>
      <c r="L41" t="s">
        <v>50</v>
      </c>
      <c r="M41">
        <v>0.82199999999999995</v>
      </c>
    </row>
    <row r="42" spans="1:13" x14ac:dyDescent="0.25">
      <c r="A42" t="s">
        <v>10</v>
      </c>
      <c r="B42">
        <v>15063</v>
      </c>
      <c r="C42" t="s">
        <v>49</v>
      </c>
      <c r="D42">
        <v>2016</v>
      </c>
      <c r="G42" t="s">
        <v>22</v>
      </c>
      <c r="H42" t="s">
        <v>23</v>
      </c>
      <c r="I42" t="s">
        <v>162</v>
      </c>
      <c r="K42" s="6">
        <f t="shared" si="0"/>
        <v>397944.99860400002</v>
      </c>
      <c r="L42" t="s">
        <v>50</v>
      </c>
      <c r="M42">
        <v>0.63100000000000001</v>
      </c>
    </row>
    <row r="43" spans="1:13" x14ac:dyDescent="0.25">
      <c r="A43" t="s">
        <v>11</v>
      </c>
      <c r="B43">
        <v>38054</v>
      </c>
      <c r="C43" t="s">
        <v>49</v>
      </c>
      <c r="D43">
        <v>2016</v>
      </c>
      <c r="G43" t="s">
        <v>22</v>
      </c>
      <c r="H43" t="s">
        <v>23</v>
      </c>
      <c r="I43" t="s">
        <v>162</v>
      </c>
      <c r="K43" s="6">
        <f t="shared" si="0"/>
        <v>1269816.1629840001</v>
      </c>
      <c r="L43" t="s">
        <v>50</v>
      </c>
      <c r="M43">
        <v>0.79700000000000004</v>
      </c>
    </row>
    <row r="44" spans="1:13" ht="60" x14ac:dyDescent="0.25">
      <c r="A44" t="s">
        <v>12</v>
      </c>
      <c r="B44">
        <v>51597</v>
      </c>
      <c r="C44" t="s">
        <v>49</v>
      </c>
      <c r="D44">
        <v>2016</v>
      </c>
      <c r="G44" t="s">
        <v>22</v>
      </c>
      <c r="H44" t="s">
        <v>23</v>
      </c>
      <c r="I44" s="4" t="s">
        <v>55</v>
      </c>
      <c r="J44" t="s">
        <v>162</v>
      </c>
      <c r="K44" s="6">
        <f t="shared" si="0"/>
        <v>1717409.2408200002</v>
      </c>
      <c r="L44" t="s">
        <v>50</v>
      </c>
      <c r="M44">
        <v>0.79500000000000004</v>
      </c>
    </row>
    <row r="45" spans="1:13" ht="44.45" customHeight="1" x14ac:dyDescent="0.25">
      <c r="A45" t="s">
        <v>14</v>
      </c>
      <c r="B45">
        <v>17665</v>
      </c>
      <c r="C45" t="s">
        <v>49</v>
      </c>
      <c r="D45">
        <v>2016</v>
      </c>
      <c r="G45" t="s">
        <v>22</v>
      </c>
      <c r="H45" t="s">
        <v>23</v>
      </c>
      <c r="I45" s="4" t="s">
        <v>56</v>
      </c>
      <c r="J45" t="s">
        <v>162</v>
      </c>
      <c r="K45" s="6">
        <f t="shared" si="0"/>
        <v>587980.58490000013</v>
      </c>
      <c r="L45" t="s">
        <v>50</v>
      </c>
      <c r="M45">
        <v>0.79500000000000004</v>
      </c>
    </row>
    <row r="46" spans="1:13" ht="30" x14ac:dyDescent="0.25">
      <c r="A46" t="s">
        <v>15</v>
      </c>
      <c r="B46">
        <v>12252</v>
      </c>
      <c r="C46" t="s">
        <v>49</v>
      </c>
      <c r="D46">
        <v>2016</v>
      </c>
      <c r="G46" t="s">
        <v>22</v>
      </c>
      <c r="H46" t="s">
        <v>23</v>
      </c>
      <c r="I46" s="2" t="s">
        <v>57</v>
      </c>
      <c r="J46" t="s">
        <v>162</v>
      </c>
      <c r="K46" s="6">
        <f t="shared" si="0"/>
        <v>407808.55512000003</v>
      </c>
      <c r="L46" t="s">
        <v>50</v>
      </c>
      <c r="M46">
        <v>0.79500000000000004</v>
      </c>
    </row>
    <row r="48" spans="1:13" x14ac:dyDescent="0.25">
      <c r="A48" t="s">
        <v>4</v>
      </c>
    </row>
    <row r="49" spans="1:13" x14ac:dyDescent="0.25">
      <c r="A49" t="s">
        <v>281</v>
      </c>
      <c r="D49">
        <v>11032</v>
      </c>
      <c r="E49" t="s">
        <v>282</v>
      </c>
      <c r="F49">
        <f>D49/1000*1.055</f>
        <v>11.63876</v>
      </c>
      <c r="G49" t="s">
        <v>275</v>
      </c>
      <c r="H49" t="s">
        <v>283</v>
      </c>
      <c r="J49" s="8" t="s">
        <v>284</v>
      </c>
    </row>
    <row r="50" spans="1:13" x14ac:dyDescent="0.25">
      <c r="A50" t="s">
        <v>285</v>
      </c>
      <c r="F50">
        <v>0.71</v>
      </c>
      <c r="I50" t="s">
        <v>277</v>
      </c>
      <c r="L50" t="s">
        <v>276</v>
      </c>
    </row>
    <row r="52" spans="1:13" x14ac:dyDescent="0.25">
      <c r="A52" t="s">
        <v>33</v>
      </c>
      <c r="B52">
        <f>B2</f>
        <v>6324</v>
      </c>
      <c r="C52" t="s">
        <v>49</v>
      </c>
      <c r="D52">
        <v>2016</v>
      </c>
      <c r="H52" t="s">
        <v>23</v>
      </c>
      <c r="I52" t="s">
        <v>383</v>
      </c>
      <c r="K52" s="6">
        <f t="shared" ref="K52:K61" si="1">B52*41.868*M52</f>
        <v>224291.35950116228</v>
      </c>
      <c r="L52" t="s">
        <v>50</v>
      </c>
      <c r="M52" s="65">
        <v>0.84710738244552708</v>
      </c>
    </row>
    <row r="53" spans="1:13" x14ac:dyDescent="0.25">
      <c r="A53" t="s">
        <v>24</v>
      </c>
      <c r="B53">
        <f t="shared" ref="B53:B61" si="2">B3</f>
        <v>8135</v>
      </c>
      <c r="C53" t="s">
        <v>49</v>
      </c>
      <c r="D53">
        <v>2016</v>
      </c>
      <c r="H53" t="s">
        <v>23</v>
      </c>
      <c r="I53" t="s">
        <v>383</v>
      </c>
      <c r="K53" s="6">
        <f t="shared" si="1"/>
        <v>289772.28978852293</v>
      </c>
      <c r="L53" t="s">
        <v>50</v>
      </c>
      <c r="M53" s="65">
        <v>0.85077962350758873</v>
      </c>
    </row>
    <row r="54" spans="1:13" x14ac:dyDescent="0.25">
      <c r="A54" t="s">
        <v>25</v>
      </c>
      <c r="B54">
        <f t="shared" si="2"/>
        <v>4463</v>
      </c>
      <c r="C54" t="s">
        <v>49</v>
      </c>
      <c r="D54">
        <v>2016</v>
      </c>
      <c r="H54" t="s">
        <v>23</v>
      </c>
      <c r="I54" t="s">
        <v>383</v>
      </c>
      <c r="K54" s="6">
        <f t="shared" si="1"/>
        <v>155610.11202021083</v>
      </c>
      <c r="L54" t="s">
        <v>50</v>
      </c>
      <c r="M54" s="65">
        <v>0.83277698251786547</v>
      </c>
    </row>
    <row r="55" spans="1:13" x14ac:dyDescent="0.25">
      <c r="A55" t="s">
        <v>26</v>
      </c>
      <c r="B55">
        <f t="shared" si="2"/>
        <v>5292</v>
      </c>
      <c r="C55" t="s">
        <v>49</v>
      </c>
      <c r="D55">
        <v>2016</v>
      </c>
      <c r="H55" t="s">
        <v>23</v>
      </c>
      <c r="I55" t="s">
        <v>383</v>
      </c>
      <c r="K55" s="6">
        <f t="shared" si="1"/>
        <v>179101.47659367614</v>
      </c>
      <c r="L55" t="s">
        <v>50</v>
      </c>
      <c r="M55" s="65">
        <v>0.80834566826011056</v>
      </c>
    </row>
    <row r="56" spans="1:13" x14ac:dyDescent="0.25">
      <c r="A56" t="s">
        <v>27</v>
      </c>
      <c r="B56">
        <f t="shared" si="2"/>
        <v>4287</v>
      </c>
      <c r="C56" t="s">
        <v>49</v>
      </c>
      <c r="D56">
        <v>2016</v>
      </c>
      <c r="H56" t="s">
        <v>23</v>
      </c>
      <c r="I56" t="s">
        <v>383</v>
      </c>
      <c r="K56" s="6">
        <f t="shared" si="1"/>
        <v>131481.63812254183</v>
      </c>
      <c r="L56" t="s">
        <v>50</v>
      </c>
      <c r="M56" s="65">
        <v>0.73253673308678457</v>
      </c>
    </row>
    <row r="57" spans="1:13" x14ac:dyDescent="0.25">
      <c r="A57" t="s">
        <v>28</v>
      </c>
      <c r="B57">
        <f t="shared" si="2"/>
        <v>2668</v>
      </c>
      <c r="C57" t="s">
        <v>49</v>
      </c>
      <c r="D57">
        <v>2016</v>
      </c>
      <c r="H57" t="s">
        <v>23</v>
      </c>
      <c r="I57" t="s">
        <v>383</v>
      </c>
      <c r="K57" s="6">
        <f t="shared" si="1"/>
        <v>91024.189923128215</v>
      </c>
      <c r="L57" t="s">
        <v>50</v>
      </c>
      <c r="M57" s="65">
        <v>0.81487084921218278</v>
      </c>
    </row>
    <row r="58" spans="1:13" x14ac:dyDescent="0.25">
      <c r="A58" t="s">
        <v>29</v>
      </c>
      <c r="B58">
        <f t="shared" si="2"/>
        <v>490</v>
      </c>
      <c r="C58" t="s">
        <v>49</v>
      </c>
      <c r="D58">
        <v>2016</v>
      </c>
      <c r="H58" t="s">
        <v>23</v>
      </c>
      <c r="I58" t="s">
        <v>383</v>
      </c>
      <c r="K58" s="6">
        <f t="shared" si="1"/>
        <v>17797.480654633302</v>
      </c>
      <c r="L58" t="s">
        <v>50</v>
      </c>
      <c r="M58" s="65">
        <v>0.86752147442171523</v>
      </c>
    </row>
    <row r="59" spans="1:13" x14ac:dyDescent="0.25">
      <c r="A59" t="s">
        <v>30</v>
      </c>
      <c r="B59">
        <f t="shared" si="2"/>
        <v>9855</v>
      </c>
      <c r="C59" t="s">
        <v>49</v>
      </c>
      <c r="D59">
        <v>2016</v>
      </c>
      <c r="H59" t="s">
        <v>23</v>
      </c>
      <c r="I59" t="s">
        <v>383</v>
      </c>
      <c r="K59" s="6">
        <f t="shared" si="1"/>
        <v>334810.23397027678</v>
      </c>
      <c r="L59" t="s">
        <v>50</v>
      </c>
      <c r="M59" s="65">
        <v>0.81144647927643276</v>
      </c>
    </row>
    <row r="60" spans="1:13" x14ac:dyDescent="0.25">
      <c r="A60" t="s">
        <v>31</v>
      </c>
      <c r="B60">
        <f t="shared" si="2"/>
        <v>2621</v>
      </c>
      <c r="C60" t="s">
        <v>49</v>
      </c>
      <c r="D60">
        <v>2016</v>
      </c>
      <c r="H60" t="s">
        <v>23</v>
      </c>
      <c r="I60" t="s">
        <v>383</v>
      </c>
      <c r="K60" s="6">
        <f t="shared" si="1"/>
        <v>53651.063039702713</v>
      </c>
      <c r="L60" t="s">
        <v>50</v>
      </c>
      <c r="M60" s="65">
        <v>0.4889101967468944</v>
      </c>
    </row>
    <row r="61" spans="1:13" x14ac:dyDescent="0.25">
      <c r="A61" t="s">
        <v>32</v>
      </c>
      <c r="B61">
        <f t="shared" si="2"/>
        <v>7462</v>
      </c>
      <c r="C61" t="s">
        <v>49</v>
      </c>
      <c r="D61">
        <v>2016</v>
      </c>
      <c r="H61" t="s">
        <v>23</v>
      </c>
      <c r="I61" t="s">
        <v>383</v>
      </c>
      <c r="K61" s="6">
        <f t="shared" si="1"/>
        <v>218520.18249328426</v>
      </c>
      <c r="L61" t="s">
        <v>50</v>
      </c>
      <c r="M61" s="65">
        <v>0.69944584452978453</v>
      </c>
    </row>
    <row r="62" spans="1:13" x14ac:dyDescent="0.25">
      <c r="M62" s="65"/>
    </row>
    <row r="63" spans="1:13" x14ac:dyDescent="0.25">
      <c r="M63" s="65"/>
    </row>
    <row r="64" spans="1:13" x14ac:dyDescent="0.25">
      <c r="A64" s="2" t="s">
        <v>41</v>
      </c>
      <c r="B64">
        <f t="shared" ref="B64" si="3">B14</f>
        <v>326</v>
      </c>
      <c r="C64" t="s">
        <v>49</v>
      </c>
      <c r="D64">
        <v>2016</v>
      </c>
      <c r="H64" t="s">
        <v>23</v>
      </c>
      <c r="I64" t="s">
        <v>384</v>
      </c>
      <c r="K64" s="6">
        <f t="shared" ref="K64:K65" si="4">B64*41.868*M64</f>
        <v>10850.92956</v>
      </c>
      <c r="M64" s="65">
        <f>M45</f>
        <v>0.79500000000000004</v>
      </c>
    </row>
    <row r="65" spans="1:13" x14ac:dyDescent="0.25">
      <c r="A65" t="s">
        <v>35</v>
      </c>
      <c r="B65">
        <f t="shared" ref="B65:B70" si="5">B15</f>
        <v>6992</v>
      </c>
      <c r="C65" t="s">
        <v>49</v>
      </c>
      <c r="D65">
        <v>2016</v>
      </c>
      <c r="H65" t="s">
        <v>23</v>
      </c>
      <c r="I65" t="s">
        <v>383</v>
      </c>
      <c r="K65" s="6">
        <f t="shared" si="4"/>
        <v>248637.51337246175</v>
      </c>
      <c r="L65" t="s">
        <v>50</v>
      </c>
      <c r="M65" s="65">
        <v>0.84934281774423093</v>
      </c>
    </row>
    <row r="66" spans="1:13" x14ac:dyDescent="0.25">
      <c r="A66" t="s">
        <v>36</v>
      </c>
      <c r="B66">
        <f t="shared" si="5"/>
        <v>931</v>
      </c>
      <c r="C66" t="s">
        <v>49</v>
      </c>
      <c r="D66">
        <v>2016</v>
      </c>
      <c r="H66" t="s">
        <v>23</v>
      </c>
      <c r="I66" t="s">
        <v>383</v>
      </c>
      <c r="K66" s="6">
        <f t="shared" ref="K66:K70" si="6">B66*41.868*M66</f>
        <v>32706.995266162427</v>
      </c>
      <c r="L66" t="s">
        <v>50</v>
      </c>
      <c r="M66" s="65">
        <v>0.83909039853252743</v>
      </c>
    </row>
    <row r="67" spans="1:13" x14ac:dyDescent="0.25">
      <c r="A67" t="s">
        <v>37</v>
      </c>
      <c r="B67">
        <f t="shared" si="5"/>
        <v>6157</v>
      </c>
      <c r="C67" t="s">
        <v>49</v>
      </c>
      <c r="D67">
        <v>2016</v>
      </c>
      <c r="H67" t="s">
        <v>23</v>
      </c>
      <c r="I67" t="s">
        <v>383</v>
      </c>
      <c r="K67" s="6">
        <f t="shared" si="6"/>
        <v>222555.53888437021</v>
      </c>
      <c r="L67" t="s">
        <v>50</v>
      </c>
      <c r="M67" s="65">
        <v>0.86335028803399283</v>
      </c>
    </row>
    <row r="68" spans="1:13" x14ac:dyDescent="0.25">
      <c r="A68" t="s">
        <v>38</v>
      </c>
      <c r="B68">
        <f t="shared" si="5"/>
        <v>81</v>
      </c>
      <c r="C68" t="s">
        <v>49</v>
      </c>
      <c r="D68">
        <v>2016</v>
      </c>
      <c r="H68" t="s">
        <v>23</v>
      </c>
      <c r="I68" t="s">
        <v>383</v>
      </c>
      <c r="K68" s="6">
        <f t="shared" si="6"/>
        <v>1759.6408355623046</v>
      </c>
      <c r="L68" t="s">
        <v>50</v>
      </c>
      <c r="M68" s="65">
        <v>0.51886789273115408</v>
      </c>
    </row>
    <row r="69" spans="1:13" x14ac:dyDescent="0.25">
      <c r="A69" t="s">
        <v>39</v>
      </c>
      <c r="B69">
        <f t="shared" si="5"/>
        <v>2030</v>
      </c>
      <c r="C69" t="s">
        <v>49</v>
      </c>
      <c r="D69">
        <v>2016</v>
      </c>
      <c r="H69" t="s">
        <v>23</v>
      </c>
      <c r="I69" t="s">
        <v>383</v>
      </c>
      <c r="K69" s="6">
        <f t="shared" si="6"/>
        <v>70250.292126922126</v>
      </c>
      <c r="L69" t="s">
        <v>50</v>
      </c>
      <c r="M69" s="65">
        <v>0.82655142913291779</v>
      </c>
    </row>
    <row r="70" spans="1:13" x14ac:dyDescent="0.25">
      <c r="A70" t="s">
        <v>40</v>
      </c>
      <c r="B70">
        <f t="shared" si="5"/>
        <v>1148</v>
      </c>
      <c r="C70" t="s">
        <v>49</v>
      </c>
      <c r="D70">
        <v>2016</v>
      </c>
      <c r="H70" t="s">
        <v>23</v>
      </c>
      <c r="I70" t="s">
        <v>383</v>
      </c>
      <c r="K70" s="6">
        <f t="shared" si="6"/>
        <v>39457.37013396337</v>
      </c>
      <c r="L70" t="s">
        <v>50</v>
      </c>
      <c r="M70" s="65">
        <v>0.82092604078479625</v>
      </c>
    </row>
    <row r="71" spans="1:13" x14ac:dyDescent="0.25">
      <c r="M71" s="65"/>
    </row>
    <row r="72" spans="1:13" x14ac:dyDescent="0.25">
      <c r="M72" s="65"/>
    </row>
    <row r="73" spans="1:13" x14ac:dyDescent="0.25">
      <c r="A73" s="2" t="s">
        <v>45</v>
      </c>
      <c r="B73">
        <f t="shared" ref="B73:B75" si="7">B23</f>
        <v>2254</v>
      </c>
      <c r="C73" t="s">
        <v>49</v>
      </c>
      <c r="D73">
        <v>2016</v>
      </c>
      <c r="H73" t="s">
        <v>23</v>
      </c>
      <c r="I73" t="s">
        <v>383</v>
      </c>
      <c r="K73" s="6">
        <f t="shared" ref="K73:K75" si="8">B73*41.868*M73</f>
        <v>67754.777925848903</v>
      </c>
      <c r="L73" t="s">
        <v>50</v>
      </c>
      <c r="M73" s="65">
        <v>0.71796586887738456</v>
      </c>
    </row>
    <row r="74" spans="1:13" x14ac:dyDescent="0.25">
      <c r="A74" t="s">
        <v>42</v>
      </c>
      <c r="B74">
        <f t="shared" si="7"/>
        <v>1143</v>
      </c>
      <c r="C74" t="s">
        <v>49</v>
      </c>
      <c r="D74">
        <v>2016</v>
      </c>
      <c r="H74" t="s">
        <v>23</v>
      </c>
      <c r="I74" t="s">
        <v>383</v>
      </c>
      <c r="K74" s="6">
        <f t="shared" si="8"/>
        <v>39763.277357226092</v>
      </c>
      <c r="L74" t="s">
        <v>50</v>
      </c>
      <c r="M74" s="65">
        <v>0.83090950421998877</v>
      </c>
    </row>
    <row r="75" spans="1:13" x14ac:dyDescent="0.25">
      <c r="A75" t="s">
        <v>43</v>
      </c>
      <c r="B75">
        <f t="shared" si="7"/>
        <v>1440</v>
      </c>
      <c r="C75" t="s">
        <v>49</v>
      </c>
      <c r="D75">
        <v>2016</v>
      </c>
      <c r="H75" t="s">
        <v>23</v>
      </c>
      <c r="I75" t="s">
        <v>385</v>
      </c>
      <c r="K75" s="6">
        <f t="shared" si="8"/>
        <v>47930.486400000009</v>
      </c>
      <c r="M75" s="65">
        <f>M46</f>
        <v>0.79500000000000004</v>
      </c>
    </row>
    <row r="76" spans="1:13" x14ac:dyDescent="0.25">
      <c r="A76" t="s">
        <v>44</v>
      </c>
      <c r="B76">
        <f t="shared" ref="B76" si="9">B26</f>
        <v>7415</v>
      </c>
      <c r="C76" t="s">
        <v>49</v>
      </c>
      <c r="D76">
        <v>2016</v>
      </c>
      <c r="H76" t="s">
        <v>23</v>
      </c>
      <c r="I76" t="s">
        <v>383</v>
      </c>
      <c r="K76" s="6">
        <f t="shared" ref="K76" si="10">B76*41.868*M76</f>
        <v>240672.72439121359</v>
      </c>
      <c r="L76" t="s">
        <v>50</v>
      </c>
      <c r="M76" s="65">
        <v>0.77523523467298205</v>
      </c>
    </row>
    <row r="77" spans="1:13" x14ac:dyDescent="0.25">
      <c r="M77" s="65"/>
    </row>
    <row r="78" spans="1:13" x14ac:dyDescent="0.25">
      <c r="M78" s="65"/>
    </row>
    <row r="79" spans="1:13" x14ac:dyDescent="0.25">
      <c r="A79" t="s">
        <v>381</v>
      </c>
      <c r="B79">
        <f t="shared" ref="B79" si="11">B29</f>
        <v>2393</v>
      </c>
      <c r="C79" t="s">
        <v>49</v>
      </c>
      <c r="D79">
        <v>2016</v>
      </c>
      <c r="H79" t="s">
        <v>23</v>
      </c>
      <c r="I79" t="s">
        <v>383</v>
      </c>
      <c r="K79" s="6">
        <f t="shared" ref="K79" si="12">B79*41.868*M79</f>
        <v>80945.737680673148</v>
      </c>
      <c r="L79" t="s">
        <v>50</v>
      </c>
      <c r="M79" s="65">
        <v>0.80792132446780018</v>
      </c>
    </row>
    <row r="83" spans="1:4" x14ac:dyDescent="0.25">
      <c r="A83" s="1" t="s">
        <v>380</v>
      </c>
      <c r="B83" t="s">
        <v>378</v>
      </c>
      <c r="C83" t="s">
        <v>403</v>
      </c>
    </row>
    <row r="84" spans="1:4" x14ac:dyDescent="0.25">
      <c r="B84" s="69" t="s">
        <v>231</v>
      </c>
      <c r="C84" s="69" t="s">
        <v>404</v>
      </c>
      <c r="D84" s="69" t="s">
        <v>377</v>
      </c>
    </row>
    <row r="85" spans="1:4" x14ac:dyDescent="0.25">
      <c r="B85" s="69" t="s">
        <v>6</v>
      </c>
      <c r="C85">
        <v>39.782158396856232</v>
      </c>
      <c r="D85">
        <v>1215684.9269080891</v>
      </c>
    </row>
    <row r="86" spans="1:4" x14ac:dyDescent="0.25">
      <c r="B86" s="69" t="s">
        <v>7</v>
      </c>
      <c r="C86">
        <v>42.74695754648311</v>
      </c>
      <c r="D86">
        <v>2590075.7521639662</v>
      </c>
    </row>
    <row r="87" spans="1:4" x14ac:dyDescent="0.25">
      <c r="B87" s="69" t="s">
        <v>8</v>
      </c>
      <c r="C87">
        <v>39.615930809990388</v>
      </c>
      <c r="D87">
        <v>926451.06612759421</v>
      </c>
    </row>
    <row r="88" spans="1:4" x14ac:dyDescent="0.25">
      <c r="B88" s="69" t="s">
        <v>9</v>
      </c>
      <c r="C88">
        <v>25.190612489783799</v>
      </c>
      <c r="D88">
        <v>489476.37315658311</v>
      </c>
    </row>
    <row r="89" spans="1:4" x14ac:dyDescent="0.25">
      <c r="B89" s="69" t="s">
        <v>10</v>
      </c>
      <c r="C89">
        <v>36.289345325661223</v>
      </c>
      <c r="D89">
        <v>515241.55361103342</v>
      </c>
    </row>
    <row r="90" spans="1:4" x14ac:dyDescent="0.25">
      <c r="B90" s="69" t="s">
        <v>110</v>
      </c>
      <c r="C90">
        <v>40.836867744713373</v>
      </c>
      <c r="D90">
        <v>1791919.0434301989</v>
      </c>
    </row>
    <row r="91" spans="1:4" x14ac:dyDescent="0.25">
      <c r="B91" s="69" t="s">
        <v>33</v>
      </c>
      <c r="C91">
        <v>44.187309815378818</v>
      </c>
      <c r="D91">
        <v>262187.74476437108</v>
      </c>
    </row>
    <row r="92" spans="1:4" x14ac:dyDescent="0.25">
      <c r="B92" s="69" t="s">
        <v>24</v>
      </c>
      <c r="C92">
        <v>36.969394943271418</v>
      </c>
      <c r="D92">
        <v>320548.68784122582</v>
      </c>
    </row>
    <row r="93" spans="1:4" x14ac:dyDescent="0.25">
      <c r="B93" s="69" t="s">
        <v>45</v>
      </c>
      <c r="C93">
        <v>30.627997756093809</v>
      </c>
      <c r="D93">
        <v>60845.752728951673</v>
      </c>
    </row>
    <row r="94" spans="1:4" x14ac:dyDescent="0.25">
      <c r="B94" s="69" t="s">
        <v>381</v>
      </c>
      <c r="C94">
        <v>28.956559401346901</v>
      </c>
      <c r="D94">
        <v>22171.47980656935</v>
      </c>
    </row>
    <row r="95" spans="1:4" x14ac:dyDescent="0.25">
      <c r="B95" s="69" t="s">
        <v>41</v>
      </c>
      <c r="C95">
        <v>44.753629058205817</v>
      </c>
      <c r="D95">
        <v>11454.25778897947</v>
      </c>
    </row>
    <row r="96" spans="1:4" x14ac:dyDescent="0.25">
      <c r="B96" s="69" t="s">
        <v>382</v>
      </c>
      <c r="C96">
        <v>31.340502472069911</v>
      </c>
      <c r="D96">
        <v>215699.15819212521</v>
      </c>
    </row>
    <row r="97" spans="2:4" x14ac:dyDescent="0.25">
      <c r="B97" s="69" t="s">
        <v>25</v>
      </c>
      <c r="C97">
        <v>57.425805877478972</v>
      </c>
      <c r="D97">
        <v>200880.5199297248</v>
      </c>
    </row>
    <row r="98" spans="2:4" x14ac:dyDescent="0.25">
      <c r="B98" s="69" t="s">
        <v>36</v>
      </c>
      <c r="C98">
        <v>30.036018349664879</v>
      </c>
      <c r="D98">
        <v>38052.551326089371</v>
      </c>
    </row>
    <row r="99" spans="2:4" x14ac:dyDescent="0.25">
      <c r="B99" s="69" t="s">
        <v>26</v>
      </c>
      <c r="C99">
        <v>51.837984983116108</v>
      </c>
      <c r="D99">
        <v>184654.04036893859</v>
      </c>
    </row>
    <row r="100" spans="2:4" x14ac:dyDescent="0.25">
      <c r="B100" s="69" t="s">
        <v>27</v>
      </c>
      <c r="C100">
        <v>31.862741532350299</v>
      </c>
      <c r="D100">
        <v>230249.57079864369</v>
      </c>
    </row>
    <row r="101" spans="2:4" x14ac:dyDescent="0.25">
      <c r="B101" s="69" t="s">
        <v>37</v>
      </c>
      <c r="C101">
        <v>31.448125793873281</v>
      </c>
      <c r="D101">
        <v>181778.03314817569</v>
      </c>
    </row>
    <row r="102" spans="2:4" x14ac:dyDescent="0.25">
      <c r="B102" s="69" t="s">
        <v>28</v>
      </c>
      <c r="C102">
        <v>43.455137053761682</v>
      </c>
      <c r="D102">
        <v>117376.75323925199</v>
      </c>
    </row>
    <row r="103" spans="2:4" x14ac:dyDescent="0.25">
      <c r="B103" s="69" t="s">
        <v>42</v>
      </c>
      <c r="C103">
        <v>25.328817430598029</v>
      </c>
      <c r="D103">
        <v>48566.053947879089</v>
      </c>
    </row>
    <row r="104" spans="2:4" x14ac:dyDescent="0.25">
      <c r="B104" s="69" t="s">
        <v>43</v>
      </c>
      <c r="C104">
        <v>29.348454380465011</v>
      </c>
      <c r="D104">
        <v>56621.162447050338</v>
      </c>
    </row>
    <row r="105" spans="2:4" x14ac:dyDescent="0.25">
      <c r="B105" s="69" t="s">
        <v>29</v>
      </c>
      <c r="C105">
        <v>48.81481924710171</v>
      </c>
      <c r="D105">
        <v>19388.328314903782</v>
      </c>
    </row>
    <row r="106" spans="2:4" x14ac:dyDescent="0.25">
      <c r="B106" s="69" t="s">
        <v>38</v>
      </c>
      <c r="C106">
        <v>61.615589761787007</v>
      </c>
      <c r="D106">
        <v>4238.5928577576842</v>
      </c>
    </row>
    <row r="107" spans="2:4" x14ac:dyDescent="0.25">
      <c r="B107" s="69" t="s">
        <v>30</v>
      </c>
      <c r="C107">
        <v>50.594304644390917</v>
      </c>
      <c r="D107">
        <v>422642.51289957622</v>
      </c>
    </row>
    <row r="108" spans="2:4" x14ac:dyDescent="0.25">
      <c r="B108" s="69" t="s">
        <v>31</v>
      </c>
      <c r="C108">
        <v>38.683053314112399</v>
      </c>
      <c r="D108">
        <v>125872.4629807477</v>
      </c>
    </row>
    <row r="109" spans="2:4" x14ac:dyDescent="0.25">
      <c r="B109" s="69" t="s">
        <v>44</v>
      </c>
      <c r="C109">
        <v>17.061660399805842</v>
      </c>
      <c r="D109">
        <v>175193.01441547621</v>
      </c>
    </row>
    <row r="110" spans="2:4" x14ac:dyDescent="0.25">
      <c r="B110" s="69" t="s">
        <v>39</v>
      </c>
      <c r="C110">
        <v>27.17747162916006</v>
      </c>
      <c r="D110">
        <v>62966.941489125747</v>
      </c>
    </row>
    <row r="111" spans="2:4" x14ac:dyDescent="0.25">
      <c r="B111" s="69" t="s">
        <v>40</v>
      </c>
      <c r="C111">
        <v>30.59710278395843</v>
      </c>
      <c r="D111">
        <v>36146.262895698557</v>
      </c>
    </row>
    <row r="112" spans="2:4" x14ac:dyDescent="0.25">
      <c r="B112" s="69" t="s">
        <v>32</v>
      </c>
      <c r="C112">
        <v>47.969554270354337</v>
      </c>
      <c r="D112">
        <v>276591.62200969469</v>
      </c>
    </row>
    <row r="114" spans="1:29" x14ac:dyDescent="0.25">
      <c r="B114" s="69" t="s">
        <v>6</v>
      </c>
      <c r="C114" s="69" t="s">
        <v>7</v>
      </c>
      <c r="D114" s="69" t="s">
        <v>8</v>
      </c>
      <c r="E114" s="69" t="s">
        <v>9</v>
      </c>
      <c r="F114" s="69" t="s">
        <v>10</v>
      </c>
      <c r="G114" s="69" t="s">
        <v>110</v>
      </c>
      <c r="H114" s="69" t="s">
        <v>33</v>
      </c>
      <c r="I114" s="69" t="s">
        <v>24</v>
      </c>
      <c r="J114" s="69" t="s">
        <v>45</v>
      </c>
      <c r="K114" s="69" t="s">
        <v>381</v>
      </c>
      <c r="L114" s="69" t="s">
        <v>41</v>
      </c>
      <c r="M114" s="69" t="s">
        <v>382</v>
      </c>
      <c r="N114" s="69" t="s">
        <v>25</v>
      </c>
      <c r="O114" s="69" t="s">
        <v>36</v>
      </c>
      <c r="P114" s="69" t="s">
        <v>26</v>
      </c>
      <c r="Q114" s="69" t="s">
        <v>27</v>
      </c>
      <c r="R114" s="69" t="s">
        <v>37</v>
      </c>
      <c r="S114" s="69" t="s">
        <v>28</v>
      </c>
      <c r="T114" s="69" t="s">
        <v>42</v>
      </c>
      <c r="U114" s="69" t="s">
        <v>43</v>
      </c>
      <c r="V114" s="69" t="s">
        <v>29</v>
      </c>
      <c r="W114" s="69" t="s">
        <v>38</v>
      </c>
      <c r="X114" s="69" t="s">
        <v>30</v>
      </c>
      <c r="Y114" s="69" t="s">
        <v>31</v>
      </c>
      <c r="Z114" s="69" t="s">
        <v>44</v>
      </c>
      <c r="AA114" s="69" t="s">
        <v>39</v>
      </c>
      <c r="AB114" s="69" t="s">
        <v>40</v>
      </c>
      <c r="AC114" s="69" t="s">
        <v>32</v>
      </c>
    </row>
    <row r="115" spans="1:29" x14ac:dyDescent="0.25">
      <c r="A115" s="69" t="s">
        <v>377</v>
      </c>
      <c r="B115">
        <v>1215684.9269080891</v>
      </c>
      <c r="C115">
        <v>2590075.7521639662</v>
      </c>
      <c r="D115">
        <v>926451.06612759421</v>
      </c>
      <c r="E115">
        <v>489476.37315658311</v>
      </c>
      <c r="F115">
        <v>515241.55361103342</v>
      </c>
      <c r="G115">
        <v>1791919.0434301989</v>
      </c>
      <c r="H115">
        <v>262187.74476437108</v>
      </c>
      <c r="I115">
        <v>320548.68784122582</v>
      </c>
      <c r="J115">
        <v>60845.752728951673</v>
      </c>
      <c r="K115">
        <v>22171.47980656935</v>
      </c>
      <c r="L115">
        <v>11454.25778897947</v>
      </c>
      <c r="M115">
        <v>215699.15819212521</v>
      </c>
      <c r="N115">
        <v>200880.5199297248</v>
      </c>
      <c r="O115">
        <v>38052.551326089371</v>
      </c>
      <c r="P115">
        <v>184654.04036893859</v>
      </c>
      <c r="Q115">
        <v>230249.57079864369</v>
      </c>
      <c r="R115">
        <v>181778.03314817569</v>
      </c>
      <c r="S115">
        <v>117376.75323925199</v>
      </c>
      <c r="T115">
        <v>48566.053947879089</v>
      </c>
      <c r="U115">
        <v>56621.162447050338</v>
      </c>
      <c r="V115">
        <v>19388.328314903782</v>
      </c>
      <c r="W115">
        <v>4238.5928577576842</v>
      </c>
      <c r="X115">
        <v>422642.51289957622</v>
      </c>
      <c r="Y115">
        <v>125872.4629807477</v>
      </c>
      <c r="Z115">
        <v>175193.01441547621</v>
      </c>
      <c r="AA115">
        <v>62966.941489125747</v>
      </c>
      <c r="AB115">
        <v>36146.262895698557</v>
      </c>
      <c r="AC115">
        <v>276591.62200969469</v>
      </c>
    </row>
    <row r="175" spans="9:9" x14ac:dyDescent="0.25">
      <c r="I175" s="66"/>
    </row>
    <row r="176" spans="9:9" x14ac:dyDescent="0.25">
      <c r="I176" s="66"/>
    </row>
    <row r="177" spans="9:9" x14ac:dyDescent="0.25">
      <c r="I177" s="66"/>
    </row>
    <row r="178" spans="9:9" x14ac:dyDescent="0.25">
      <c r="I178" s="66"/>
    </row>
    <row r="179" spans="9:9" x14ac:dyDescent="0.25">
      <c r="I179" s="66"/>
    </row>
    <row r="180" spans="9:9" x14ac:dyDescent="0.25">
      <c r="I180" s="66"/>
    </row>
    <row r="181" spans="9:9" x14ac:dyDescent="0.25">
      <c r="I181" s="66"/>
    </row>
    <row r="182" spans="9:9" x14ac:dyDescent="0.25">
      <c r="I182" s="66"/>
    </row>
    <row r="183" spans="9:9" x14ac:dyDescent="0.25">
      <c r="I183" s="66"/>
    </row>
    <row r="184" spans="9:9" x14ac:dyDescent="0.25">
      <c r="I184" s="66"/>
    </row>
    <row r="185" spans="9:9" x14ac:dyDescent="0.25">
      <c r="I185" s="66"/>
    </row>
    <row r="186" spans="9:9" x14ac:dyDescent="0.25">
      <c r="I186" s="66"/>
    </row>
    <row r="187" spans="9:9" x14ac:dyDescent="0.25">
      <c r="I187" s="66"/>
    </row>
    <row r="188" spans="9:9" x14ac:dyDescent="0.25">
      <c r="I188" s="66"/>
    </row>
    <row r="189" spans="9:9" x14ac:dyDescent="0.25">
      <c r="I189" s="66"/>
    </row>
    <row r="190" spans="9:9" x14ac:dyDescent="0.25">
      <c r="I190" s="66"/>
    </row>
    <row r="191" spans="9:9" x14ac:dyDescent="0.25">
      <c r="I191" s="66"/>
    </row>
    <row r="192" spans="9:9" x14ac:dyDescent="0.25">
      <c r="I192" s="66"/>
    </row>
    <row r="193" spans="9:9" x14ac:dyDescent="0.25">
      <c r="I193" s="66"/>
    </row>
    <row r="194" spans="9:9" x14ac:dyDescent="0.25">
      <c r="I194" s="66"/>
    </row>
    <row r="195" spans="9:9" x14ac:dyDescent="0.25">
      <c r="I195" s="66"/>
    </row>
    <row r="196" spans="9:9" x14ac:dyDescent="0.25">
      <c r="I196" s="66"/>
    </row>
    <row r="197" spans="9:9" x14ac:dyDescent="0.25">
      <c r="I197" s="66"/>
    </row>
    <row r="198" spans="9:9" x14ac:dyDescent="0.25">
      <c r="I198" s="66"/>
    </row>
    <row r="199" spans="9:9" x14ac:dyDescent="0.25">
      <c r="I199" s="66"/>
    </row>
    <row r="200" spans="9:9" x14ac:dyDescent="0.25">
      <c r="I200" s="66"/>
    </row>
    <row r="201" spans="9:9" x14ac:dyDescent="0.25">
      <c r="I201" s="66"/>
    </row>
    <row r="202" spans="9:9" x14ac:dyDescent="0.25">
      <c r="I202" s="66"/>
    </row>
  </sheetData>
  <hyperlinks>
    <hyperlink ref="J49" r:id="rId1" display="https://www.eia.gov/totalenergy/data/monthly/pdf/sec2_3.pdf" xr:uid="{00000000-0004-0000-0900-000000000000}"/>
  </hyperlinks>
  <pageMargins left="0.7" right="0.7" top="0.78740157499999996" bottom="0.78740157499999996" header="0.3" footer="0.3"/>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AV105"/>
  <sheetViews>
    <sheetView topLeftCell="A70" workbookViewId="0">
      <selection activeCell="C105" sqref="C105"/>
    </sheetView>
  </sheetViews>
  <sheetFormatPr defaultColWidth="11.42578125" defaultRowHeight="15" x14ac:dyDescent="0.25"/>
  <cols>
    <col min="2" max="2" width="19.85546875" customWidth="1"/>
    <col min="3" max="3" width="15.85546875" customWidth="1"/>
  </cols>
  <sheetData>
    <row r="2" spans="2:11" x14ac:dyDescent="0.25">
      <c r="B2" s="61" t="s">
        <v>348</v>
      </c>
      <c r="C2" s="62"/>
      <c r="D2" s="63"/>
      <c r="E2" s="63"/>
      <c r="F2" s="63"/>
      <c r="G2" s="63"/>
    </row>
    <row r="4" spans="2:11" x14ac:dyDescent="0.25">
      <c r="B4" s="1" t="s">
        <v>7</v>
      </c>
      <c r="J4" t="s">
        <v>50</v>
      </c>
    </row>
    <row r="5" spans="2:11" x14ac:dyDescent="0.25">
      <c r="B5" t="s">
        <v>300</v>
      </c>
      <c r="J5">
        <f>400*3600</f>
        <v>1440000</v>
      </c>
    </row>
    <row r="6" spans="2:11" x14ac:dyDescent="0.25">
      <c r="B6" s="8" t="s">
        <v>290</v>
      </c>
    </row>
    <row r="7" spans="2:11" x14ac:dyDescent="0.25">
      <c r="B7" t="s">
        <v>301</v>
      </c>
    </row>
    <row r="8" spans="2:11" x14ac:dyDescent="0.25">
      <c r="B8" t="s">
        <v>302</v>
      </c>
      <c r="J8">
        <f>199*3600</f>
        <v>716400</v>
      </c>
    </row>
    <row r="9" spans="2:11" x14ac:dyDescent="0.25">
      <c r="B9" t="s">
        <v>303</v>
      </c>
    </row>
    <row r="10" spans="2:11" x14ac:dyDescent="0.25">
      <c r="B10">
        <f>181*0.03+18*0.26</f>
        <v>10.11</v>
      </c>
      <c r="J10">
        <f>B10*3600</f>
        <v>36396</v>
      </c>
    </row>
    <row r="11" spans="2:11" x14ac:dyDescent="0.25">
      <c r="B11" t="s">
        <v>304</v>
      </c>
    </row>
    <row r="12" spans="2:11" x14ac:dyDescent="0.25">
      <c r="B12">
        <v>13021</v>
      </c>
      <c r="C12" t="s">
        <v>49</v>
      </c>
      <c r="J12">
        <f>B12*41.868</f>
        <v>545163.228</v>
      </c>
    </row>
    <row r="14" spans="2:11" x14ac:dyDescent="0.25">
      <c r="B14" t="s">
        <v>306</v>
      </c>
      <c r="E14" t="s">
        <v>307</v>
      </c>
      <c r="J14">
        <f>J5*0.15</f>
        <v>216000</v>
      </c>
    </row>
    <row r="16" spans="2:11" x14ac:dyDescent="0.25">
      <c r="B16" s="1" t="s">
        <v>305</v>
      </c>
      <c r="C16" s="1"/>
      <c r="D16" s="1"/>
      <c r="E16" s="1"/>
      <c r="F16" s="1"/>
      <c r="G16" s="1"/>
      <c r="H16" s="1"/>
      <c r="I16" s="1"/>
      <c r="J16" s="1">
        <f>J8+J12-J10-J14</f>
        <v>1009167.2280000001</v>
      </c>
      <c r="K16" t="s">
        <v>308</v>
      </c>
    </row>
    <row r="19" spans="2:48" x14ac:dyDescent="0.25">
      <c r="B19" t="s">
        <v>310</v>
      </c>
    </row>
    <row r="20" spans="2:48" x14ac:dyDescent="0.25">
      <c r="B20" s="8" t="s">
        <v>291</v>
      </c>
    </row>
    <row r="21" spans="2:48" x14ac:dyDescent="0.25">
      <c r="B21" t="s">
        <v>292</v>
      </c>
    </row>
    <row r="23" spans="2:48" x14ac:dyDescent="0.25">
      <c r="B23" t="s">
        <v>293</v>
      </c>
      <c r="D23">
        <v>768871</v>
      </c>
      <c r="E23" t="s">
        <v>50</v>
      </c>
    </row>
    <row r="25" spans="2:48" x14ac:dyDescent="0.25">
      <c r="B25" s="51" t="s">
        <v>346</v>
      </c>
      <c r="C25" s="52"/>
      <c r="D25" s="53"/>
      <c r="E25" s="53"/>
      <c r="F25" s="53"/>
      <c r="G25" s="53"/>
    </row>
    <row r="27" spans="2:48" x14ac:dyDescent="0.25">
      <c r="B27" s="1" t="s">
        <v>295</v>
      </c>
      <c r="C27" s="1"/>
      <c r="D27" s="1"/>
      <c r="E27" s="1"/>
      <c r="F27" s="1"/>
      <c r="G27" s="1"/>
      <c r="H27" s="1"/>
      <c r="I27" s="1"/>
      <c r="J27" s="1"/>
      <c r="K27" s="1"/>
      <c r="L27" s="1"/>
      <c r="M27" s="1"/>
      <c r="N27" s="1"/>
      <c r="O27" s="1"/>
      <c r="P27" s="1"/>
      <c r="Q27" s="1"/>
      <c r="R27" s="1"/>
      <c r="S27" s="1"/>
      <c r="T27" s="1"/>
      <c r="U27" s="1"/>
      <c r="V27" s="1"/>
      <c r="W27" s="1"/>
      <c r="X27" s="1"/>
      <c r="Y27" s="1"/>
      <c r="Z27" s="1"/>
    </row>
    <row r="28" spans="2:48" x14ac:dyDescent="0.25">
      <c r="B28" s="1"/>
      <c r="C28" s="1"/>
      <c r="D28" s="1" t="s">
        <v>1</v>
      </c>
      <c r="E28" s="1" t="s">
        <v>2</v>
      </c>
      <c r="F28" s="1" t="s">
        <v>15</v>
      </c>
      <c r="G28" s="1" t="s">
        <v>106</v>
      </c>
      <c r="H28" s="1" t="s">
        <v>107</v>
      </c>
      <c r="I28" s="1" t="s">
        <v>108</v>
      </c>
      <c r="J28" s="1" t="s">
        <v>109</v>
      </c>
      <c r="K28" s="1" t="s">
        <v>6</v>
      </c>
      <c r="L28" s="1" t="s">
        <v>7</v>
      </c>
      <c r="M28" s="1" t="s">
        <v>8</v>
      </c>
      <c r="N28" s="1" t="s">
        <v>9</v>
      </c>
      <c r="O28" s="1" t="s">
        <v>10</v>
      </c>
      <c r="P28" s="1" t="s">
        <v>110</v>
      </c>
      <c r="Q28" s="1" t="s">
        <v>12</v>
      </c>
      <c r="R28" s="1" t="s">
        <v>14</v>
      </c>
      <c r="S28" s="1" t="s">
        <v>313</v>
      </c>
      <c r="T28" s="1" t="s">
        <v>314</v>
      </c>
      <c r="U28" s="1" t="s">
        <v>315</v>
      </c>
      <c r="V28" s="1" t="s">
        <v>316</v>
      </c>
      <c r="W28" s="1" t="s">
        <v>317</v>
      </c>
      <c r="X28" s="1" t="s">
        <v>318</v>
      </c>
      <c r="Y28" s="1" t="s">
        <v>324</v>
      </c>
      <c r="Z28" s="1" t="s">
        <v>325</v>
      </c>
      <c r="AA28" s="1" t="s">
        <v>33</v>
      </c>
      <c r="AB28" s="1" t="s">
        <v>24</v>
      </c>
      <c r="AC28" s="1" t="s">
        <v>45</v>
      </c>
      <c r="AD28" s="1" t="s">
        <v>381</v>
      </c>
      <c r="AE28" s="1" t="s">
        <v>41</v>
      </c>
      <c r="AF28" s="1" t="s">
        <v>382</v>
      </c>
      <c r="AG28" s="1" t="s">
        <v>25</v>
      </c>
      <c r="AH28" s="1" t="s">
        <v>36</v>
      </c>
      <c r="AI28" s="1" t="s">
        <v>26</v>
      </c>
      <c r="AJ28" s="1" t="s">
        <v>27</v>
      </c>
      <c r="AK28" s="1" t="s">
        <v>37</v>
      </c>
      <c r="AL28" s="1" t="s">
        <v>28</v>
      </c>
      <c r="AM28" s="1" t="s">
        <v>42</v>
      </c>
      <c r="AN28" s="1" t="s">
        <v>43</v>
      </c>
      <c r="AO28" s="1" t="s">
        <v>29</v>
      </c>
      <c r="AP28" s="1" t="s">
        <v>38</v>
      </c>
      <c r="AQ28" s="1" t="s">
        <v>30</v>
      </c>
      <c r="AR28" s="1" t="s">
        <v>31</v>
      </c>
      <c r="AS28" s="1" t="s">
        <v>44</v>
      </c>
      <c r="AT28" s="1" t="s">
        <v>39</v>
      </c>
      <c r="AU28" s="1" t="s">
        <v>40</v>
      </c>
      <c r="AV28" s="1" t="s">
        <v>32</v>
      </c>
    </row>
    <row r="29" spans="2:48" x14ac:dyDescent="0.25">
      <c r="B29" t="s">
        <v>347</v>
      </c>
      <c r="C29" s="1">
        <v>2016</v>
      </c>
      <c r="D29">
        <v>1016</v>
      </c>
      <c r="E29">
        <v>3376</v>
      </c>
      <c r="F29">
        <v>171</v>
      </c>
      <c r="G29">
        <v>242</v>
      </c>
      <c r="H29">
        <v>788</v>
      </c>
      <c r="I29">
        <v>2070</v>
      </c>
      <c r="J29">
        <v>8750</v>
      </c>
      <c r="K29">
        <v>921</v>
      </c>
      <c r="L29">
        <v>1329</v>
      </c>
      <c r="M29">
        <v>646</v>
      </c>
      <c r="N29">
        <v>355</v>
      </c>
      <c r="O29">
        <v>401</v>
      </c>
      <c r="P29">
        <v>717</v>
      </c>
      <c r="Q29">
        <v>1199</v>
      </c>
      <c r="R29">
        <v>317</v>
      </c>
      <c r="S29">
        <v>1140</v>
      </c>
      <c r="T29">
        <v>2692</v>
      </c>
      <c r="U29">
        <v>2287</v>
      </c>
      <c r="V29">
        <f>Y29+Z29</f>
        <v>2445</v>
      </c>
      <c r="W29">
        <v>1106</v>
      </c>
      <c r="X29">
        <v>788</v>
      </c>
      <c r="Y29">
        <v>1563</v>
      </c>
      <c r="Z29">
        <v>882</v>
      </c>
      <c r="AA29">
        <v>97</v>
      </c>
      <c r="AB29">
        <v>194</v>
      </c>
      <c r="AF29">
        <v>129</v>
      </c>
      <c r="AG29">
        <v>82</v>
      </c>
      <c r="AH29">
        <v>21</v>
      </c>
      <c r="AI29">
        <v>121</v>
      </c>
      <c r="AJ29">
        <v>85</v>
      </c>
      <c r="AK29">
        <v>91</v>
      </c>
      <c r="AL29">
        <v>68</v>
      </c>
      <c r="AM29">
        <v>25</v>
      </c>
      <c r="AN29">
        <v>25</v>
      </c>
      <c r="AO29">
        <v>17</v>
      </c>
      <c r="AQ29">
        <v>280</v>
      </c>
      <c r="AR29">
        <v>80</v>
      </c>
      <c r="AT29">
        <v>55</v>
      </c>
      <c r="AU29">
        <v>21</v>
      </c>
      <c r="AV29">
        <v>176</v>
      </c>
    </row>
    <row r="30" spans="2:48" x14ac:dyDescent="0.25">
      <c r="B30" t="s">
        <v>355</v>
      </c>
      <c r="C30" s="1">
        <v>2016</v>
      </c>
      <c r="D30" s="53">
        <f t="shared" ref="D30" si="0">1000*D29</f>
        <v>1016000</v>
      </c>
      <c r="E30" s="53">
        <f t="shared" ref="E30" si="1">1000*E29</f>
        <v>3376000</v>
      </c>
      <c r="F30" s="53">
        <f t="shared" ref="F30:AV30" si="2">1000*F29</f>
        <v>171000</v>
      </c>
      <c r="G30" s="53">
        <f t="shared" si="2"/>
        <v>242000</v>
      </c>
      <c r="H30" s="53">
        <f t="shared" si="2"/>
        <v>788000</v>
      </c>
      <c r="I30" s="53">
        <f t="shared" si="2"/>
        <v>2070000</v>
      </c>
      <c r="J30" s="53">
        <f t="shared" si="2"/>
        <v>8750000</v>
      </c>
      <c r="K30" s="53">
        <f t="shared" si="2"/>
        <v>921000</v>
      </c>
      <c r="L30" s="53">
        <f t="shared" si="2"/>
        <v>1329000</v>
      </c>
      <c r="M30" s="53">
        <f t="shared" si="2"/>
        <v>646000</v>
      </c>
      <c r="N30" s="53">
        <f t="shared" si="2"/>
        <v>355000</v>
      </c>
      <c r="O30" s="53">
        <f t="shared" si="2"/>
        <v>401000</v>
      </c>
      <c r="P30" s="53">
        <f t="shared" si="2"/>
        <v>717000</v>
      </c>
      <c r="Q30" s="53">
        <f t="shared" si="2"/>
        <v>1199000</v>
      </c>
      <c r="R30" s="53">
        <f t="shared" si="2"/>
        <v>317000</v>
      </c>
      <c r="S30" s="53">
        <f t="shared" si="2"/>
        <v>1140000</v>
      </c>
      <c r="T30" s="53">
        <f t="shared" si="2"/>
        <v>2692000</v>
      </c>
      <c r="U30" s="53">
        <f t="shared" si="2"/>
        <v>2287000</v>
      </c>
      <c r="V30" s="53">
        <f t="shared" si="2"/>
        <v>2445000</v>
      </c>
      <c r="W30" s="53">
        <f t="shared" si="2"/>
        <v>1106000</v>
      </c>
      <c r="X30" s="53">
        <f t="shared" si="2"/>
        <v>788000</v>
      </c>
      <c r="Y30" s="53">
        <f t="shared" si="2"/>
        <v>1563000</v>
      </c>
      <c r="Z30" s="53">
        <f t="shared" si="2"/>
        <v>882000</v>
      </c>
      <c r="AA30" s="53">
        <f t="shared" si="2"/>
        <v>97000</v>
      </c>
      <c r="AB30" s="53">
        <f t="shared" si="2"/>
        <v>194000</v>
      </c>
      <c r="AC30" s="53">
        <f t="shared" si="2"/>
        <v>0</v>
      </c>
      <c r="AD30" s="53">
        <f t="shared" si="2"/>
        <v>0</v>
      </c>
      <c r="AE30" s="53">
        <f t="shared" si="2"/>
        <v>0</v>
      </c>
      <c r="AF30" s="53">
        <f t="shared" si="2"/>
        <v>129000</v>
      </c>
      <c r="AG30" s="53">
        <f t="shared" si="2"/>
        <v>82000</v>
      </c>
      <c r="AH30" s="53">
        <f t="shared" si="2"/>
        <v>21000</v>
      </c>
      <c r="AI30" s="53">
        <f t="shared" si="2"/>
        <v>121000</v>
      </c>
      <c r="AJ30" s="53">
        <f t="shared" si="2"/>
        <v>85000</v>
      </c>
      <c r="AK30" s="53">
        <f t="shared" si="2"/>
        <v>91000</v>
      </c>
      <c r="AL30" s="53">
        <f t="shared" si="2"/>
        <v>68000</v>
      </c>
      <c r="AM30" s="53">
        <f t="shared" si="2"/>
        <v>25000</v>
      </c>
      <c r="AN30" s="53">
        <f t="shared" si="2"/>
        <v>25000</v>
      </c>
      <c r="AO30" s="53">
        <f t="shared" si="2"/>
        <v>17000</v>
      </c>
      <c r="AP30" s="53">
        <f t="shared" si="2"/>
        <v>0</v>
      </c>
      <c r="AQ30" s="53">
        <f t="shared" si="2"/>
        <v>280000</v>
      </c>
      <c r="AR30" s="53">
        <f t="shared" si="2"/>
        <v>80000</v>
      </c>
      <c r="AS30" s="53">
        <f t="shared" si="2"/>
        <v>0</v>
      </c>
      <c r="AT30" s="53">
        <f t="shared" si="2"/>
        <v>55000</v>
      </c>
      <c r="AU30" s="53">
        <f t="shared" si="2"/>
        <v>21000</v>
      </c>
      <c r="AV30" s="53">
        <f t="shared" si="2"/>
        <v>176000</v>
      </c>
    </row>
    <row r="32" spans="2:48" x14ac:dyDescent="0.25">
      <c r="B32" t="s">
        <v>155</v>
      </c>
      <c r="C32" t="s">
        <v>352</v>
      </c>
    </row>
    <row r="33" spans="3:16" x14ac:dyDescent="0.25">
      <c r="C33" s="1" t="s">
        <v>353</v>
      </c>
      <c r="D33" s="1" t="s">
        <v>354</v>
      </c>
    </row>
    <row r="34" spans="3:16" x14ac:dyDescent="0.25">
      <c r="C34" t="s">
        <v>349</v>
      </c>
      <c r="D34" t="s">
        <v>350</v>
      </c>
    </row>
    <row r="35" spans="3:16" x14ac:dyDescent="0.25">
      <c r="C35" s="1" t="s">
        <v>129</v>
      </c>
      <c r="D35" s="1" t="s">
        <v>351</v>
      </c>
    </row>
    <row r="38" spans="3:16" x14ac:dyDescent="0.25">
      <c r="C38" t="s">
        <v>356</v>
      </c>
    </row>
    <row r="39" spans="3:16" x14ac:dyDescent="0.25">
      <c r="C39" t="s">
        <v>358</v>
      </c>
      <c r="L39" t="s">
        <v>396</v>
      </c>
      <c r="N39">
        <f>317-AF29-AH29-AK29-AT29-AU29</f>
        <v>0</v>
      </c>
    </row>
    <row r="40" spans="3:16" x14ac:dyDescent="0.25">
      <c r="C40" t="s">
        <v>357</v>
      </c>
      <c r="F40" t="s">
        <v>369</v>
      </c>
      <c r="I40" t="s">
        <v>375</v>
      </c>
      <c r="L40" t="s">
        <v>376</v>
      </c>
      <c r="O40">
        <f>50+76+45</f>
        <v>171</v>
      </c>
      <c r="P40" t="s">
        <v>50</v>
      </c>
    </row>
    <row r="41" spans="3:16" x14ac:dyDescent="0.25">
      <c r="C41" t="s">
        <v>359</v>
      </c>
    </row>
    <row r="42" spans="3:16" x14ac:dyDescent="0.25">
      <c r="C42" s="59" t="s">
        <v>324</v>
      </c>
      <c r="D42" t="s">
        <v>360</v>
      </c>
      <c r="E42" t="s">
        <v>361</v>
      </c>
      <c r="G42">
        <v>1563</v>
      </c>
    </row>
    <row r="43" spans="3:16" x14ac:dyDescent="0.25">
      <c r="C43" s="59" t="s">
        <v>325</v>
      </c>
      <c r="D43" t="s">
        <v>362</v>
      </c>
      <c r="E43" t="s">
        <v>363</v>
      </c>
      <c r="G43">
        <v>882</v>
      </c>
    </row>
    <row r="44" spans="3:16" x14ac:dyDescent="0.25">
      <c r="C44" s="59" t="s">
        <v>317</v>
      </c>
      <c r="D44" t="s">
        <v>364</v>
      </c>
    </row>
    <row r="45" spans="3:16" x14ac:dyDescent="0.25">
      <c r="C45" s="59" t="s">
        <v>316</v>
      </c>
      <c r="D45" t="s">
        <v>324</v>
      </c>
      <c r="E45" s="10" t="s">
        <v>365</v>
      </c>
      <c r="F45" t="s">
        <v>325</v>
      </c>
    </row>
    <row r="46" spans="3:16" x14ac:dyDescent="0.25">
      <c r="C46" s="59" t="s">
        <v>315</v>
      </c>
      <c r="D46" t="s">
        <v>366</v>
      </c>
      <c r="G46" t="s">
        <v>367</v>
      </c>
      <c r="H46">
        <f>5663-3376</f>
        <v>2287</v>
      </c>
    </row>
    <row r="47" spans="3:16" x14ac:dyDescent="0.25">
      <c r="C47" s="59" t="s">
        <v>314</v>
      </c>
      <c r="D47" t="s">
        <v>368</v>
      </c>
    </row>
    <row r="49" spans="2:4" x14ac:dyDescent="0.25">
      <c r="B49" s="1" t="s">
        <v>380</v>
      </c>
      <c r="C49" t="s">
        <v>378</v>
      </c>
      <c r="D49" t="s">
        <v>379</v>
      </c>
    </row>
    <row r="50" spans="2:4" x14ac:dyDescent="0.25">
      <c r="C50" s="64" t="s">
        <v>231</v>
      </c>
      <c r="D50" s="64" t="s">
        <v>377</v>
      </c>
    </row>
    <row r="51" spans="2:4" x14ac:dyDescent="0.25">
      <c r="C51" t="s">
        <v>173</v>
      </c>
      <c r="D51">
        <v>1293207.340076382</v>
      </c>
    </row>
    <row r="52" spans="2:4" x14ac:dyDescent="0.25">
      <c r="C52" t="s">
        <v>108</v>
      </c>
      <c r="D52">
        <v>436586.56126482208</v>
      </c>
    </row>
    <row r="53" spans="2:4" x14ac:dyDescent="0.25">
      <c r="C53" t="s">
        <v>109</v>
      </c>
      <c r="D53">
        <v>12649217.430500731</v>
      </c>
    </row>
    <row r="54" spans="2:4" x14ac:dyDescent="0.25">
      <c r="C54" t="s">
        <v>6</v>
      </c>
      <c r="D54">
        <v>583589.77898669126</v>
      </c>
    </row>
    <row r="55" spans="2:4" x14ac:dyDescent="0.25">
      <c r="C55" t="s">
        <v>7</v>
      </c>
      <c r="D55">
        <v>764406.25975742331</v>
      </c>
    </row>
    <row r="56" spans="2:4" x14ac:dyDescent="0.25">
      <c r="C56" t="s">
        <v>8</v>
      </c>
      <c r="D56">
        <v>272527.30425938067</v>
      </c>
    </row>
    <row r="57" spans="2:4" x14ac:dyDescent="0.25">
      <c r="C57" t="s">
        <v>9</v>
      </c>
      <c r="D57">
        <v>253326.75721488081</v>
      </c>
    </row>
    <row r="58" spans="2:4" x14ac:dyDescent="0.25">
      <c r="C58" t="s">
        <v>10</v>
      </c>
      <c r="D58">
        <v>329155.98484116519</v>
      </c>
    </row>
    <row r="59" spans="2:4" x14ac:dyDescent="0.25">
      <c r="C59" t="s">
        <v>110</v>
      </c>
      <c r="D59">
        <v>495575.73151189392</v>
      </c>
    </row>
    <row r="60" spans="2:4" x14ac:dyDescent="0.25">
      <c r="C60" t="s">
        <v>12</v>
      </c>
      <c r="D60">
        <v>771407.01343585632</v>
      </c>
    </row>
    <row r="61" spans="2:4" x14ac:dyDescent="0.25">
      <c r="C61" t="s">
        <v>14</v>
      </c>
      <c r="D61">
        <v>288425.94371221028</v>
      </c>
    </row>
    <row r="62" spans="2:4" x14ac:dyDescent="0.25">
      <c r="C62" t="s">
        <v>15</v>
      </c>
      <c r="D62">
        <v>109802.8654633877</v>
      </c>
    </row>
    <row r="63" spans="2:4" x14ac:dyDescent="0.25">
      <c r="C63" t="s">
        <v>174</v>
      </c>
      <c r="D63">
        <v>2970511.3926666621</v>
      </c>
    </row>
    <row r="64" spans="2:4" x14ac:dyDescent="0.25">
      <c r="C64" t="s">
        <v>107</v>
      </c>
      <c r="D64">
        <v>183075.84</v>
      </c>
    </row>
    <row r="65" spans="2:5" x14ac:dyDescent="0.25">
      <c r="C65" t="s">
        <v>313</v>
      </c>
      <c r="D65">
        <v>1244048.897423971</v>
      </c>
    </row>
    <row r="66" spans="2:5" x14ac:dyDescent="0.25">
      <c r="C66" t="s">
        <v>314</v>
      </c>
      <c r="D66">
        <v>1237996.5020962351</v>
      </c>
    </row>
    <row r="67" spans="2:5" x14ac:dyDescent="0.25">
      <c r="C67" t="s">
        <v>315</v>
      </c>
      <c r="D67">
        <v>135097.34400000001</v>
      </c>
    </row>
    <row r="68" spans="2:5" x14ac:dyDescent="0.25">
      <c r="C68" t="s">
        <v>324</v>
      </c>
      <c r="D68">
        <v>551460.24707000307</v>
      </c>
    </row>
    <row r="69" spans="2:5" x14ac:dyDescent="0.25">
      <c r="C69" t="s">
        <v>325</v>
      </c>
      <c r="D69">
        <v>30567.07655064993</v>
      </c>
    </row>
    <row r="70" spans="2:5" x14ac:dyDescent="0.25">
      <c r="C70" t="s">
        <v>317</v>
      </c>
      <c r="D70">
        <v>976953.69273107417</v>
      </c>
    </row>
    <row r="73" spans="2:5" x14ac:dyDescent="0.25">
      <c r="B73" s="1" t="s">
        <v>380</v>
      </c>
      <c r="C73" t="s">
        <v>378</v>
      </c>
      <c r="D73" t="s">
        <v>403</v>
      </c>
    </row>
    <row r="74" spans="2:5" x14ac:dyDescent="0.25">
      <c r="C74" s="69" t="s">
        <v>231</v>
      </c>
      <c r="D74" s="69" t="s">
        <v>404</v>
      </c>
      <c r="E74" s="69" t="s">
        <v>377</v>
      </c>
    </row>
    <row r="75" spans="2:5" x14ac:dyDescent="0.25">
      <c r="C75" t="s">
        <v>6</v>
      </c>
      <c r="D75">
        <v>13.717474328430709</v>
      </c>
      <c r="E75">
        <v>583589.77898669126</v>
      </c>
    </row>
    <row r="76" spans="2:5" x14ac:dyDescent="0.25">
      <c r="C76" t="s">
        <v>7</v>
      </c>
      <c r="D76">
        <v>21.30886199845644</v>
      </c>
      <c r="E76">
        <v>764406.25975742331</v>
      </c>
    </row>
    <row r="77" spans="2:5" x14ac:dyDescent="0.25">
      <c r="C77" t="s">
        <v>8</v>
      </c>
      <c r="D77">
        <v>7.3971234170784328</v>
      </c>
      <c r="E77">
        <v>272527.30425938067</v>
      </c>
    </row>
    <row r="78" spans="2:5" x14ac:dyDescent="0.25">
      <c r="C78" t="s">
        <v>9</v>
      </c>
      <c r="D78">
        <v>10.02708232870679</v>
      </c>
      <c r="E78">
        <v>253326.75721488081</v>
      </c>
    </row>
    <row r="79" spans="2:5" x14ac:dyDescent="0.25">
      <c r="C79" t="s">
        <v>10</v>
      </c>
      <c r="D79">
        <v>7.5317261460829323</v>
      </c>
      <c r="E79">
        <v>329155.98484116519</v>
      </c>
    </row>
    <row r="80" spans="2:5" x14ac:dyDescent="0.25">
      <c r="C80" t="s">
        <v>110</v>
      </c>
      <c r="D80">
        <v>11.551136206296871</v>
      </c>
      <c r="E80">
        <v>495575.73151189392</v>
      </c>
    </row>
    <row r="81" spans="3:5" x14ac:dyDescent="0.25">
      <c r="C81" t="s">
        <v>33</v>
      </c>
      <c r="D81">
        <v>13.930686051320039</v>
      </c>
      <c r="E81">
        <v>75868.769126592961</v>
      </c>
    </row>
    <row r="82" spans="3:5" x14ac:dyDescent="0.25">
      <c r="C82" t="s">
        <v>24</v>
      </c>
      <c r="D82">
        <v>13.73619396680072</v>
      </c>
      <c r="E82">
        <v>112268.4555712552</v>
      </c>
    </row>
    <row r="83" spans="3:5" x14ac:dyDescent="0.25">
      <c r="C83" t="s">
        <v>45</v>
      </c>
      <c r="D83">
        <v>9.2032018125047763</v>
      </c>
      <c r="E83">
        <v>24714.41516675274</v>
      </c>
    </row>
    <row r="84" spans="3:5" x14ac:dyDescent="0.25">
      <c r="C84" t="s">
        <v>381</v>
      </c>
      <c r="D84">
        <v>7.4593484888846113</v>
      </c>
      <c r="E84">
        <v>24355.431023726251</v>
      </c>
    </row>
    <row r="85" spans="3:5" x14ac:dyDescent="0.25">
      <c r="C85" t="s">
        <v>41</v>
      </c>
      <c r="D85">
        <v>6.6957307442164451</v>
      </c>
      <c r="E85">
        <v>4124.700856536082</v>
      </c>
    </row>
    <row r="86" spans="3:5" x14ac:dyDescent="0.25">
      <c r="C86" t="s">
        <v>382</v>
      </c>
      <c r="D86">
        <v>7.8224675615038102</v>
      </c>
      <c r="E86">
        <v>85989.526890179521</v>
      </c>
    </row>
    <row r="87" spans="3:5" x14ac:dyDescent="0.25">
      <c r="C87" t="s">
        <v>25</v>
      </c>
      <c r="D87">
        <v>21.650264462759079</v>
      </c>
      <c r="E87">
        <v>53734.903240828353</v>
      </c>
    </row>
    <row r="88" spans="3:5" x14ac:dyDescent="0.25">
      <c r="C88" t="s">
        <v>36</v>
      </c>
      <c r="D88">
        <v>9.8933535324809103</v>
      </c>
      <c r="E88">
        <v>9255.5577622057881</v>
      </c>
    </row>
    <row r="89" spans="3:5" x14ac:dyDescent="0.25">
      <c r="C89" t="s">
        <v>26</v>
      </c>
      <c r="D89">
        <v>18.13388673829558</v>
      </c>
      <c r="E89">
        <v>68192.019174260509</v>
      </c>
    </row>
    <row r="90" spans="3:5" x14ac:dyDescent="0.25">
      <c r="C90" t="s">
        <v>27</v>
      </c>
      <c r="D90">
        <v>12.596802906048429</v>
      </c>
      <c r="E90">
        <v>84543.522528604983</v>
      </c>
    </row>
    <row r="91" spans="3:5" x14ac:dyDescent="0.25">
      <c r="C91" t="s">
        <v>37</v>
      </c>
      <c r="D91">
        <v>10.118548234017441</v>
      </c>
      <c r="E91">
        <v>58028.816090390232</v>
      </c>
    </row>
    <row r="92" spans="3:5" x14ac:dyDescent="0.25">
      <c r="C92" t="s">
        <v>28</v>
      </c>
      <c r="D92">
        <v>12.95746128679108</v>
      </c>
      <c r="E92">
        <v>40008.27090567167</v>
      </c>
    </row>
    <row r="93" spans="3:5" x14ac:dyDescent="0.25">
      <c r="C93" t="s">
        <v>42</v>
      </c>
      <c r="D93">
        <v>7.919461296561825</v>
      </c>
      <c r="E93">
        <v>10887.199136718271</v>
      </c>
    </row>
    <row r="94" spans="3:5" x14ac:dyDescent="0.25">
      <c r="C94" t="s">
        <v>43</v>
      </c>
      <c r="D94">
        <v>9.5783774235878347</v>
      </c>
      <c r="E94">
        <v>21772.594397378009</v>
      </c>
    </row>
    <row r="95" spans="3:5" x14ac:dyDescent="0.25">
      <c r="C95" t="s">
        <v>29</v>
      </c>
      <c r="D95">
        <v>12.91244718598016</v>
      </c>
      <c r="E95">
        <v>6570.7274113836293</v>
      </c>
    </row>
    <row r="96" spans="3:5" x14ac:dyDescent="0.25">
      <c r="C96" t="s">
        <v>38</v>
      </c>
      <c r="D96">
        <v>9.4201684488626771</v>
      </c>
      <c r="E96">
        <v>1699.6022882463139</v>
      </c>
    </row>
    <row r="97" spans="2:30" x14ac:dyDescent="0.25">
      <c r="C97" t="s">
        <v>30</v>
      </c>
      <c r="D97">
        <v>14.085721807526809</v>
      </c>
      <c r="E97">
        <v>173059.2840527698</v>
      </c>
    </row>
    <row r="98" spans="2:30" x14ac:dyDescent="0.25">
      <c r="C98" t="s">
        <v>31</v>
      </c>
      <c r="D98">
        <v>11.807946499116641</v>
      </c>
      <c r="E98">
        <v>55476.254064058892</v>
      </c>
    </row>
    <row r="99" spans="2:30" x14ac:dyDescent="0.25">
      <c r="C99" t="s">
        <v>44</v>
      </c>
      <c r="D99">
        <v>3.969946047137074</v>
      </c>
      <c r="E99">
        <v>52002.17545784916</v>
      </c>
    </row>
    <row r="100" spans="2:30" x14ac:dyDescent="0.25">
      <c r="C100" t="s">
        <v>39</v>
      </c>
      <c r="D100">
        <v>6.4700668821775196</v>
      </c>
      <c r="E100">
        <v>19355.933654905759</v>
      </c>
    </row>
    <row r="101" spans="2:30" x14ac:dyDescent="0.25">
      <c r="C101" t="s">
        <v>40</v>
      </c>
      <c r="D101">
        <v>13.49482802942909</v>
      </c>
      <c r="E101">
        <v>17026.928204350141</v>
      </c>
    </row>
    <row r="102" spans="2:30" x14ac:dyDescent="0.25">
      <c r="C102" t="s">
        <v>32</v>
      </c>
      <c r="D102">
        <v>15.531397474797281</v>
      </c>
      <c r="E102">
        <v>95945.379498672017</v>
      </c>
    </row>
    <row r="104" spans="2:30" x14ac:dyDescent="0.25">
      <c r="C104" t="s">
        <v>6</v>
      </c>
      <c r="D104" t="s">
        <v>7</v>
      </c>
      <c r="E104" t="s">
        <v>8</v>
      </c>
      <c r="F104" t="s">
        <v>9</v>
      </c>
      <c r="G104" t="s">
        <v>10</v>
      </c>
      <c r="H104" t="s">
        <v>110</v>
      </c>
      <c r="I104" t="s">
        <v>33</v>
      </c>
      <c r="J104" t="s">
        <v>24</v>
      </c>
      <c r="K104" t="s">
        <v>45</v>
      </c>
      <c r="L104" t="s">
        <v>381</v>
      </c>
      <c r="M104" t="s">
        <v>41</v>
      </c>
      <c r="N104" t="s">
        <v>382</v>
      </c>
      <c r="O104" t="s">
        <v>25</v>
      </c>
      <c r="P104" t="s">
        <v>36</v>
      </c>
      <c r="Q104" t="s">
        <v>26</v>
      </c>
      <c r="R104" t="s">
        <v>27</v>
      </c>
      <c r="S104" t="s">
        <v>37</v>
      </c>
      <c r="T104" t="s">
        <v>28</v>
      </c>
      <c r="U104" t="s">
        <v>42</v>
      </c>
      <c r="V104" t="s">
        <v>43</v>
      </c>
      <c r="W104" t="s">
        <v>29</v>
      </c>
      <c r="X104" t="s">
        <v>38</v>
      </c>
      <c r="Y104" t="s">
        <v>30</v>
      </c>
      <c r="Z104" t="s">
        <v>31</v>
      </c>
      <c r="AA104" t="s">
        <v>44</v>
      </c>
      <c r="AB104" t="s">
        <v>39</v>
      </c>
      <c r="AC104" t="s">
        <v>40</v>
      </c>
      <c r="AD104" t="s">
        <v>32</v>
      </c>
    </row>
    <row r="105" spans="2:30" x14ac:dyDescent="0.25">
      <c r="B105" s="69" t="s">
        <v>377</v>
      </c>
      <c r="C105">
        <v>583589.77898669126</v>
      </c>
      <c r="D105">
        <v>764406.25975742331</v>
      </c>
      <c r="E105">
        <v>272527.30425938067</v>
      </c>
      <c r="F105">
        <v>253326.75721488081</v>
      </c>
      <c r="G105">
        <v>329155.98484116519</v>
      </c>
      <c r="H105">
        <v>495575.73151189392</v>
      </c>
      <c r="I105">
        <v>75868.769126592961</v>
      </c>
      <c r="J105">
        <v>112268.4555712552</v>
      </c>
      <c r="K105">
        <v>24714.41516675274</v>
      </c>
      <c r="L105">
        <v>24355.431023726251</v>
      </c>
      <c r="M105">
        <v>4124.700856536082</v>
      </c>
      <c r="N105">
        <v>85989.526890179521</v>
      </c>
      <c r="O105">
        <v>53734.903240828353</v>
      </c>
      <c r="P105">
        <v>9255.5577622057881</v>
      </c>
      <c r="Q105">
        <v>68192.019174260509</v>
      </c>
      <c r="R105">
        <v>84543.522528604983</v>
      </c>
      <c r="S105">
        <v>58028.816090390232</v>
      </c>
      <c r="T105">
        <v>40008.27090567167</v>
      </c>
      <c r="U105">
        <v>10887.199136718271</v>
      </c>
      <c r="V105">
        <v>21772.594397378009</v>
      </c>
      <c r="W105">
        <v>6570.7274113836293</v>
      </c>
      <c r="X105">
        <v>1699.6022882463139</v>
      </c>
      <c r="Y105">
        <v>173059.2840527698</v>
      </c>
      <c r="Z105">
        <v>55476.254064058892</v>
      </c>
      <c r="AA105">
        <v>52002.17545784916</v>
      </c>
      <c r="AB105">
        <v>19355.933654905759</v>
      </c>
      <c r="AC105">
        <v>17026.928204350141</v>
      </c>
      <c r="AD105">
        <v>95945.379498672017</v>
      </c>
    </row>
  </sheetData>
  <hyperlinks>
    <hyperlink ref="B6" r:id="rId1" xr:uid="{00000000-0004-0000-0A00-000000000000}"/>
    <hyperlink ref="B20" r:id="rId2" xr:uid="{00000000-0004-0000-0A00-000001000000}"/>
  </hyperlinks>
  <pageMargins left="0.7" right="0.7" top="0.78740157499999996" bottom="0.78740157499999996"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2"/>
  <sheetViews>
    <sheetView workbookViewId="0">
      <selection activeCell="N24" sqref="N24"/>
    </sheetView>
  </sheetViews>
  <sheetFormatPr defaultColWidth="11.42578125" defaultRowHeight="15" x14ac:dyDescent="0.25"/>
  <cols>
    <col min="1" max="1" width="18.85546875" bestFit="1" customWidth="1"/>
    <col min="2" max="2" width="14.28515625" bestFit="1" customWidth="1"/>
  </cols>
  <sheetData>
    <row r="1" spans="1:20" x14ac:dyDescent="0.25">
      <c r="B1" s="73" t="s">
        <v>423</v>
      </c>
      <c r="C1" s="73" t="s">
        <v>424</v>
      </c>
      <c r="D1" s="73" t="s">
        <v>425</v>
      </c>
      <c r="E1" s="73" t="s">
        <v>426</v>
      </c>
      <c r="F1" s="73" t="s">
        <v>427</v>
      </c>
      <c r="G1" s="73" t="s">
        <v>428</v>
      </c>
      <c r="H1" s="73" t="s">
        <v>429</v>
      </c>
      <c r="I1" s="73" t="s">
        <v>430</v>
      </c>
      <c r="J1" s="73" t="s">
        <v>431</v>
      </c>
      <c r="K1" s="73" t="s">
        <v>432</v>
      </c>
      <c r="L1" s="73" t="s">
        <v>433</v>
      </c>
      <c r="M1" s="73" t="s">
        <v>434</v>
      </c>
      <c r="N1" s="73" t="s">
        <v>435</v>
      </c>
      <c r="O1" s="73" t="s">
        <v>436</v>
      </c>
      <c r="P1" s="73" t="s">
        <v>437</v>
      </c>
      <c r="Q1" s="73" t="s">
        <v>438</v>
      </c>
      <c r="R1" s="73" t="s">
        <v>439</v>
      </c>
      <c r="S1" s="73" t="s">
        <v>440</v>
      </c>
      <c r="T1" s="73" t="s">
        <v>441</v>
      </c>
    </row>
    <row r="2" spans="1:20" x14ac:dyDescent="0.25">
      <c r="A2" t="s">
        <v>416</v>
      </c>
      <c r="B2">
        <v>1</v>
      </c>
      <c r="C2">
        <v>1</v>
      </c>
      <c r="D2">
        <v>1</v>
      </c>
      <c r="E2">
        <v>1</v>
      </c>
      <c r="F2">
        <v>1</v>
      </c>
      <c r="G2">
        <v>1</v>
      </c>
      <c r="H2">
        <v>1</v>
      </c>
      <c r="I2">
        <v>1</v>
      </c>
      <c r="J2">
        <v>1</v>
      </c>
      <c r="K2">
        <v>1</v>
      </c>
      <c r="L2">
        <v>1</v>
      </c>
      <c r="M2">
        <v>1</v>
      </c>
      <c r="N2">
        <v>1</v>
      </c>
      <c r="O2">
        <v>1</v>
      </c>
      <c r="P2">
        <v>1</v>
      </c>
      <c r="Q2">
        <v>1</v>
      </c>
      <c r="R2">
        <v>1</v>
      </c>
      <c r="S2">
        <v>1</v>
      </c>
      <c r="T2">
        <v>1</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337B2-EF1E-4C5E-9E0F-6AD6A2214E38}">
  <dimension ref="A1:B2"/>
  <sheetViews>
    <sheetView workbookViewId="0">
      <selection activeCell="C55" sqref="C55"/>
    </sheetView>
  </sheetViews>
  <sheetFormatPr defaultColWidth="11.42578125" defaultRowHeight="15" x14ac:dyDescent="0.25"/>
  <cols>
    <col min="1" max="1" width="18.85546875" bestFit="1" customWidth="1"/>
    <col min="2" max="2" width="14.28515625" bestFit="1" customWidth="1"/>
  </cols>
  <sheetData>
    <row r="1" spans="1:2" x14ac:dyDescent="0.25">
      <c r="B1" t="s">
        <v>324</v>
      </c>
    </row>
    <row r="2" spans="1:2" x14ac:dyDescent="0.25">
      <c r="A2" t="s">
        <v>416</v>
      </c>
      <c r="B2">
        <v>0.28846069306155414</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M39"/>
  <sheetViews>
    <sheetView topLeftCell="A2" workbookViewId="0">
      <selection activeCell="F36" sqref="F36"/>
    </sheetView>
  </sheetViews>
  <sheetFormatPr defaultColWidth="11.42578125" defaultRowHeight="15" x14ac:dyDescent="0.25"/>
  <sheetData>
    <row r="2" spans="1:13" ht="45" x14ac:dyDescent="0.25">
      <c r="A2" s="54" t="s">
        <v>333</v>
      </c>
      <c r="B2" s="55" t="s">
        <v>334</v>
      </c>
      <c r="C2" s="56" t="s">
        <v>335</v>
      </c>
      <c r="D2" s="56" t="s">
        <v>336</v>
      </c>
      <c r="E2" s="55" t="s">
        <v>239</v>
      </c>
      <c r="F2" s="55" t="s">
        <v>337</v>
      </c>
      <c r="G2" s="55" t="s">
        <v>240</v>
      </c>
      <c r="H2" s="55" t="s">
        <v>338</v>
      </c>
      <c r="I2" s="55" t="s">
        <v>339</v>
      </c>
      <c r="J2" s="57" t="s">
        <v>340</v>
      </c>
      <c r="K2" s="58" t="s">
        <v>241</v>
      </c>
      <c r="L2" s="58" t="s">
        <v>242</v>
      </c>
      <c r="M2" s="58" t="s">
        <v>243</v>
      </c>
    </row>
    <row r="3" spans="1:13" x14ac:dyDescent="0.25">
      <c r="B3" s="40">
        <v>43672</v>
      </c>
      <c r="C3" t="s">
        <v>230</v>
      </c>
      <c r="D3" s="41" t="s">
        <v>238</v>
      </c>
      <c r="E3" t="s">
        <v>228</v>
      </c>
      <c r="F3" t="s">
        <v>228</v>
      </c>
      <c r="G3" t="s">
        <v>244</v>
      </c>
      <c r="H3" t="s">
        <v>257</v>
      </c>
    </row>
    <row r="5" spans="1:13" x14ac:dyDescent="0.25">
      <c r="B5" s="40">
        <v>43689</v>
      </c>
      <c r="C5" s="41" t="s">
        <v>238</v>
      </c>
      <c r="D5" s="41" t="s">
        <v>238</v>
      </c>
      <c r="E5" t="s">
        <v>228</v>
      </c>
      <c r="F5" t="s">
        <v>228</v>
      </c>
      <c r="G5" t="s">
        <v>244</v>
      </c>
      <c r="H5" t="s">
        <v>269</v>
      </c>
    </row>
    <row r="6" spans="1:13" x14ac:dyDescent="0.25">
      <c r="H6" t="s">
        <v>270</v>
      </c>
    </row>
    <row r="7" spans="1:13" x14ac:dyDescent="0.25">
      <c r="H7" t="s">
        <v>271</v>
      </c>
      <c r="I7" t="s">
        <v>272</v>
      </c>
    </row>
    <row r="8" spans="1:13" x14ac:dyDescent="0.25">
      <c r="H8" t="s">
        <v>108</v>
      </c>
      <c r="I8" s="44" t="s">
        <v>108</v>
      </c>
      <c r="J8" t="s">
        <v>273</v>
      </c>
    </row>
    <row r="9" spans="1:13" x14ac:dyDescent="0.25">
      <c r="H9">
        <v>1110640</v>
      </c>
      <c r="I9" s="44">
        <f>H9*0.834</f>
        <v>926273.76</v>
      </c>
    </row>
    <row r="10" spans="1:13" x14ac:dyDescent="0.25">
      <c r="H10">
        <v>1129180</v>
      </c>
      <c r="I10" s="44">
        <f>H10*0.834</f>
        <v>941736.12</v>
      </c>
    </row>
    <row r="11" spans="1:13" x14ac:dyDescent="0.25">
      <c r="H11" t="s">
        <v>274</v>
      </c>
    </row>
    <row r="13" spans="1:13" x14ac:dyDescent="0.25">
      <c r="B13" s="40">
        <v>43741</v>
      </c>
      <c r="C13" t="s">
        <v>238</v>
      </c>
      <c r="D13" t="s">
        <v>278</v>
      </c>
      <c r="E13" t="s">
        <v>228</v>
      </c>
      <c r="F13" t="s">
        <v>279</v>
      </c>
      <c r="G13" t="s">
        <v>244</v>
      </c>
      <c r="H13" t="s">
        <v>280</v>
      </c>
    </row>
    <row r="15" spans="1:13" x14ac:dyDescent="0.25">
      <c r="B15" s="40">
        <v>43845</v>
      </c>
      <c r="C15" t="s">
        <v>278</v>
      </c>
      <c r="D15" t="s">
        <v>289</v>
      </c>
      <c r="E15" t="s">
        <v>279</v>
      </c>
      <c r="F15" t="s">
        <v>288</v>
      </c>
      <c r="G15" t="s">
        <v>244</v>
      </c>
      <c r="H15" t="s">
        <v>296</v>
      </c>
    </row>
    <row r="17" spans="1:10" x14ac:dyDescent="0.25">
      <c r="B17" s="40">
        <v>43943</v>
      </c>
      <c r="C17" t="s">
        <v>289</v>
      </c>
      <c r="D17" t="s">
        <v>311</v>
      </c>
      <c r="E17" t="s">
        <v>288</v>
      </c>
      <c r="F17" t="s">
        <v>312</v>
      </c>
      <c r="G17" t="s">
        <v>244</v>
      </c>
      <c r="H17" t="s">
        <v>319</v>
      </c>
    </row>
    <row r="18" spans="1:10" x14ac:dyDescent="0.25">
      <c r="B18" t="s">
        <v>321</v>
      </c>
      <c r="H18" t="s">
        <v>320</v>
      </c>
    </row>
    <row r="19" spans="1:10" x14ac:dyDescent="0.25">
      <c r="B19" t="s">
        <v>322</v>
      </c>
      <c r="H19" t="s">
        <v>323</v>
      </c>
    </row>
    <row r="20" spans="1:10" x14ac:dyDescent="0.25">
      <c r="B20" t="s">
        <v>326</v>
      </c>
      <c r="H20" t="s">
        <v>327</v>
      </c>
    </row>
    <row r="21" spans="1:10" x14ac:dyDescent="0.25">
      <c r="B21" t="s">
        <v>328</v>
      </c>
      <c r="H21" t="s">
        <v>329</v>
      </c>
    </row>
    <row r="23" spans="1:10" x14ac:dyDescent="0.25">
      <c r="A23" s="51" t="s">
        <v>331</v>
      </c>
      <c r="B23" s="52">
        <v>44725</v>
      </c>
      <c r="C23" s="53" t="s">
        <v>311</v>
      </c>
      <c r="D23" s="53" t="s">
        <v>332</v>
      </c>
      <c r="E23" s="53" t="s">
        <v>312</v>
      </c>
      <c r="F23" s="53" t="s">
        <v>330</v>
      </c>
      <c r="G23" s="25" t="s">
        <v>244</v>
      </c>
      <c r="H23" t="s">
        <v>331</v>
      </c>
      <c r="I23">
        <v>3</v>
      </c>
      <c r="J23" t="s">
        <v>374</v>
      </c>
    </row>
    <row r="25" spans="1:10" x14ac:dyDescent="0.25">
      <c r="A25" s="66" t="s">
        <v>391</v>
      </c>
      <c r="B25" s="67">
        <v>45099</v>
      </c>
      <c r="C25" s="66" t="s">
        <v>332</v>
      </c>
      <c r="D25" s="66" t="s">
        <v>387</v>
      </c>
      <c r="E25" s="66" t="s">
        <v>330</v>
      </c>
      <c r="F25" s="66" t="s">
        <v>388</v>
      </c>
      <c r="G25" t="s">
        <v>386</v>
      </c>
      <c r="H25" t="s">
        <v>389</v>
      </c>
    </row>
    <row r="26" spans="1:10" x14ac:dyDescent="0.25">
      <c r="H26" t="s">
        <v>392</v>
      </c>
    </row>
    <row r="27" spans="1:10" x14ac:dyDescent="0.25">
      <c r="H27" t="s">
        <v>393</v>
      </c>
    </row>
    <row r="29" spans="1:10" x14ac:dyDescent="0.25">
      <c r="A29" s="44" t="s">
        <v>405</v>
      </c>
      <c r="B29" s="68">
        <v>45163</v>
      </c>
      <c r="C29" s="44" t="s">
        <v>387</v>
      </c>
      <c r="D29" s="44" t="s">
        <v>394</v>
      </c>
      <c r="E29" s="44" t="s">
        <v>388</v>
      </c>
      <c r="F29" s="44" t="s">
        <v>395</v>
      </c>
      <c r="G29" t="s">
        <v>386</v>
      </c>
      <c r="H29" s="44" t="s">
        <v>406</v>
      </c>
    </row>
    <row r="30" spans="1:10" x14ac:dyDescent="0.25">
      <c r="H30" t="s">
        <v>407</v>
      </c>
    </row>
    <row r="31" spans="1:10" x14ac:dyDescent="0.25">
      <c r="H31" t="s">
        <v>408</v>
      </c>
    </row>
    <row r="32" spans="1:10" x14ac:dyDescent="0.25">
      <c r="H32" t="s">
        <v>409</v>
      </c>
    </row>
    <row r="33" spans="2:8" x14ac:dyDescent="0.25">
      <c r="H33" t="s">
        <v>410</v>
      </c>
    </row>
    <row r="34" spans="2:8" x14ac:dyDescent="0.25">
      <c r="H34" t="s">
        <v>411</v>
      </c>
    </row>
    <row r="36" spans="2:8" x14ac:dyDescent="0.25">
      <c r="B36" s="40">
        <v>45254</v>
      </c>
      <c r="C36" t="s">
        <v>394</v>
      </c>
      <c r="D36" t="s">
        <v>415</v>
      </c>
      <c r="E36" s="44" t="s">
        <v>395</v>
      </c>
      <c r="F36" t="s">
        <v>420</v>
      </c>
      <c r="G36" t="s">
        <v>414</v>
      </c>
      <c r="H36" t="s">
        <v>417</v>
      </c>
    </row>
    <row r="37" spans="2:8" x14ac:dyDescent="0.25">
      <c r="H37" t="s">
        <v>418</v>
      </c>
    </row>
    <row r="39" spans="2:8" x14ac:dyDescent="0.25">
      <c r="H39" t="s">
        <v>419</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P38"/>
  <sheetViews>
    <sheetView workbookViewId="0">
      <selection activeCell="H17" sqref="H17"/>
    </sheetView>
  </sheetViews>
  <sheetFormatPr defaultColWidth="11.42578125" defaultRowHeight="15" x14ac:dyDescent="0.25"/>
  <cols>
    <col min="4" max="4" width="12.140625" bestFit="1" customWidth="1"/>
    <col min="10" max="10" width="21.85546875" bestFit="1" customWidth="1"/>
  </cols>
  <sheetData>
    <row r="2" spans="2:16" x14ac:dyDescent="0.25">
      <c r="B2" s="1" t="s">
        <v>245</v>
      </c>
      <c r="C2" s="1" t="s">
        <v>246</v>
      </c>
      <c r="D2" s="1" t="s">
        <v>247</v>
      </c>
      <c r="E2" s="45" t="s">
        <v>286</v>
      </c>
      <c r="F2" s="45" t="s">
        <v>287</v>
      </c>
      <c r="G2" s="1" t="s">
        <v>248</v>
      </c>
      <c r="H2" s="1" t="s">
        <v>249</v>
      </c>
      <c r="I2" s="1" t="s">
        <v>19</v>
      </c>
      <c r="J2" s="1" t="s">
        <v>250</v>
      </c>
      <c r="K2" s="1" t="s">
        <v>251</v>
      </c>
      <c r="L2" s="1" t="s">
        <v>252</v>
      </c>
      <c r="M2" s="1" t="s">
        <v>253</v>
      </c>
      <c r="N2" s="1" t="s">
        <v>254</v>
      </c>
      <c r="O2" s="1" t="s">
        <v>255</v>
      </c>
      <c r="P2" s="1" t="s">
        <v>256</v>
      </c>
    </row>
    <row r="3" spans="2:16" x14ac:dyDescent="0.25">
      <c r="B3" t="s">
        <v>229</v>
      </c>
      <c r="C3">
        <v>1</v>
      </c>
      <c r="H3" t="s">
        <v>258</v>
      </c>
    </row>
    <row r="4" spans="2:16" x14ac:dyDescent="0.25">
      <c r="B4" t="s">
        <v>229</v>
      </c>
      <c r="C4">
        <v>2</v>
      </c>
      <c r="G4" t="s">
        <v>67</v>
      </c>
    </row>
    <row r="5" spans="2:16" x14ac:dyDescent="0.25">
      <c r="B5" t="s">
        <v>229</v>
      </c>
      <c r="C5">
        <v>3</v>
      </c>
      <c r="G5" t="s">
        <v>72</v>
      </c>
      <c r="M5" t="s">
        <v>70</v>
      </c>
    </row>
    <row r="6" spans="2:16" x14ac:dyDescent="0.25">
      <c r="B6" t="s">
        <v>229</v>
      </c>
      <c r="C6">
        <v>4</v>
      </c>
      <c r="G6" t="s">
        <v>46</v>
      </c>
      <c r="M6" t="s">
        <v>47</v>
      </c>
    </row>
    <row r="7" spans="2:16" x14ac:dyDescent="0.25">
      <c r="B7" t="s">
        <v>229</v>
      </c>
      <c r="C7">
        <v>5</v>
      </c>
      <c r="G7" t="s">
        <v>22</v>
      </c>
      <c r="M7" t="s">
        <v>23</v>
      </c>
    </row>
    <row r="8" spans="2:16" x14ac:dyDescent="0.25">
      <c r="B8" t="s">
        <v>229</v>
      </c>
      <c r="C8">
        <v>6</v>
      </c>
      <c r="G8" t="s">
        <v>46</v>
      </c>
      <c r="L8" t="s">
        <v>171</v>
      </c>
      <c r="M8" t="s">
        <v>47</v>
      </c>
    </row>
    <row r="9" spans="2:16" x14ac:dyDescent="0.25">
      <c r="B9" t="s">
        <v>229</v>
      </c>
      <c r="C9">
        <v>7</v>
      </c>
      <c r="G9" t="s">
        <v>46</v>
      </c>
      <c r="M9" t="s">
        <v>158</v>
      </c>
    </row>
    <row r="10" spans="2:16" x14ac:dyDescent="0.25">
      <c r="B10" t="s">
        <v>229</v>
      </c>
      <c r="C10">
        <v>8</v>
      </c>
      <c r="G10" t="s">
        <v>46</v>
      </c>
      <c r="M10" t="s">
        <v>47</v>
      </c>
    </row>
    <row r="11" spans="2:16" x14ac:dyDescent="0.25">
      <c r="B11" t="s">
        <v>229</v>
      </c>
      <c r="C11">
        <v>9</v>
      </c>
      <c r="G11" t="s">
        <v>52</v>
      </c>
      <c r="M11" t="s">
        <v>168</v>
      </c>
    </row>
    <row r="12" spans="2:16" x14ac:dyDescent="0.25">
      <c r="B12" t="s">
        <v>229</v>
      </c>
      <c r="C12">
        <v>10</v>
      </c>
      <c r="G12" t="s">
        <v>22</v>
      </c>
      <c r="M12" t="s">
        <v>23</v>
      </c>
    </row>
    <row r="13" spans="2:16" x14ac:dyDescent="0.25">
      <c r="B13" t="s">
        <v>229</v>
      </c>
      <c r="C13">
        <v>11</v>
      </c>
      <c r="G13" t="s">
        <v>22</v>
      </c>
      <c r="M13" t="s">
        <v>23</v>
      </c>
    </row>
    <row r="14" spans="2:16" x14ac:dyDescent="0.25">
      <c r="B14" t="s">
        <v>229</v>
      </c>
      <c r="C14">
        <v>12</v>
      </c>
      <c r="G14" t="s">
        <v>298</v>
      </c>
      <c r="H14" t="s">
        <v>297</v>
      </c>
      <c r="I14">
        <v>2016</v>
      </c>
    </row>
    <row r="15" spans="2:16" x14ac:dyDescent="0.25">
      <c r="B15" t="s">
        <v>229</v>
      </c>
      <c r="C15">
        <v>13</v>
      </c>
      <c r="G15" t="s">
        <v>299</v>
      </c>
      <c r="I15">
        <v>2020</v>
      </c>
      <c r="M15" t="s">
        <v>290</v>
      </c>
    </row>
    <row r="16" spans="2:16" x14ac:dyDescent="0.25">
      <c r="B16" t="s">
        <v>229</v>
      </c>
      <c r="C16">
        <v>14</v>
      </c>
      <c r="G16" t="s">
        <v>309</v>
      </c>
      <c r="M16" s="8" t="s">
        <v>291</v>
      </c>
    </row>
    <row r="17" spans="2:15" x14ac:dyDescent="0.25">
      <c r="B17" t="s">
        <v>229</v>
      </c>
      <c r="C17">
        <v>15</v>
      </c>
      <c r="G17" t="s">
        <v>46</v>
      </c>
      <c r="H17" t="s">
        <v>343</v>
      </c>
      <c r="M17" s="8" t="s">
        <v>341</v>
      </c>
      <c r="O17" s="8" t="s">
        <v>342</v>
      </c>
    </row>
    <row r="18" spans="2:15" x14ac:dyDescent="0.25">
      <c r="B18" t="s">
        <v>229</v>
      </c>
      <c r="C18">
        <v>16</v>
      </c>
      <c r="H18" t="s">
        <v>345</v>
      </c>
      <c r="M18" t="s">
        <v>344</v>
      </c>
    </row>
    <row r="19" spans="2:15" x14ac:dyDescent="0.25">
      <c r="B19" t="s">
        <v>229</v>
      </c>
      <c r="C19">
        <v>17</v>
      </c>
      <c r="G19" t="s">
        <v>46</v>
      </c>
      <c r="H19" t="s">
        <v>371</v>
      </c>
      <c r="M19" s="8" t="s">
        <v>370</v>
      </c>
    </row>
    <row r="20" spans="2:15" x14ac:dyDescent="0.25">
      <c r="B20" t="s">
        <v>229</v>
      </c>
      <c r="C20">
        <v>18</v>
      </c>
      <c r="G20" t="s">
        <v>46</v>
      </c>
      <c r="H20" t="s">
        <v>372</v>
      </c>
      <c r="M20" s="8" t="s">
        <v>373</v>
      </c>
    </row>
    <row r="37" spans="15:15" x14ac:dyDescent="0.25">
      <c r="O37" s="42"/>
    </row>
    <row r="38" spans="15:15" x14ac:dyDescent="0.25">
      <c r="O38" s="42"/>
    </row>
  </sheetData>
  <hyperlinks>
    <hyperlink ref="M16" r:id="rId1" xr:uid="{00000000-0004-0000-0300-000000000000}"/>
    <hyperlink ref="M17" r:id="rId2" xr:uid="{00000000-0004-0000-0300-000001000000}"/>
    <hyperlink ref="O17" r:id="rId3" xr:uid="{00000000-0004-0000-0300-000002000000}"/>
    <hyperlink ref="M20" r:id="rId4" xr:uid="{00000000-0004-0000-0300-000003000000}"/>
    <hyperlink ref="M19" r:id="rId5" xr:uid="{00000000-0004-0000-0300-000004000000}"/>
  </hyperlink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election activeCell="E30" sqref="E30"/>
    </sheetView>
  </sheetViews>
  <sheetFormatPr defaultColWidth="11.42578125" defaultRowHeight="15" x14ac:dyDescent="0.25"/>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V43"/>
  <sheetViews>
    <sheetView topLeftCell="AG1" zoomScale="70" zoomScaleNormal="70" workbookViewId="0">
      <selection activeCell="Z40" sqref="Z40:AU43"/>
    </sheetView>
  </sheetViews>
  <sheetFormatPr defaultColWidth="11.42578125" defaultRowHeight="15" x14ac:dyDescent="0.25"/>
  <cols>
    <col min="1" max="1" width="16" customWidth="1"/>
    <col min="2" max="2" width="19.42578125" bestFit="1" customWidth="1"/>
    <col min="3" max="3" width="15" customWidth="1"/>
    <col min="16" max="16" width="15.85546875" customWidth="1"/>
    <col min="17" max="25" width="14.28515625" customWidth="1"/>
  </cols>
  <sheetData>
    <row r="1" spans="1:47" x14ac:dyDescent="0.25">
      <c r="A1" s="11" t="s">
        <v>111</v>
      </c>
    </row>
    <row r="2" spans="1:47" x14ac:dyDescent="0.25">
      <c r="C2" s="1" t="s">
        <v>173</v>
      </c>
      <c r="D2" s="1" t="s">
        <v>174</v>
      </c>
      <c r="E2" s="1" t="s">
        <v>15</v>
      </c>
      <c r="F2" s="1" t="s">
        <v>106</v>
      </c>
      <c r="G2" s="1" t="s">
        <v>107</v>
      </c>
      <c r="H2" s="1" t="s">
        <v>108</v>
      </c>
      <c r="I2" s="1" t="s">
        <v>109</v>
      </c>
      <c r="J2" s="1" t="s">
        <v>6</v>
      </c>
      <c r="K2" s="1" t="s">
        <v>7</v>
      </c>
      <c r="L2" s="1" t="s">
        <v>8</v>
      </c>
      <c r="M2" s="1" t="s">
        <v>9</v>
      </c>
      <c r="N2" s="1" t="s">
        <v>10</v>
      </c>
      <c r="O2" s="1" t="s">
        <v>110</v>
      </c>
      <c r="P2" s="1" t="s">
        <v>12</v>
      </c>
      <c r="Q2" s="1" t="s">
        <v>14</v>
      </c>
      <c r="R2" s="1" t="s">
        <v>313</v>
      </c>
      <c r="S2" s="1" t="s">
        <v>314</v>
      </c>
      <c r="T2" s="1" t="s">
        <v>315</v>
      </c>
      <c r="U2" s="1" t="s">
        <v>316</v>
      </c>
      <c r="V2" s="1" t="s">
        <v>317</v>
      </c>
      <c r="W2" s="1" t="s">
        <v>318</v>
      </c>
      <c r="X2" s="1" t="s">
        <v>324</v>
      </c>
      <c r="Y2" s="1" t="s">
        <v>325</v>
      </c>
      <c r="Z2" t="s">
        <v>33</v>
      </c>
      <c r="AA2" t="s">
        <v>24</v>
      </c>
      <c r="AB2" t="s">
        <v>45</v>
      </c>
      <c r="AC2" t="s">
        <v>381</v>
      </c>
      <c r="AD2" t="s">
        <v>41</v>
      </c>
      <c r="AE2" t="s">
        <v>382</v>
      </c>
      <c r="AF2" t="s">
        <v>25</v>
      </c>
      <c r="AG2" t="s">
        <v>36</v>
      </c>
      <c r="AH2" t="s">
        <v>26</v>
      </c>
      <c r="AI2" t="s">
        <v>27</v>
      </c>
      <c r="AJ2" t="s">
        <v>37</v>
      </c>
      <c r="AK2" t="s">
        <v>28</v>
      </c>
      <c r="AL2" t="s">
        <v>42</v>
      </c>
      <c r="AM2" t="s">
        <v>43</v>
      </c>
      <c r="AN2" t="s">
        <v>29</v>
      </c>
      <c r="AO2" t="s">
        <v>38</v>
      </c>
      <c r="AP2" t="s">
        <v>30</v>
      </c>
      <c r="AQ2" t="s">
        <v>31</v>
      </c>
      <c r="AR2" t="s">
        <v>44</v>
      </c>
      <c r="AS2" t="s">
        <v>39</v>
      </c>
      <c r="AT2" t="s">
        <v>40</v>
      </c>
      <c r="AU2" t="s">
        <v>32</v>
      </c>
    </row>
    <row r="3" spans="1:47" x14ac:dyDescent="0.25">
      <c r="A3" t="s">
        <v>112</v>
      </c>
      <c r="B3" s="1">
        <v>2015</v>
      </c>
      <c r="C3" s="12">
        <v>927394.48373053828</v>
      </c>
      <c r="D3" s="13">
        <v>4796625.3620164236</v>
      </c>
      <c r="E3" s="13">
        <v>300805.91556977684</v>
      </c>
      <c r="F3" s="13">
        <v>0</v>
      </c>
      <c r="G3" s="13">
        <v>408983.94601035694</v>
      </c>
      <c r="H3" s="13">
        <v>1898215.300664847</v>
      </c>
      <c r="I3" s="13">
        <v>12185298.344755553</v>
      </c>
      <c r="J3" s="70">
        <f>'ancillary data passenger cars'!Y35</f>
        <v>857725.92346544424</v>
      </c>
      <c r="K3" s="70">
        <f>'ancillary data passenger cars'!Z35</f>
        <v>1486589.2320230021</v>
      </c>
      <c r="L3" s="70">
        <f>'ancillary data passenger cars'!AA35</f>
        <v>761665.47540466953</v>
      </c>
      <c r="M3" s="70">
        <f>'ancillary data passenger cars'!AB35</f>
        <v>585725.87348086119</v>
      </c>
      <c r="N3" s="70">
        <f>'ancillary data passenger cars'!AC35</f>
        <v>600681.36442298885</v>
      </c>
      <c r="O3" s="70">
        <f>'ancillary data passenger cars'!AD35</f>
        <v>873872.69050811231</v>
      </c>
      <c r="P3" s="13">
        <v>1104067.2347667173</v>
      </c>
      <c r="Q3" s="13">
        <v>341569.71808865317</v>
      </c>
      <c r="R3" s="13">
        <v>2141956.7446132209</v>
      </c>
      <c r="S3" s="13">
        <v>1373373.8980271942</v>
      </c>
      <c r="T3" s="13">
        <v>1295540.9468821341</v>
      </c>
      <c r="U3" s="13">
        <v>1585840</v>
      </c>
      <c r="V3" s="13">
        <v>1506067.787749863</v>
      </c>
      <c r="W3" s="13">
        <v>0</v>
      </c>
      <c r="X3" s="13">
        <v>1142521.9989318256</v>
      </c>
      <c r="Y3" s="14">
        <v>425306.76943527104</v>
      </c>
      <c r="Z3" s="72">
        <f>'ancillary data passenger cars'!AE35</f>
        <v>111049.331598966</v>
      </c>
      <c r="AA3" s="72">
        <f>'ancillary data passenger cars'!AF35</f>
        <v>184018.9009148418</v>
      </c>
      <c r="AB3" s="72">
        <f>'ancillary data passenger cars'!AG35</f>
        <v>100920.1963225037</v>
      </c>
      <c r="AC3" s="72">
        <f>'ancillary data passenger cars'!AH35</f>
        <v>49748.135789199063</v>
      </c>
      <c r="AD3" s="72">
        <f>'ancillary data passenger cars'!AI35</f>
        <v>10875.386660429929</v>
      </c>
      <c r="AE3" s="72">
        <f>'ancillary data passenger cars'!AJ35</f>
        <v>122282.18176306529</v>
      </c>
      <c r="AF3" s="72">
        <f>'ancillary data passenger cars'!AK35</f>
        <v>87164.746728172046</v>
      </c>
      <c r="AG3" s="72">
        <f>'ancillary data passenger cars'!AL35</f>
        <v>21788.51596637295</v>
      </c>
      <c r="AH3" s="72">
        <f>'ancillary data passenger cars'!AM35</f>
        <v>106384.3097819096</v>
      </c>
      <c r="AI3" s="72">
        <f>'ancillary data passenger cars'!AN35</f>
        <v>162559.50693371869</v>
      </c>
      <c r="AJ3" s="72">
        <f>'ancillary data passenger cars'!AO35</f>
        <v>97559.660625019649</v>
      </c>
      <c r="AK3" s="72">
        <f>'ancillary data passenger cars'!AP35</f>
        <v>78957.973238862032</v>
      </c>
      <c r="AL3" s="72">
        <f>'ancillary data passenger cars'!AQ35</f>
        <v>25024.775923791789</v>
      </c>
      <c r="AM3" s="72">
        <f>'ancillary data passenger cars'!AR35</f>
        <v>34249.909320971507</v>
      </c>
      <c r="AN3" s="72">
        <f>'ancillary data passenger cars'!AS35</f>
        <v>10711.12356646463</v>
      </c>
      <c r="AO3" s="72">
        <f>'ancillary data passenger cars'!AT35</f>
        <v>5443.630021479632</v>
      </c>
      <c r="AP3" s="72">
        <f>'ancillary data passenger cars'!AU35</f>
        <v>261177.09213463671</v>
      </c>
      <c r="AQ3" s="72">
        <f>'ancillary data passenger cars'!AV35</f>
        <v>136111.4974244606</v>
      </c>
      <c r="AR3" s="72">
        <f>'ancillary data passenger cars'!AW35</f>
        <v>160891.3602656365</v>
      </c>
      <c r="AS3" s="72">
        <f>'ancillary data passenger cars'!AX35</f>
        <v>85653.906243699239</v>
      </c>
      <c r="AT3" s="72">
        <f>'ancillary data passenger cars'!AY35</f>
        <v>22823.036282155059</v>
      </c>
      <c r="AU3" s="72">
        <f>'ancillary data passenger cars'!AZ35</f>
        <v>146921.55787449691</v>
      </c>
    </row>
    <row r="4" spans="1:47" x14ac:dyDescent="0.25">
      <c r="A4" t="s">
        <v>112</v>
      </c>
      <c r="B4" s="1">
        <v>2016</v>
      </c>
      <c r="C4" s="15">
        <v>927394.48373053828</v>
      </c>
      <c r="D4" s="16">
        <v>4796625.3620164236</v>
      </c>
      <c r="E4" s="16">
        <v>300805.91556977684</v>
      </c>
      <c r="F4" s="16">
        <v>0</v>
      </c>
      <c r="G4" s="16">
        <v>408983.94601035694</v>
      </c>
      <c r="H4" s="16">
        <v>1898215.300664847</v>
      </c>
      <c r="I4" s="16">
        <v>12185298.344755553</v>
      </c>
      <c r="J4" s="71"/>
      <c r="K4" s="71"/>
      <c r="L4" s="71"/>
      <c r="M4" s="71"/>
      <c r="N4" s="71"/>
      <c r="O4" s="71"/>
      <c r="P4" s="16">
        <v>1104067.2347667173</v>
      </c>
      <c r="Q4" s="16">
        <v>341569.71808865317</v>
      </c>
      <c r="R4" s="46">
        <v>2141956.7446132209</v>
      </c>
      <c r="S4" s="46">
        <v>1373373.8980271942</v>
      </c>
      <c r="T4" s="46">
        <v>1295540.9468821341</v>
      </c>
      <c r="U4" s="46">
        <v>2080440</v>
      </c>
      <c r="V4" s="46">
        <v>1506067.787749863</v>
      </c>
      <c r="W4" s="16">
        <v>0</v>
      </c>
      <c r="X4" s="46">
        <v>1142521.9989318256</v>
      </c>
      <c r="Y4" s="49">
        <v>425306.76943527104</v>
      </c>
    </row>
    <row r="5" spans="1:47" x14ac:dyDescent="0.25">
      <c r="C5" s="9"/>
      <c r="D5" s="9"/>
      <c r="E5" s="9"/>
      <c r="F5" s="9"/>
      <c r="G5" s="9"/>
      <c r="H5" s="9"/>
      <c r="I5" s="9"/>
      <c r="J5" s="9"/>
      <c r="K5" s="9"/>
      <c r="L5" s="9"/>
      <c r="M5" s="9"/>
      <c r="N5" s="9"/>
      <c r="O5" s="9"/>
      <c r="P5" s="9"/>
      <c r="Q5" s="9"/>
      <c r="R5" s="9"/>
      <c r="S5" s="9"/>
      <c r="T5" s="9"/>
      <c r="U5" s="9"/>
      <c r="V5" s="9"/>
      <c r="W5" s="9"/>
      <c r="X5" s="9"/>
      <c r="Y5" s="9"/>
    </row>
    <row r="6" spans="1:47" x14ac:dyDescent="0.25">
      <c r="A6" t="s">
        <v>113</v>
      </c>
      <c r="B6" s="1">
        <v>2016</v>
      </c>
      <c r="C6" s="9">
        <f>'ancillary data passenger cars'!K9</f>
        <v>1074700</v>
      </c>
      <c r="D6" s="9">
        <f>'ancillary data passenger cars'!K7</f>
        <v>6126769.6482460499</v>
      </c>
      <c r="E6" s="9">
        <f>'ancillary data passenger cars'!K45</f>
        <v>339486.83844794554</v>
      </c>
      <c r="F6" s="9"/>
      <c r="G6" s="9">
        <f>'ancillary data passenger cars'!K8</f>
        <v>1609852.7597374299</v>
      </c>
      <c r="H6" s="9">
        <f>'ancillary data passenger cars'!K10</f>
        <v>1515109.9493293595</v>
      </c>
      <c r="I6" s="9">
        <f>'ancillary data passenger cars'!K6</f>
        <v>16318549.6053</v>
      </c>
      <c r="J6" s="9">
        <f>'ancillary data passenger cars'!K13</f>
        <v>1245215.9587523954</v>
      </c>
      <c r="K6" s="9">
        <f>'ancillary data passenger cars'!K14</f>
        <v>1699413.1668400415</v>
      </c>
      <c r="L6" s="9">
        <f>'ancillary data passenger cars'!K15</f>
        <v>990954.05495422636</v>
      </c>
      <c r="M6" s="9">
        <f>'ancillary data passenger cars'!K16</f>
        <v>535008.17000425817</v>
      </c>
      <c r="N6" s="9">
        <f>'ancillary data passenger cars'!K17</f>
        <v>831596.95492654911</v>
      </c>
      <c r="O6" s="9">
        <f>'ancillary data passenger cars'!K18</f>
        <v>1174180.1490249098</v>
      </c>
      <c r="P6" s="9">
        <f>'ancillary data passenger cars'!K30</f>
        <v>1753228.7173578884</v>
      </c>
      <c r="Q6" s="9">
        <f>'ancillary data passenger cars'!K39</f>
        <v>479484.20023419207</v>
      </c>
      <c r="R6" s="9">
        <f>R3</f>
        <v>2141956.7446132209</v>
      </c>
      <c r="S6" s="9">
        <f t="shared" ref="S6:W6" si="0">S3</f>
        <v>1373373.8980271942</v>
      </c>
      <c r="T6" s="9">
        <f t="shared" si="0"/>
        <v>1295540.9468821341</v>
      </c>
      <c r="U6" s="9">
        <f t="shared" si="0"/>
        <v>1585840</v>
      </c>
      <c r="V6" s="9">
        <f t="shared" si="0"/>
        <v>1506067.787749863</v>
      </c>
      <c r="W6" s="9">
        <f t="shared" si="0"/>
        <v>0</v>
      </c>
      <c r="X6" s="9">
        <f t="shared" ref="X6:Y6" si="1">X3</f>
        <v>1142521.9989318256</v>
      </c>
      <c r="Y6" s="9">
        <f t="shared" si="1"/>
        <v>425306.76943527104</v>
      </c>
      <c r="Z6" s="9">
        <f>'ancillary data passenger cars'!K20</f>
        <v>235713.83160102199</v>
      </c>
      <c r="AA6" s="9">
        <f>'ancillary data passenger cars'!K21</f>
        <v>260544.8002150309</v>
      </c>
      <c r="AB6" s="9">
        <f>'ancillary data passenger cars'!K41</f>
        <v>92499.8673429849</v>
      </c>
      <c r="AC6" s="9">
        <f>'ancillary data passenger cars'!K47</f>
        <v>58500.078599105822</v>
      </c>
      <c r="AD6" s="9">
        <f>'ancillary data passenger cars'!K32</f>
        <v>19660.35529486907</v>
      </c>
      <c r="AE6" s="9">
        <f>'ancillary data passenger cars'!K33</f>
        <v>184669.05592718761</v>
      </c>
      <c r="AF6" s="9">
        <f>'ancillary data passenger cars'!K22</f>
        <v>114925.89952948692</v>
      </c>
      <c r="AG6" s="9">
        <f>'ancillary data passenger cars'!K34</f>
        <v>22636.464123908885</v>
      </c>
      <c r="AH6" s="9">
        <f>'ancillary data passenger cars'!K23</f>
        <v>121509.41299978712</v>
      </c>
      <c r="AI6" s="9">
        <f>'ancillary data passenger cars'!K24</f>
        <v>153104.26531615929</v>
      </c>
      <c r="AJ6" s="9">
        <f>'ancillary data passenger cars'!K35</f>
        <v>125026.632525016</v>
      </c>
      <c r="AK6" s="9">
        <f>'ancillary data passenger cars'!K25</f>
        <v>118803.85951884184</v>
      </c>
      <c r="AL6" s="9">
        <f>'ancillary data passenger cars'!K42</f>
        <v>29099.730772833729</v>
      </c>
      <c r="AM6" s="9">
        <f>'ancillary data passenger cars'!K43</f>
        <v>53389.588690653618</v>
      </c>
      <c r="AN6" s="9">
        <f>'ancillary data passenger cars'!K26</f>
        <v>56846.684805194818</v>
      </c>
      <c r="AO6" s="9">
        <f>'ancillary data passenger cars'!K36</f>
        <v>5471.2303725782431</v>
      </c>
      <c r="AP6" s="9">
        <f>'ancillary data passenger cars'!K27</f>
        <v>297821.3148413882</v>
      </c>
      <c r="AQ6" s="9">
        <f>'ancillary data passenger cars'!K28</f>
        <v>160349.13630402388</v>
      </c>
      <c r="AR6" s="9">
        <f>'ancillary data passenger cars'!K44</f>
        <v>164497.65164147332</v>
      </c>
      <c r="AS6" s="9">
        <f>'ancillary data passenger cars'!K37</f>
        <v>66195.875167127975</v>
      </c>
      <c r="AT6" s="9">
        <f>'ancillary data passenger cars'!K38</f>
        <v>55824.586823504374</v>
      </c>
      <c r="AU6" s="9">
        <f>'ancillary data passenger cars'!K29</f>
        <v>233609.5122269534</v>
      </c>
    </row>
    <row r="7" spans="1:47" x14ac:dyDescent="0.25">
      <c r="D7" s="10" t="s">
        <v>114</v>
      </c>
      <c r="G7" s="10" t="s">
        <v>114</v>
      </c>
      <c r="L7" s="9"/>
    </row>
    <row r="9" spans="1:47" x14ac:dyDescent="0.25">
      <c r="B9" t="s">
        <v>115</v>
      </c>
      <c r="C9" s="21">
        <f>C3/C6</f>
        <v>0.8629333616176964</v>
      </c>
      <c r="D9" s="21">
        <f t="shared" ref="D9:W9" si="2">D3/D6</f>
        <v>0.78289631198874676</v>
      </c>
      <c r="E9" s="21">
        <f t="shared" si="2"/>
        <v>0.88606061120069091</v>
      </c>
      <c r="F9" t="s">
        <v>157</v>
      </c>
      <c r="G9" s="21">
        <f t="shared" si="2"/>
        <v>0.25405052948883539</v>
      </c>
      <c r="H9" s="21">
        <f t="shared" si="2"/>
        <v>1.2528564686048451</v>
      </c>
      <c r="I9" s="21">
        <f t="shared" si="2"/>
        <v>0.74671454507194468</v>
      </c>
      <c r="J9" s="21">
        <f t="shared" si="2"/>
        <v>0.68881700193178985</v>
      </c>
      <c r="K9" s="21">
        <f t="shared" si="2"/>
        <v>0.87476621991062187</v>
      </c>
      <c r="L9" s="21">
        <f t="shared" si="2"/>
        <v>0.76861835480339402</v>
      </c>
      <c r="M9" s="21">
        <f t="shared" si="2"/>
        <v>1.0947979980870186</v>
      </c>
      <c r="N9" s="21">
        <f t="shared" si="2"/>
        <v>0.7223227079710075</v>
      </c>
      <c r="O9" s="21">
        <f t="shared" si="2"/>
        <v>0.74424072935810925</v>
      </c>
      <c r="P9" s="21">
        <f t="shared" si="2"/>
        <v>0.62973371576444637</v>
      </c>
      <c r="Q9" s="21">
        <f t="shared" si="2"/>
        <v>0.71236907894321022</v>
      </c>
      <c r="R9" s="47">
        <f t="shared" si="2"/>
        <v>1</v>
      </c>
      <c r="S9" s="47">
        <f t="shared" si="2"/>
        <v>1</v>
      </c>
      <c r="T9" s="47">
        <f t="shared" si="2"/>
        <v>1</v>
      </c>
      <c r="U9" s="48">
        <f t="shared" si="2"/>
        <v>1</v>
      </c>
      <c r="V9" s="47">
        <f t="shared" si="2"/>
        <v>1</v>
      </c>
      <c r="W9" s="48" t="e">
        <f t="shared" si="2"/>
        <v>#DIV/0!</v>
      </c>
      <c r="X9" s="47">
        <f t="shared" ref="X9:AU9" si="3">X3/X6</f>
        <v>1</v>
      </c>
      <c r="Y9" s="47">
        <f t="shared" si="3"/>
        <v>1</v>
      </c>
      <c r="Z9" s="47">
        <f t="shared" si="3"/>
        <v>0.47111928411113457</v>
      </c>
      <c r="AA9" s="47">
        <f t="shared" si="3"/>
        <v>0.70628506407715175</v>
      </c>
      <c r="AB9" s="47">
        <f t="shared" si="3"/>
        <v>1.0910307141122337</v>
      </c>
      <c r="AC9" s="47">
        <f t="shared" si="3"/>
        <v>0.85039434100793609</v>
      </c>
      <c r="AD9" s="47">
        <f t="shared" si="3"/>
        <v>0.55316328201190601</v>
      </c>
      <c r="AE9" s="47">
        <f t="shared" si="3"/>
        <v>0.66216931228196363</v>
      </c>
      <c r="AF9" s="47">
        <f t="shared" si="3"/>
        <v>0.7584430235919789</v>
      </c>
      <c r="AG9" s="47">
        <f t="shared" si="3"/>
        <v>0.96254060912983652</v>
      </c>
      <c r="AH9" s="47">
        <f t="shared" si="3"/>
        <v>0.87552319738468309</v>
      </c>
      <c r="AI9" s="47">
        <f t="shared" si="3"/>
        <v>1.0617568791962417</v>
      </c>
      <c r="AJ9" s="47">
        <f t="shared" si="3"/>
        <v>0.78031103177556504</v>
      </c>
      <c r="AK9" s="47">
        <f t="shared" si="3"/>
        <v>0.66460781289971138</v>
      </c>
      <c r="AL9" s="47">
        <f t="shared" si="3"/>
        <v>0.8599658917516122</v>
      </c>
      <c r="AM9" s="47">
        <f t="shared" si="3"/>
        <v>0.64150914365383183</v>
      </c>
      <c r="AN9" s="47">
        <f t="shared" si="3"/>
        <v>0.18842125276381669</v>
      </c>
      <c r="AO9" s="47">
        <f t="shared" si="3"/>
        <v>0.99495536666908713</v>
      </c>
      <c r="AP9" s="47">
        <f t="shared" si="3"/>
        <v>0.87695903254517815</v>
      </c>
      <c r="AQ9" s="47">
        <f t="shared" si="3"/>
        <v>0.84884459350246555</v>
      </c>
      <c r="AR9" s="47">
        <f t="shared" si="3"/>
        <v>0.97807694310617377</v>
      </c>
      <c r="AS9" s="47">
        <f t="shared" si="3"/>
        <v>1.2939462772785255</v>
      </c>
      <c r="AT9" s="47">
        <f t="shared" si="3"/>
        <v>0.40883484465926495</v>
      </c>
      <c r="AU9" s="47">
        <f t="shared" si="3"/>
        <v>0.62891941545497299</v>
      </c>
    </row>
    <row r="10" spans="1:47" x14ac:dyDescent="0.25">
      <c r="B10" t="s">
        <v>154</v>
      </c>
      <c r="G10" t="s">
        <v>152</v>
      </c>
    </row>
    <row r="11" spans="1:47" x14ac:dyDescent="0.25">
      <c r="B11" t="s">
        <v>155</v>
      </c>
      <c r="G11" t="s">
        <v>153</v>
      </c>
    </row>
    <row r="14" spans="1:47" x14ac:dyDescent="0.25">
      <c r="A14" s="11" t="s">
        <v>294</v>
      </c>
      <c r="Z14" t="s">
        <v>390</v>
      </c>
    </row>
    <row r="15" spans="1:47" x14ac:dyDescent="0.25">
      <c r="C15" s="1" t="s">
        <v>1</v>
      </c>
      <c r="D15" s="1" t="s">
        <v>2</v>
      </c>
      <c r="E15" s="1" t="s">
        <v>15</v>
      </c>
      <c r="F15" s="1" t="s">
        <v>106</v>
      </c>
      <c r="G15" s="1" t="s">
        <v>107</v>
      </c>
      <c r="H15" s="1" t="s">
        <v>108</v>
      </c>
      <c r="I15" s="1" t="s">
        <v>109</v>
      </c>
      <c r="J15" s="1" t="s">
        <v>6</v>
      </c>
      <c r="K15" s="1" t="s">
        <v>7</v>
      </c>
      <c r="L15" s="1" t="s">
        <v>8</v>
      </c>
      <c r="M15" s="1" t="s">
        <v>9</v>
      </c>
      <c r="N15" s="1" t="s">
        <v>10</v>
      </c>
      <c r="O15" s="1" t="s">
        <v>110</v>
      </c>
      <c r="P15" s="1" t="s">
        <v>12</v>
      </c>
      <c r="Q15" s="1" t="s">
        <v>14</v>
      </c>
      <c r="R15" s="1" t="s">
        <v>313</v>
      </c>
      <c r="S15" s="1" t="s">
        <v>314</v>
      </c>
      <c r="T15" s="1" t="s">
        <v>315</v>
      </c>
      <c r="U15" s="1" t="s">
        <v>316</v>
      </c>
      <c r="V15" s="1" t="s">
        <v>317</v>
      </c>
      <c r="W15" s="1" t="s">
        <v>318</v>
      </c>
      <c r="X15" s="1" t="s">
        <v>324</v>
      </c>
      <c r="Y15" s="1" t="s">
        <v>325</v>
      </c>
      <c r="Z15" t="s">
        <v>33</v>
      </c>
      <c r="AA15" t="s">
        <v>24</v>
      </c>
      <c r="AB15" t="s">
        <v>45</v>
      </c>
      <c r="AC15" t="s">
        <v>381</v>
      </c>
      <c r="AD15" t="s">
        <v>41</v>
      </c>
      <c r="AE15" t="s">
        <v>382</v>
      </c>
      <c r="AF15" t="s">
        <v>25</v>
      </c>
      <c r="AG15" t="s">
        <v>36</v>
      </c>
      <c r="AH15" t="s">
        <v>26</v>
      </c>
      <c r="AI15" t="s">
        <v>27</v>
      </c>
      <c r="AJ15" t="s">
        <v>37</v>
      </c>
      <c r="AK15" t="s">
        <v>28</v>
      </c>
      <c r="AL15" t="s">
        <v>42</v>
      </c>
      <c r="AM15" t="s">
        <v>43</v>
      </c>
      <c r="AN15" t="s">
        <v>29</v>
      </c>
      <c r="AO15" t="s">
        <v>38</v>
      </c>
      <c r="AP15" t="s">
        <v>30</v>
      </c>
      <c r="AQ15" t="s">
        <v>31</v>
      </c>
      <c r="AR15" t="s">
        <v>44</v>
      </c>
      <c r="AS15" t="s">
        <v>39</v>
      </c>
      <c r="AT15" t="s">
        <v>40</v>
      </c>
      <c r="AU15" t="s">
        <v>32</v>
      </c>
    </row>
    <row r="16" spans="1:47" x14ac:dyDescent="0.25">
      <c r="A16" t="s">
        <v>112</v>
      </c>
      <c r="B16" s="1">
        <v>2015</v>
      </c>
      <c r="C16" s="12">
        <v>397336.91876486118</v>
      </c>
      <c r="D16" s="13">
        <v>11625576.29978852</v>
      </c>
      <c r="E16" s="13">
        <v>422320.57554152625</v>
      </c>
      <c r="F16" s="13">
        <v>0</v>
      </c>
      <c r="G16" s="13">
        <v>1106010.5432074408</v>
      </c>
      <c r="H16" s="13">
        <v>923968.44353502302</v>
      </c>
      <c r="I16" s="13">
        <v>4217266.4397255974</v>
      </c>
      <c r="J16" s="70">
        <f>'ancillary data resbuildings'!B115</f>
        <v>1215684.9269080891</v>
      </c>
      <c r="K16" s="70">
        <f>'ancillary data resbuildings'!C115</f>
        <v>2590075.7521639662</v>
      </c>
      <c r="L16" s="70">
        <f>'ancillary data resbuildings'!D115</f>
        <v>926451.06612759421</v>
      </c>
      <c r="M16" s="70">
        <f>'ancillary data resbuildings'!E115</f>
        <v>489476.37315658311</v>
      </c>
      <c r="N16" s="70">
        <f>'ancillary data resbuildings'!F115</f>
        <v>515241.55361103342</v>
      </c>
      <c r="O16" s="70">
        <f>'ancillary data resbuildings'!G115</f>
        <v>1791919.0434301989</v>
      </c>
      <c r="P16" s="13">
        <v>2129809.5564591149</v>
      </c>
      <c r="Q16" s="13">
        <v>613239.21522768843</v>
      </c>
      <c r="R16" s="13">
        <v>3593491.2291623619</v>
      </c>
      <c r="S16" s="13">
        <v>7651467.9524937551</v>
      </c>
      <c r="T16" s="13">
        <v>4736504.0966000455</v>
      </c>
      <c r="U16" s="13"/>
      <c r="V16" s="13">
        <v>1680746.0492537778</v>
      </c>
      <c r="W16" s="13"/>
      <c r="X16" s="13">
        <v>9072327.9217857271</v>
      </c>
      <c r="Y16" s="14">
        <v>306334.16988314164</v>
      </c>
      <c r="Z16" s="72">
        <f>'ancillary data resbuildings'!H115</f>
        <v>262187.74476437108</v>
      </c>
      <c r="AA16" s="72">
        <f>'ancillary data resbuildings'!I115</f>
        <v>320548.68784122582</v>
      </c>
      <c r="AB16" s="72">
        <f>'ancillary data resbuildings'!J115</f>
        <v>60845.752728951673</v>
      </c>
      <c r="AC16" s="72">
        <f>'ancillary data resbuildings'!K115</f>
        <v>22171.47980656935</v>
      </c>
      <c r="AD16" s="72">
        <f>'ancillary data resbuildings'!L115</f>
        <v>11454.25778897947</v>
      </c>
      <c r="AE16" s="72">
        <f>'ancillary data resbuildings'!M115</f>
        <v>215699.15819212521</v>
      </c>
      <c r="AF16" s="72">
        <f>'ancillary data resbuildings'!N115</f>
        <v>200880.5199297248</v>
      </c>
      <c r="AG16" s="72">
        <f>'ancillary data resbuildings'!O115</f>
        <v>38052.551326089371</v>
      </c>
      <c r="AH16" s="72">
        <f>'ancillary data resbuildings'!P115</f>
        <v>184654.04036893859</v>
      </c>
      <c r="AI16" s="72">
        <f>'ancillary data resbuildings'!Q115</f>
        <v>230249.57079864369</v>
      </c>
      <c r="AJ16" s="72">
        <f>'ancillary data resbuildings'!R115</f>
        <v>181778.03314817569</v>
      </c>
      <c r="AK16" s="72">
        <f>'ancillary data resbuildings'!S115</f>
        <v>117376.75323925199</v>
      </c>
      <c r="AL16" s="72">
        <f>'ancillary data resbuildings'!T115</f>
        <v>48566.053947879089</v>
      </c>
      <c r="AM16" s="72">
        <f>'ancillary data resbuildings'!U115</f>
        <v>56621.162447050338</v>
      </c>
      <c r="AN16" s="72">
        <f>'ancillary data resbuildings'!V115</f>
        <v>19388.328314903782</v>
      </c>
      <c r="AO16" s="72">
        <f>'ancillary data resbuildings'!W115</f>
        <v>4238.5928577576842</v>
      </c>
      <c r="AP16" s="72">
        <f>'ancillary data resbuildings'!X115</f>
        <v>422642.51289957622</v>
      </c>
      <c r="AQ16" s="72">
        <f>'ancillary data resbuildings'!Y115</f>
        <v>125872.4629807477</v>
      </c>
      <c r="AR16" s="72">
        <f>'ancillary data resbuildings'!Z115</f>
        <v>175193.01441547621</v>
      </c>
      <c r="AS16" s="72">
        <f>'ancillary data resbuildings'!AA115</f>
        <v>62966.941489125747</v>
      </c>
      <c r="AT16" s="72">
        <f>'ancillary data resbuildings'!AB115</f>
        <v>36146.262895698557</v>
      </c>
      <c r="AU16" s="72">
        <f>'ancillary data resbuildings'!AC115</f>
        <v>276591.62200969469</v>
      </c>
    </row>
    <row r="17" spans="1:48" x14ac:dyDescent="0.25">
      <c r="A17" t="s">
        <v>112</v>
      </c>
      <c r="B17" s="1">
        <v>2016</v>
      </c>
      <c r="C17" s="15">
        <v>397336.91876486118</v>
      </c>
      <c r="D17" s="16">
        <v>11625576.29978852</v>
      </c>
      <c r="E17" s="16">
        <v>422320.57554152625</v>
      </c>
      <c r="F17" s="16">
        <v>0</v>
      </c>
      <c r="G17" s="16">
        <v>1106010.5432074408</v>
      </c>
      <c r="H17" s="16">
        <v>923968.44353502302</v>
      </c>
      <c r="I17" s="16">
        <v>4217266.4397255974</v>
      </c>
      <c r="P17" s="16">
        <v>2129809.5564591149</v>
      </c>
      <c r="Q17" s="16">
        <v>613239.21522768843</v>
      </c>
      <c r="R17" s="16">
        <v>3593491.2291623619</v>
      </c>
      <c r="S17" s="16">
        <v>7651467.9524937551</v>
      </c>
      <c r="T17" s="16">
        <v>4736504.0966000455</v>
      </c>
      <c r="U17" s="16"/>
      <c r="V17" s="16">
        <v>1680746.0492537778</v>
      </c>
      <c r="W17" s="16"/>
      <c r="X17" s="16">
        <v>9072327.9217857271</v>
      </c>
      <c r="Y17" s="17">
        <v>306334.16988314164</v>
      </c>
    </row>
    <row r="18" spans="1:48" x14ac:dyDescent="0.25">
      <c r="C18" s="9"/>
      <c r="D18" s="9"/>
      <c r="E18" s="9"/>
      <c r="F18" s="9"/>
      <c r="G18" s="9"/>
      <c r="H18" s="9"/>
      <c r="I18" s="9"/>
      <c r="P18" s="9"/>
      <c r="Q18" s="9"/>
      <c r="R18" s="9"/>
      <c r="S18" s="9"/>
      <c r="T18" s="9"/>
      <c r="U18" s="9"/>
      <c r="V18" s="9"/>
      <c r="W18" s="9"/>
      <c r="X18" s="9"/>
      <c r="Y18" s="9"/>
    </row>
    <row r="19" spans="1:48" x14ac:dyDescent="0.25">
      <c r="A19" t="s">
        <v>113</v>
      </c>
      <c r="B19" s="1">
        <v>2016</v>
      </c>
      <c r="C19" s="9">
        <f>'ancillary data resbuildings'!K36</f>
        <v>1068072.1539999999</v>
      </c>
      <c r="D19" s="9">
        <f>'ancillary data resbuildings'!K33</f>
        <v>9524970</v>
      </c>
      <c r="E19" s="9">
        <f>'ancillary data resbuildings'!K46</f>
        <v>407808.55512000003</v>
      </c>
      <c r="F19" s="9"/>
      <c r="G19" s="9">
        <f>'ancillary data resbuildings'!K34</f>
        <v>894300.48</v>
      </c>
      <c r="H19" s="9">
        <f>'ancillary data resbuildings'!K37</f>
        <v>1018732.1760000001</v>
      </c>
      <c r="I19" s="9">
        <f>'ancillary data resbuildings'!K35</f>
        <v>8263519.5999999987</v>
      </c>
      <c r="J19" s="9">
        <f>'ancillary data resbuildings'!K38</f>
        <v>1290821.506056</v>
      </c>
      <c r="K19" s="9">
        <f>'ancillary data resbuildings'!K39</f>
        <v>1980474.6352320001</v>
      </c>
      <c r="L19" s="9">
        <f>'ancillary data resbuildings'!K40</f>
        <v>1075322.2208400001</v>
      </c>
      <c r="M19" s="9">
        <f>'ancillary data resbuildings'!K41</f>
        <v>679602.79951200006</v>
      </c>
      <c r="N19" s="9">
        <f>'ancillary data resbuildings'!K42</f>
        <v>397944.99860400002</v>
      </c>
      <c r="O19" s="9">
        <f>'ancillary data resbuildings'!K43</f>
        <v>1269816.1629840001</v>
      </c>
      <c r="P19" s="9">
        <f>'ancillary data resbuildings'!K44</f>
        <v>1717409.2408200002</v>
      </c>
      <c r="Q19" s="9">
        <f>'ancillary data resbuildings'!K45</f>
        <v>587980.58490000013</v>
      </c>
      <c r="R19" s="9">
        <v>2837360</v>
      </c>
      <c r="S19" s="9">
        <v>6196500</v>
      </c>
      <c r="T19" s="9">
        <v>1504520</v>
      </c>
      <c r="U19" s="9"/>
      <c r="V19" s="9">
        <v>980780</v>
      </c>
      <c r="W19" s="9"/>
      <c r="X19" s="9">
        <v>2617010</v>
      </c>
      <c r="Y19" s="9">
        <v>293249</v>
      </c>
      <c r="Z19" s="9">
        <f>'ancillary data resbuildings'!K52</f>
        <v>224291.35950116228</v>
      </c>
      <c r="AA19">
        <f>'ancillary data resbuildings'!K53</f>
        <v>289772.28978852293</v>
      </c>
      <c r="AB19">
        <f>'ancillary data resbuildings'!K73</f>
        <v>67754.777925848903</v>
      </c>
      <c r="AC19">
        <f>'ancillary data resbuildings'!K79</f>
        <v>80945.737680673148</v>
      </c>
      <c r="AD19">
        <f>'ancillary data resbuildings'!K64</f>
        <v>10850.92956</v>
      </c>
      <c r="AE19">
        <f>'ancillary data resbuildings'!K65</f>
        <v>248637.51337246175</v>
      </c>
      <c r="AF19">
        <f>'ancillary data resbuildings'!K54</f>
        <v>155610.11202021083</v>
      </c>
      <c r="AG19">
        <f>'ancillary data resbuildings'!K66</f>
        <v>32706.995266162427</v>
      </c>
      <c r="AH19">
        <f>'ancillary data resbuildings'!K55</f>
        <v>179101.47659367614</v>
      </c>
      <c r="AI19">
        <f>'ancillary data resbuildings'!K56</f>
        <v>131481.63812254183</v>
      </c>
      <c r="AJ19">
        <f>'ancillary data resbuildings'!K67</f>
        <v>222555.53888437021</v>
      </c>
      <c r="AK19">
        <f>'ancillary data resbuildings'!K57</f>
        <v>91024.189923128215</v>
      </c>
      <c r="AL19">
        <f>'ancillary data resbuildings'!K74</f>
        <v>39763.277357226092</v>
      </c>
      <c r="AM19">
        <f>'ancillary data resbuildings'!K75</f>
        <v>47930.486400000009</v>
      </c>
      <c r="AN19">
        <f>'ancillary data resbuildings'!K58</f>
        <v>17797.480654633302</v>
      </c>
      <c r="AO19">
        <f>'ancillary data resbuildings'!K68</f>
        <v>1759.6408355623046</v>
      </c>
      <c r="AP19">
        <f>'ancillary data resbuildings'!K59</f>
        <v>334810.23397027678</v>
      </c>
      <c r="AQ19">
        <f>'ancillary data resbuildings'!K60</f>
        <v>53651.063039702713</v>
      </c>
      <c r="AR19">
        <f>'ancillary data resbuildings'!K76</f>
        <v>240672.72439121359</v>
      </c>
      <c r="AS19">
        <f>'ancillary data resbuildings'!K69</f>
        <v>70250.292126922126</v>
      </c>
      <c r="AT19">
        <f>'ancillary data resbuildings'!K70</f>
        <v>39457.37013396337</v>
      </c>
      <c r="AU19">
        <f>'ancillary data resbuildings'!K61</f>
        <v>218520.18249328426</v>
      </c>
    </row>
    <row r="20" spans="1:48" x14ac:dyDescent="0.25">
      <c r="D20" s="10" t="s">
        <v>114</v>
      </c>
      <c r="G20" s="10" t="s">
        <v>114</v>
      </c>
      <c r="L20" s="9"/>
    </row>
    <row r="22" spans="1:48" x14ac:dyDescent="0.25">
      <c r="B22" t="s">
        <v>115</v>
      </c>
      <c r="C22" s="21">
        <f>C16/C19</f>
        <v>0.3720131802676519</v>
      </c>
      <c r="D22" s="21">
        <f t="shared" ref="D22:AU22" si="4">D16/D19</f>
        <v>1.2205367890700465</v>
      </c>
      <c r="E22" s="21">
        <f t="shared" si="4"/>
        <v>1.0355853751455899</v>
      </c>
      <c r="F22" t="s">
        <v>157</v>
      </c>
      <c r="G22" s="21">
        <f t="shared" si="4"/>
        <v>1.2367325836696865</v>
      </c>
      <c r="H22" s="21">
        <f t="shared" si="4"/>
        <v>0.90697875781536419</v>
      </c>
      <c r="I22" s="21">
        <f t="shared" si="4"/>
        <v>0.51034748434863009</v>
      </c>
      <c r="J22" s="21">
        <f t="shared" si="4"/>
        <v>0.94179165841644163</v>
      </c>
      <c r="K22" s="21">
        <f t="shared" si="4"/>
        <v>1.3078055664472346</v>
      </c>
      <c r="L22" s="21">
        <f t="shared" si="4"/>
        <v>0.86155670195663447</v>
      </c>
      <c r="M22" s="21">
        <f t="shared" si="4"/>
        <v>0.7202389005873131</v>
      </c>
      <c r="N22" s="21">
        <f t="shared" si="4"/>
        <v>1.2947556959341424</v>
      </c>
      <c r="O22" s="21">
        <f t="shared" si="4"/>
        <v>1.4111641477450445</v>
      </c>
      <c r="P22" s="21">
        <f t="shared" si="4"/>
        <v>1.2401293214436231</v>
      </c>
      <c r="Q22" s="21">
        <f t="shared" si="4"/>
        <v>1.0429582727327367</v>
      </c>
      <c r="R22" s="21">
        <f t="shared" si="4"/>
        <v>1.2664911146849049</v>
      </c>
      <c r="S22" s="21">
        <f t="shared" si="4"/>
        <v>1.2348048014998394</v>
      </c>
      <c r="T22" s="21">
        <f t="shared" si="4"/>
        <v>3.1481828733416939</v>
      </c>
      <c r="U22" s="50" t="e">
        <f t="shared" si="4"/>
        <v>#DIV/0!</v>
      </c>
      <c r="V22" s="21">
        <f t="shared" si="4"/>
        <v>1.7136830372293255</v>
      </c>
      <c r="W22" s="50" t="e">
        <f t="shared" si="4"/>
        <v>#DIV/0!</v>
      </c>
      <c r="X22" s="21">
        <f t="shared" si="4"/>
        <v>3.4666768265255872</v>
      </c>
      <c r="Y22" s="21">
        <f t="shared" si="4"/>
        <v>1.0446213623341993</v>
      </c>
      <c r="Z22" s="21">
        <f t="shared" si="4"/>
        <v>1.1689605223647166</v>
      </c>
      <c r="AA22" s="21">
        <f t="shared" si="4"/>
        <v>1.1062089065699265</v>
      </c>
      <c r="AB22" s="21">
        <f t="shared" si="4"/>
        <v>0.8980289596040224</v>
      </c>
      <c r="AC22" s="21">
        <f t="shared" si="4"/>
        <v>0.27390546360865498</v>
      </c>
      <c r="AD22" s="21">
        <f t="shared" si="4"/>
        <v>1.0556015247950306</v>
      </c>
      <c r="AE22" s="21">
        <f t="shared" si="4"/>
        <v>0.86752459540972593</v>
      </c>
      <c r="AF22" s="21">
        <f t="shared" si="4"/>
        <v>1.2909220186387</v>
      </c>
      <c r="AG22" s="21">
        <f t="shared" si="4"/>
        <v>1.1634376993797801</v>
      </c>
      <c r="AH22" s="21">
        <f t="shared" si="4"/>
        <v>1.0310023338772323</v>
      </c>
      <c r="AI22" s="21">
        <f t="shared" si="4"/>
        <v>1.7511918324599016</v>
      </c>
      <c r="AJ22" s="21">
        <f t="shared" si="4"/>
        <v>0.81677604637204437</v>
      </c>
      <c r="AK22" s="21">
        <f t="shared" si="4"/>
        <v>1.2895116489185903</v>
      </c>
      <c r="AL22" s="21">
        <f t="shared" si="4"/>
        <v>1.2213795535908785</v>
      </c>
      <c r="AM22" s="21">
        <f t="shared" si="4"/>
        <v>1.1813183361946924</v>
      </c>
      <c r="AN22" s="21">
        <f t="shared" si="4"/>
        <v>1.0893861154363063</v>
      </c>
      <c r="AO22" s="21">
        <f t="shared" si="4"/>
        <v>2.4087829584855109</v>
      </c>
      <c r="AP22" s="21">
        <f t="shared" si="4"/>
        <v>1.2623345107697541</v>
      </c>
      <c r="AQ22" s="21">
        <f t="shared" si="4"/>
        <v>2.346131760476021</v>
      </c>
      <c r="AR22" s="21">
        <f t="shared" si="4"/>
        <v>0.72793049091304551</v>
      </c>
      <c r="AS22" s="21">
        <f t="shared" si="4"/>
        <v>0.89632284197996714</v>
      </c>
      <c r="AT22" s="21">
        <f t="shared" si="4"/>
        <v>0.91608393496517548</v>
      </c>
      <c r="AU22" s="21">
        <f t="shared" si="4"/>
        <v>1.2657486317914599</v>
      </c>
    </row>
    <row r="23" spans="1:48" x14ac:dyDescent="0.25">
      <c r="C23" t="s">
        <v>164</v>
      </c>
      <c r="D23" t="s">
        <v>164</v>
      </c>
      <c r="E23" t="s">
        <v>165</v>
      </c>
      <c r="G23" t="s">
        <v>152</v>
      </c>
      <c r="H23" t="s">
        <v>165</v>
      </c>
      <c r="I23" t="s">
        <v>165</v>
      </c>
      <c r="J23" t="s">
        <v>164</v>
      </c>
      <c r="K23" t="s">
        <v>165</v>
      </c>
      <c r="L23" t="s">
        <v>164</v>
      </c>
      <c r="M23" t="s">
        <v>164</v>
      </c>
      <c r="N23" t="s">
        <v>165</v>
      </c>
      <c r="O23" t="s">
        <v>165</v>
      </c>
      <c r="P23" t="s">
        <v>165</v>
      </c>
      <c r="Q23" t="s">
        <v>165</v>
      </c>
    </row>
    <row r="24" spans="1:48" x14ac:dyDescent="0.25">
      <c r="D24" s="9"/>
      <c r="G24" t="s">
        <v>160</v>
      </c>
      <c r="H24" s="9"/>
      <c r="I24" s="9" t="s">
        <v>167</v>
      </c>
      <c r="K24" s="9"/>
      <c r="P24" s="9"/>
    </row>
    <row r="26" spans="1:48" x14ac:dyDescent="0.25">
      <c r="I26" s="9"/>
    </row>
    <row r="27" spans="1:48" x14ac:dyDescent="0.25">
      <c r="A27" s="11" t="s">
        <v>295</v>
      </c>
      <c r="AV27" s="2"/>
    </row>
    <row r="28" spans="1:48" x14ac:dyDescent="0.25">
      <c r="C28" s="1" t="s">
        <v>1</v>
      </c>
      <c r="D28" s="1" t="s">
        <v>2</v>
      </c>
      <c r="E28" s="1" t="s">
        <v>15</v>
      </c>
      <c r="F28" s="1" t="s">
        <v>106</v>
      </c>
      <c r="G28" s="1" t="s">
        <v>107</v>
      </c>
      <c r="H28" s="1" t="s">
        <v>108</v>
      </c>
      <c r="I28" s="1" t="s">
        <v>109</v>
      </c>
      <c r="J28" s="1" t="s">
        <v>6</v>
      </c>
      <c r="K28" s="1" t="s">
        <v>7</v>
      </c>
      <c r="L28" s="1" t="s">
        <v>8</v>
      </c>
      <c r="M28" s="1" t="s">
        <v>9</v>
      </c>
      <c r="N28" s="1" t="s">
        <v>10</v>
      </c>
      <c r="O28" s="1" t="s">
        <v>110</v>
      </c>
      <c r="P28" s="1" t="s">
        <v>12</v>
      </c>
      <c r="Q28" s="1" t="s">
        <v>14</v>
      </c>
      <c r="R28" s="1" t="s">
        <v>313</v>
      </c>
      <c r="S28" s="1" t="s">
        <v>314</v>
      </c>
      <c r="T28" s="1" t="s">
        <v>315</v>
      </c>
      <c r="U28" s="1" t="s">
        <v>316</v>
      </c>
      <c r="V28" s="1" t="s">
        <v>317</v>
      </c>
      <c r="W28" s="1" t="s">
        <v>318</v>
      </c>
      <c r="X28" s="1" t="s">
        <v>324</v>
      </c>
      <c r="Y28" s="1" t="s">
        <v>325</v>
      </c>
      <c r="Z28" t="s">
        <v>33</v>
      </c>
      <c r="AA28" t="s">
        <v>24</v>
      </c>
      <c r="AB28" t="s">
        <v>45</v>
      </c>
      <c r="AC28" t="s">
        <v>381</v>
      </c>
      <c r="AD28" t="s">
        <v>41</v>
      </c>
      <c r="AE28" t="s">
        <v>382</v>
      </c>
      <c r="AF28" t="s">
        <v>25</v>
      </c>
      <c r="AG28" t="s">
        <v>36</v>
      </c>
      <c r="AH28" t="s">
        <v>26</v>
      </c>
      <c r="AI28" t="s">
        <v>27</v>
      </c>
      <c r="AJ28" t="s">
        <v>37</v>
      </c>
      <c r="AK28" t="s">
        <v>28</v>
      </c>
      <c r="AL28" t="s">
        <v>42</v>
      </c>
      <c r="AM28" t="s">
        <v>43</v>
      </c>
      <c r="AN28" t="s">
        <v>29</v>
      </c>
      <c r="AO28" t="s">
        <v>38</v>
      </c>
      <c r="AP28" t="s">
        <v>30</v>
      </c>
      <c r="AQ28" t="s">
        <v>31</v>
      </c>
      <c r="AR28" t="s">
        <v>44</v>
      </c>
      <c r="AS28" t="s">
        <v>39</v>
      </c>
      <c r="AT28" t="s">
        <v>40</v>
      </c>
      <c r="AU28" t="s">
        <v>32</v>
      </c>
    </row>
    <row r="29" spans="1:48" x14ac:dyDescent="0.25">
      <c r="A29" t="s">
        <v>112</v>
      </c>
      <c r="B29" s="1">
        <v>2015</v>
      </c>
      <c r="C29" s="12">
        <v>1293207.340076382</v>
      </c>
      <c r="D29" s="13">
        <v>2970511.3926666621</v>
      </c>
      <c r="E29" s="13">
        <v>109802.8654633877</v>
      </c>
      <c r="F29" s="13">
        <v>0</v>
      </c>
      <c r="G29" s="13">
        <v>183075.84</v>
      </c>
      <c r="H29" s="13">
        <v>436586.56126482208</v>
      </c>
      <c r="I29" s="13">
        <v>12649217.430500731</v>
      </c>
      <c r="J29" s="13">
        <f>'ancil. data nonres buildings'!C105</f>
        <v>583589.77898669126</v>
      </c>
      <c r="K29" s="13">
        <f>'ancil. data nonres buildings'!D105</f>
        <v>764406.25975742331</v>
      </c>
      <c r="L29" s="13">
        <f>'ancil. data nonres buildings'!E105</f>
        <v>272527.30425938067</v>
      </c>
      <c r="M29" s="13">
        <f>'ancil. data nonres buildings'!F105</f>
        <v>253326.75721488081</v>
      </c>
      <c r="N29" s="13">
        <f>'ancil. data nonres buildings'!G105</f>
        <v>329155.98484116519</v>
      </c>
      <c r="O29" s="13">
        <f>'ancil. data nonres buildings'!H105</f>
        <v>495575.73151189392</v>
      </c>
      <c r="P29" s="13">
        <v>771407.01343585632</v>
      </c>
      <c r="Q29" s="13">
        <v>288425.94371221028</v>
      </c>
      <c r="R29" s="13">
        <v>1244048.897423971</v>
      </c>
      <c r="S29" s="13">
        <v>1237996.5020962351</v>
      </c>
      <c r="T29" s="13">
        <v>135097.34400000001</v>
      </c>
      <c r="U29" s="13">
        <f>X29+Y29</f>
        <v>582027.32362065301</v>
      </c>
      <c r="V29" s="13">
        <v>976953.69273107417</v>
      </c>
      <c r="W29" s="13">
        <v>183075.84</v>
      </c>
      <c r="X29" s="13">
        <v>551460.24707000307</v>
      </c>
      <c r="Y29" s="14">
        <v>30567.07655064993</v>
      </c>
      <c r="Z29" s="9">
        <f>'ancil. data nonres buildings'!I105</f>
        <v>75868.769126592961</v>
      </c>
      <c r="AA29" s="9">
        <f>'ancil. data nonres buildings'!J105</f>
        <v>112268.4555712552</v>
      </c>
      <c r="AB29" s="9">
        <f>'ancil. data nonres buildings'!K105</f>
        <v>24714.41516675274</v>
      </c>
      <c r="AC29" s="9">
        <f>'ancil. data nonres buildings'!L105</f>
        <v>24355.431023726251</v>
      </c>
      <c r="AD29" s="9">
        <f>'ancil. data nonres buildings'!M105</f>
        <v>4124.700856536082</v>
      </c>
      <c r="AE29" s="9">
        <f>'ancil. data nonres buildings'!N105</f>
        <v>85989.526890179521</v>
      </c>
      <c r="AF29" s="9">
        <f>'ancil. data nonres buildings'!O105</f>
        <v>53734.903240828353</v>
      </c>
      <c r="AG29" s="9">
        <f>'ancil. data nonres buildings'!P105</f>
        <v>9255.5577622057881</v>
      </c>
      <c r="AH29" s="9">
        <f>'ancil. data nonres buildings'!Q105</f>
        <v>68192.019174260509</v>
      </c>
      <c r="AI29" s="9">
        <f>'ancil. data nonres buildings'!R105</f>
        <v>84543.522528604983</v>
      </c>
      <c r="AJ29" s="9">
        <f>'ancil. data nonres buildings'!S105</f>
        <v>58028.816090390232</v>
      </c>
      <c r="AK29" s="9">
        <f>'ancil. data nonres buildings'!T105</f>
        <v>40008.27090567167</v>
      </c>
      <c r="AL29" s="9">
        <f>'ancil. data nonres buildings'!U105</f>
        <v>10887.199136718271</v>
      </c>
      <c r="AM29" s="9">
        <f>'ancil. data nonres buildings'!V105</f>
        <v>21772.594397378009</v>
      </c>
      <c r="AN29" s="9">
        <f>'ancil. data nonres buildings'!W105</f>
        <v>6570.7274113836293</v>
      </c>
      <c r="AO29" s="9">
        <f>'ancil. data nonres buildings'!X105</f>
        <v>1699.6022882463139</v>
      </c>
      <c r="AP29" s="9">
        <f>'ancil. data nonres buildings'!Y105</f>
        <v>173059.2840527698</v>
      </c>
      <c r="AQ29" s="9">
        <f>'ancil. data nonres buildings'!Z105</f>
        <v>55476.254064058892</v>
      </c>
      <c r="AR29" s="9">
        <f>'ancil. data nonres buildings'!AA105</f>
        <v>52002.17545784916</v>
      </c>
      <c r="AS29" s="9">
        <f>'ancil. data nonres buildings'!AB105</f>
        <v>19355.933654905759</v>
      </c>
      <c r="AT29" s="9">
        <f>'ancil. data nonres buildings'!AC105</f>
        <v>17026.928204350141</v>
      </c>
      <c r="AU29" s="9">
        <f>'ancil. data nonres buildings'!AD105</f>
        <v>95945.379498672017</v>
      </c>
    </row>
    <row r="30" spans="1:48" x14ac:dyDescent="0.25">
      <c r="A30" t="s">
        <v>112</v>
      </c>
      <c r="B30" s="1">
        <v>2016</v>
      </c>
      <c r="C30" s="15">
        <v>1293207.340076382</v>
      </c>
      <c r="D30" s="16">
        <v>2970511.3926666621</v>
      </c>
      <c r="E30" s="16">
        <v>109802.8654633877</v>
      </c>
      <c r="F30" s="16">
        <v>0</v>
      </c>
      <c r="G30" s="16">
        <v>183075.84</v>
      </c>
      <c r="H30" s="16">
        <v>436586.56126482208</v>
      </c>
      <c r="I30" s="16">
        <v>12649217.430500731</v>
      </c>
      <c r="J30" s="16">
        <v>583589.77898669126</v>
      </c>
      <c r="K30" s="16">
        <v>764406.25975742331</v>
      </c>
      <c r="L30" s="16">
        <v>272527.30425938067</v>
      </c>
      <c r="M30" s="16">
        <v>253326.75721488081</v>
      </c>
      <c r="N30" s="16">
        <v>329155.98484116519</v>
      </c>
      <c r="O30" s="16">
        <v>495575.73151189392</v>
      </c>
      <c r="P30" s="16">
        <v>771407.01343585632</v>
      </c>
      <c r="Q30" s="16">
        <v>288425.94371221028</v>
      </c>
      <c r="R30" s="16">
        <v>1244048.897423971</v>
      </c>
      <c r="S30" s="16">
        <v>1237996.5020962351</v>
      </c>
      <c r="T30" s="16">
        <v>135097.34400000001</v>
      </c>
      <c r="U30" s="16">
        <f>X30+Y30</f>
        <v>582027.32362065301</v>
      </c>
      <c r="V30" s="16">
        <v>976953.69273107417</v>
      </c>
      <c r="W30" s="16">
        <v>183075.84</v>
      </c>
      <c r="X30" s="16">
        <v>551460.24707000307</v>
      </c>
      <c r="Y30" s="17">
        <v>30567.07655064993</v>
      </c>
    </row>
    <row r="31" spans="1:48" x14ac:dyDescent="0.25">
      <c r="C31" s="9"/>
      <c r="D31" s="9"/>
      <c r="E31" s="9"/>
      <c r="F31" s="9"/>
      <c r="G31" s="9"/>
      <c r="H31" s="9"/>
      <c r="I31" s="9"/>
      <c r="J31" s="9"/>
      <c r="K31" s="9"/>
      <c r="L31" s="9"/>
      <c r="M31" s="9"/>
      <c r="N31" s="9"/>
      <c r="O31" s="9"/>
      <c r="P31" s="9"/>
      <c r="Q31" s="9"/>
      <c r="R31" s="9"/>
      <c r="S31" s="9"/>
      <c r="T31" s="9"/>
      <c r="U31" s="9"/>
      <c r="V31" s="9"/>
      <c r="W31" s="9"/>
      <c r="X31" s="9"/>
      <c r="Y31" s="9"/>
    </row>
    <row r="32" spans="1:48" x14ac:dyDescent="0.25">
      <c r="A32" t="s">
        <v>113</v>
      </c>
      <c r="B32" s="1">
        <v>2016</v>
      </c>
      <c r="C32" s="60">
        <v>1016000</v>
      </c>
      <c r="D32" s="60">
        <v>3376000</v>
      </c>
      <c r="E32" s="60">
        <v>171000</v>
      </c>
      <c r="F32" s="60">
        <v>242000</v>
      </c>
      <c r="G32" s="60">
        <v>788000</v>
      </c>
      <c r="H32" s="60">
        <v>2070000</v>
      </c>
      <c r="I32" s="60">
        <v>8750000</v>
      </c>
      <c r="J32" s="60">
        <v>921000</v>
      </c>
      <c r="K32" s="60">
        <v>1329000</v>
      </c>
      <c r="L32" s="60">
        <v>646000</v>
      </c>
      <c r="M32" s="60">
        <v>355000</v>
      </c>
      <c r="N32" s="60">
        <v>401000</v>
      </c>
      <c r="O32" s="60">
        <v>717000</v>
      </c>
      <c r="P32" s="60">
        <v>1199000</v>
      </c>
      <c r="Q32" s="60">
        <v>317000</v>
      </c>
      <c r="R32" s="60">
        <v>1140000</v>
      </c>
      <c r="S32" s="60">
        <v>2692000</v>
      </c>
      <c r="T32" s="60">
        <v>2287000</v>
      </c>
      <c r="U32" s="60">
        <v>2445000</v>
      </c>
      <c r="V32" s="60">
        <v>1106000</v>
      </c>
      <c r="W32" s="60">
        <v>788000</v>
      </c>
      <c r="X32" s="60">
        <v>1563000</v>
      </c>
      <c r="Y32" s="60">
        <v>882000</v>
      </c>
      <c r="Z32" s="60">
        <f>'ancil. data nonres buildings'!AA30</f>
        <v>97000</v>
      </c>
      <c r="AA32" s="60">
        <f>'ancil. data nonres buildings'!AB30</f>
        <v>194000</v>
      </c>
      <c r="AB32" s="60">
        <v>45000</v>
      </c>
      <c r="AC32" s="60">
        <f>'ancil. data nonres buildings'!AD30</f>
        <v>0</v>
      </c>
      <c r="AD32" s="60">
        <f>'ancil. data nonres buildings'!AE30</f>
        <v>0</v>
      </c>
      <c r="AE32" s="60">
        <f>'ancil. data nonres buildings'!AF30</f>
        <v>129000</v>
      </c>
      <c r="AF32" s="60">
        <f>'ancil. data nonres buildings'!AG30</f>
        <v>82000</v>
      </c>
      <c r="AG32" s="60">
        <f>'ancil. data nonres buildings'!AH30</f>
        <v>21000</v>
      </c>
      <c r="AH32" s="60">
        <f>'ancil. data nonres buildings'!AI30</f>
        <v>121000</v>
      </c>
      <c r="AI32" s="60">
        <f>'ancil. data nonres buildings'!AJ30</f>
        <v>85000</v>
      </c>
      <c r="AJ32" s="60">
        <f>'ancil. data nonres buildings'!AK30</f>
        <v>91000</v>
      </c>
      <c r="AK32" s="60">
        <f>'ancil. data nonres buildings'!AL30</f>
        <v>68000</v>
      </c>
      <c r="AL32" s="60">
        <f>'ancil. data nonres buildings'!AM30</f>
        <v>25000</v>
      </c>
      <c r="AM32" s="60">
        <f>'ancil. data nonres buildings'!AN30</f>
        <v>25000</v>
      </c>
      <c r="AN32" s="60">
        <f>'ancil. data nonres buildings'!AO30</f>
        <v>17000</v>
      </c>
      <c r="AO32" s="60">
        <f>'ancil. data nonres buildings'!AP30</f>
        <v>0</v>
      </c>
      <c r="AP32" s="60">
        <f>'ancil. data nonres buildings'!AQ30</f>
        <v>280000</v>
      </c>
      <c r="AQ32" s="60">
        <f>'ancil. data nonres buildings'!AR30</f>
        <v>80000</v>
      </c>
      <c r="AR32" s="60">
        <v>76000</v>
      </c>
      <c r="AS32" s="60">
        <f>'ancil. data nonres buildings'!AT30</f>
        <v>55000</v>
      </c>
      <c r="AT32" s="60">
        <f>'ancil. data nonres buildings'!AU30</f>
        <v>21000</v>
      </c>
      <c r="AU32" s="60">
        <f>'ancil. data nonres buildings'!AV30</f>
        <v>176000</v>
      </c>
    </row>
    <row r="33" spans="1:48" x14ac:dyDescent="0.25">
      <c r="D33" s="10" t="s">
        <v>114</v>
      </c>
      <c r="G33" s="10" t="s">
        <v>114</v>
      </c>
    </row>
    <row r="35" spans="1:48" x14ac:dyDescent="0.25">
      <c r="B35" t="s">
        <v>115</v>
      </c>
      <c r="C35" s="22">
        <f>C29/C32</f>
        <v>1.2728418701539193</v>
      </c>
      <c r="D35" s="22">
        <f t="shared" ref="D35:AU35" si="5">D29/D32</f>
        <v>0.87989081536334779</v>
      </c>
      <c r="E35" s="22">
        <f t="shared" si="5"/>
        <v>0.64212202025372922</v>
      </c>
      <c r="F35" s="22">
        <f t="shared" si="5"/>
        <v>0</v>
      </c>
      <c r="G35" s="22">
        <f t="shared" si="5"/>
        <v>0.2323297461928934</v>
      </c>
      <c r="H35" s="22">
        <f t="shared" si="5"/>
        <v>0.21091138225353723</v>
      </c>
      <c r="I35" s="22">
        <f t="shared" si="5"/>
        <v>1.4456248492000836</v>
      </c>
      <c r="J35" s="22">
        <f t="shared" si="5"/>
        <v>0.63364796849803606</v>
      </c>
      <c r="K35" s="22">
        <f t="shared" si="5"/>
        <v>0.57517401035171056</v>
      </c>
      <c r="L35" s="22">
        <f t="shared" si="5"/>
        <v>0.42186889204238492</v>
      </c>
      <c r="M35" s="22">
        <f t="shared" si="5"/>
        <v>0.71359649919684731</v>
      </c>
      <c r="N35" s="22">
        <f t="shared" si="5"/>
        <v>0.82083786743432718</v>
      </c>
      <c r="O35" s="22">
        <f t="shared" si="5"/>
        <v>0.69117954185759267</v>
      </c>
      <c r="P35" s="22">
        <f t="shared" si="5"/>
        <v>0.64337532396651909</v>
      </c>
      <c r="Q35" s="22">
        <f t="shared" si="5"/>
        <v>0.9098610211741649</v>
      </c>
      <c r="R35" s="22">
        <f t="shared" si="5"/>
        <v>1.091270962652606</v>
      </c>
      <c r="S35" s="22">
        <f t="shared" si="5"/>
        <v>0.45987982990201898</v>
      </c>
      <c r="T35" s="22">
        <f t="shared" si="5"/>
        <v>5.9071860078705733E-2</v>
      </c>
      <c r="U35" s="22">
        <f t="shared" si="5"/>
        <v>0.23804798512092148</v>
      </c>
      <c r="V35" s="22">
        <f t="shared" si="5"/>
        <v>0.88332160283098926</v>
      </c>
      <c r="W35" s="22">
        <f t="shared" si="5"/>
        <v>0.2323297461928934</v>
      </c>
      <c r="X35" s="22">
        <f t="shared" si="5"/>
        <v>0.35282165519513953</v>
      </c>
      <c r="Y35" s="22">
        <f t="shared" si="5"/>
        <v>3.4656549377154115E-2</v>
      </c>
      <c r="Z35" s="22">
        <f t="shared" si="5"/>
        <v>0.78215225903704089</v>
      </c>
      <c r="AA35" s="22">
        <f t="shared" si="5"/>
        <v>0.5787033792332742</v>
      </c>
      <c r="AB35" s="22">
        <f t="shared" si="5"/>
        <v>0.54920922592783872</v>
      </c>
      <c r="AC35" s="22" t="e">
        <f t="shared" si="5"/>
        <v>#DIV/0!</v>
      </c>
      <c r="AD35" s="22" t="e">
        <f t="shared" si="5"/>
        <v>#DIV/0!</v>
      </c>
      <c r="AE35" s="22">
        <f t="shared" si="5"/>
        <v>0.66658547976883353</v>
      </c>
      <c r="AF35" s="22">
        <f t="shared" si="5"/>
        <v>0.65530369805888233</v>
      </c>
      <c r="AG35" s="22">
        <f t="shared" si="5"/>
        <v>0.44074084581932327</v>
      </c>
      <c r="AH35" s="22">
        <f t="shared" si="5"/>
        <v>0.56357040639884715</v>
      </c>
      <c r="AI35" s="22">
        <f t="shared" si="5"/>
        <v>0.99462967680711745</v>
      </c>
      <c r="AJ35" s="22">
        <f t="shared" si="5"/>
        <v>0.63767929769659593</v>
      </c>
      <c r="AK35" s="22">
        <f t="shared" si="5"/>
        <v>0.58835692508340687</v>
      </c>
      <c r="AL35" s="22">
        <f t="shared" si="5"/>
        <v>0.43548796546873081</v>
      </c>
      <c r="AM35" s="22">
        <f t="shared" si="5"/>
        <v>0.87090377589512036</v>
      </c>
      <c r="AN35" s="22">
        <f t="shared" si="5"/>
        <v>0.3865133771402135</v>
      </c>
      <c r="AO35" s="22" t="e">
        <f t="shared" si="5"/>
        <v>#DIV/0!</v>
      </c>
      <c r="AP35" s="22">
        <f t="shared" si="5"/>
        <v>0.61806887161703494</v>
      </c>
      <c r="AQ35" s="22">
        <f t="shared" si="5"/>
        <v>0.69345317580073618</v>
      </c>
      <c r="AR35" s="22">
        <f t="shared" si="5"/>
        <v>0.68423915076117314</v>
      </c>
      <c r="AS35" s="22">
        <f t="shared" si="5"/>
        <v>0.35192606645283198</v>
      </c>
      <c r="AT35" s="22">
        <f t="shared" si="5"/>
        <v>0.81080610496905436</v>
      </c>
      <c r="AU35" s="22">
        <f t="shared" si="5"/>
        <v>0.54514420169700006</v>
      </c>
    </row>
    <row r="36" spans="1:48" x14ac:dyDescent="0.25">
      <c r="AV36" s="2"/>
    </row>
    <row r="37" spans="1:48" x14ac:dyDescent="0.25">
      <c r="D37" s="9"/>
      <c r="H37" s="9"/>
      <c r="I37" s="9"/>
      <c r="K37" s="9"/>
      <c r="P37" s="9"/>
    </row>
    <row r="38" spans="1:48" x14ac:dyDescent="0.25">
      <c r="D38" s="9"/>
      <c r="G38" s="9"/>
      <c r="H38" s="9"/>
      <c r="I38" s="9"/>
      <c r="K38" s="9"/>
      <c r="P38" s="9"/>
    </row>
    <row r="39" spans="1:48" x14ac:dyDescent="0.25">
      <c r="A39" s="11" t="s">
        <v>234</v>
      </c>
    </row>
    <row r="40" spans="1:48" x14ac:dyDescent="0.25">
      <c r="A40">
        <v>1</v>
      </c>
      <c r="B40" t="s">
        <v>235</v>
      </c>
      <c r="C40" s="31">
        <v>1</v>
      </c>
      <c r="D40" s="32">
        <v>1</v>
      </c>
      <c r="E40" s="32">
        <v>1</v>
      </c>
      <c r="F40" s="32">
        <v>1</v>
      </c>
      <c r="G40" s="32">
        <v>1</v>
      </c>
      <c r="H40" s="32">
        <v>1</v>
      </c>
      <c r="I40" s="32">
        <v>1</v>
      </c>
      <c r="J40" s="32">
        <v>1</v>
      </c>
      <c r="K40" s="32">
        <v>1</v>
      </c>
      <c r="L40" s="32">
        <v>1</v>
      </c>
      <c r="M40" s="32">
        <v>1</v>
      </c>
      <c r="N40" s="32">
        <v>1</v>
      </c>
      <c r="O40" s="32">
        <v>1</v>
      </c>
      <c r="P40" s="32">
        <v>1</v>
      </c>
      <c r="Q40" s="32">
        <v>1</v>
      </c>
      <c r="R40" s="32">
        <v>1</v>
      </c>
      <c r="S40" s="32">
        <v>1</v>
      </c>
      <c r="T40" s="32">
        <v>1</v>
      </c>
      <c r="U40" s="32">
        <v>1</v>
      </c>
      <c r="V40" s="32">
        <v>1</v>
      </c>
      <c r="W40" s="32">
        <v>1</v>
      </c>
      <c r="X40" s="32">
        <v>1</v>
      </c>
      <c r="Y40" s="33">
        <v>1</v>
      </c>
      <c r="Z40" s="33">
        <v>1</v>
      </c>
      <c r="AA40" s="33">
        <v>1</v>
      </c>
      <c r="AB40" s="33">
        <v>1</v>
      </c>
      <c r="AC40" s="33">
        <v>1</v>
      </c>
      <c r="AD40" s="33">
        <v>1</v>
      </c>
      <c r="AE40" s="33">
        <v>1</v>
      </c>
      <c r="AF40" s="33">
        <v>1</v>
      </c>
      <c r="AG40" s="33">
        <v>1</v>
      </c>
      <c r="AH40" s="33">
        <v>1</v>
      </c>
      <c r="AI40" s="33">
        <v>1</v>
      </c>
      <c r="AJ40" s="33">
        <v>1</v>
      </c>
      <c r="AK40" s="33">
        <v>1</v>
      </c>
      <c r="AL40" s="33">
        <v>1</v>
      </c>
      <c r="AM40" s="33">
        <v>1</v>
      </c>
      <c r="AN40" s="33">
        <v>1</v>
      </c>
      <c r="AO40" s="33">
        <v>1</v>
      </c>
      <c r="AP40" s="33">
        <v>1</v>
      </c>
      <c r="AQ40" s="33">
        <v>1</v>
      </c>
      <c r="AR40" s="33">
        <v>1</v>
      </c>
      <c r="AS40" s="33">
        <v>1</v>
      </c>
      <c r="AT40" s="33">
        <v>1</v>
      </c>
      <c r="AU40" s="33">
        <v>1</v>
      </c>
    </row>
    <row r="41" spans="1:48" x14ac:dyDescent="0.25">
      <c r="A41">
        <v>2</v>
      </c>
      <c r="B41" t="s">
        <v>236</v>
      </c>
      <c r="C41" s="34">
        <f>1/C9/C40</f>
        <v>1.1588380337102182</v>
      </c>
      <c r="D41" s="35">
        <f t="shared" ref="D41:V41" si="6">1/D9/D40</f>
        <v>1.2773083544866333</v>
      </c>
      <c r="E41" s="35">
        <f t="shared" si="6"/>
        <v>1.1285909647252135</v>
      </c>
      <c r="F41" s="35">
        <v>1</v>
      </c>
      <c r="G41" s="35">
        <v>1</v>
      </c>
      <c r="H41" s="35">
        <f t="shared" si="6"/>
        <v>0.79817602818747402</v>
      </c>
      <c r="I41" s="35">
        <f t="shared" si="6"/>
        <v>1.3391998409561605</v>
      </c>
      <c r="J41" s="35">
        <f t="shared" si="6"/>
        <v>1.4517643977943289</v>
      </c>
      <c r="K41" s="35">
        <f t="shared" si="6"/>
        <v>1.1431625698831553</v>
      </c>
      <c r="L41" s="35">
        <f t="shared" si="6"/>
        <v>1.3010358050267892</v>
      </c>
      <c r="M41" s="35">
        <f t="shared" si="6"/>
        <v>0.91341051202809775</v>
      </c>
      <c r="N41" s="35">
        <f t="shared" si="6"/>
        <v>1.3844227641811004</v>
      </c>
      <c r="O41" s="35">
        <f t="shared" si="6"/>
        <v>1.3436512684040784</v>
      </c>
      <c r="P41" s="35">
        <f t="shared" si="6"/>
        <v>1.5879727811398505</v>
      </c>
      <c r="Q41" s="35">
        <f t="shared" si="6"/>
        <v>1.4037667124512005</v>
      </c>
      <c r="R41" s="35">
        <f t="shared" si="6"/>
        <v>1</v>
      </c>
      <c r="S41" s="35">
        <f t="shared" si="6"/>
        <v>1</v>
      </c>
      <c r="T41" s="35">
        <f t="shared" si="6"/>
        <v>1</v>
      </c>
      <c r="U41" s="35">
        <f t="shared" si="6"/>
        <v>1</v>
      </c>
      <c r="V41" s="35">
        <f t="shared" si="6"/>
        <v>1</v>
      </c>
      <c r="W41" s="35">
        <v>1</v>
      </c>
      <c r="X41" s="35">
        <f t="shared" ref="X41:Y41" si="7">1/X9/X40</f>
        <v>1</v>
      </c>
      <c r="Y41" s="36">
        <f t="shared" si="7"/>
        <v>1</v>
      </c>
      <c r="Z41" s="36">
        <f t="shared" ref="Z41:AU41" si="8">1/Z9/Z40</f>
        <v>2.1226046857468592</v>
      </c>
      <c r="AA41" s="36">
        <f t="shared" si="8"/>
        <v>1.4158589086215818</v>
      </c>
      <c r="AB41" s="36">
        <f t="shared" si="8"/>
        <v>0.91656448078429675</v>
      </c>
      <c r="AC41" s="36">
        <f t="shared" si="8"/>
        <v>1.1759250406284956</v>
      </c>
      <c r="AD41" s="36">
        <f t="shared" si="8"/>
        <v>1.8077844870015731</v>
      </c>
      <c r="AE41" s="36">
        <f t="shared" si="8"/>
        <v>1.5101877744134751</v>
      </c>
      <c r="AF41" s="36">
        <f t="shared" si="8"/>
        <v>1.3184906036369213</v>
      </c>
      <c r="AG41" s="36">
        <f t="shared" si="8"/>
        <v>1.0389172056896672</v>
      </c>
      <c r="AH41" s="36">
        <f t="shared" si="8"/>
        <v>1.1421741913716821</v>
      </c>
      <c r="AI41" s="36">
        <f t="shared" si="8"/>
        <v>0.94183519748608346</v>
      </c>
      <c r="AJ41" s="36">
        <f t="shared" si="8"/>
        <v>1.2815402567416507</v>
      </c>
      <c r="AK41" s="36">
        <f t="shared" si="8"/>
        <v>1.5046467715101912</v>
      </c>
      <c r="AL41" s="36">
        <f t="shared" si="8"/>
        <v>1.1628368166592757</v>
      </c>
      <c r="AM41" s="36">
        <f t="shared" si="8"/>
        <v>1.558824234841484</v>
      </c>
      <c r="AN41" s="36">
        <f t="shared" si="8"/>
        <v>5.3072569327064478</v>
      </c>
      <c r="AO41" s="36">
        <f t="shared" si="8"/>
        <v>1.0050702106847278</v>
      </c>
      <c r="AP41" s="36">
        <f t="shared" si="8"/>
        <v>1.140304122414616</v>
      </c>
      <c r="AQ41" s="36">
        <f t="shared" si="8"/>
        <v>1.178071943503632</v>
      </c>
      <c r="AR41" s="36">
        <f t="shared" si="8"/>
        <v>1.0224144501599262</v>
      </c>
      <c r="AS41" s="36">
        <f t="shared" si="8"/>
        <v>0.77282961244978121</v>
      </c>
      <c r="AT41" s="36">
        <f t="shared" si="8"/>
        <v>2.4459754667766385</v>
      </c>
      <c r="AU41" s="36">
        <f t="shared" si="8"/>
        <v>1.5900288263108873</v>
      </c>
    </row>
    <row r="42" spans="1:48" x14ac:dyDescent="0.25">
      <c r="A42">
        <v>3</v>
      </c>
      <c r="B42" t="s">
        <v>237</v>
      </c>
      <c r="C42" s="34">
        <f>1/C22</f>
        <v>2.6880768022265533</v>
      </c>
      <c r="D42" s="35">
        <f t="shared" ref="D42:Y42" si="9">1/D22</f>
        <v>0.81931164136553536</v>
      </c>
      <c r="E42" s="35">
        <f t="shared" si="9"/>
        <v>0.96563742980573952</v>
      </c>
      <c r="F42" s="35">
        <v>1</v>
      </c>
      <c r="G42" s="19">
        <f t="shared" si="9"/>
        <v>0.80858223774840365</v>
      </c>
      <c r="H42" s="19">
        <f t="shared" si="9"/>
        <v>1.1025616547058894</v>
      </c>
      <c r="I42" s="35">
        <f t="shared" si="9"/>
        <v>1.9594492589227246</v>
      </c>
      <c r="J42" s="35">
        <f t="shared" si="9"/>
        <v>1.0618059642632975</v>
      </c>
      <c r="K42" s="35">
        <f t="shared" si="9"/>
        <v>0.76463965719046856</v>
      </c>
      <c r="L42" s="35">
        <f t="shared" si="9"/>
        <v>1.1606897116915862</v>
      </c>
      <c r="M42" s="35">
        <f t="shared" si="9"/>
        <v>1.3884281995662244</v>
      </c>
      <c r="N42" s="35">
        <f t="shared" si="9"/>
        <v>0.77234647674480272</v>
      </c>
      <c r="O42" s="35">
        <f t="shared" si="9"/>
        <v>0.70863478327304441</v>
      </c>
      <c r="P42" s="35">
        <f t="shared" si="9"/>
        <v>0.80636751563611864</v>
      </c>
      <c r="Q42" s="35">
        <f t="shared" si="9"/>
        <v>0.95881112997917128</v>
      </c>
      <c r="R42" s="35">
        <f t="shared" si="9"/>
        <v>0.78958311543211557</v>
      </c>
      <c r="S42" s="35">
        <f t="shared" si="9"/>
        <v>0.8098445995556246</v>
      </c>
      <c r="T42" s="35">
        <f t="shared" si="9"/>
        <v>0.31764355510216358</v>
      </c>
      <c r="U42" s="35">
        <v>1</v>
      </c>
      <c r="V42" s="35">
        <f t="shared" si="9"/>
        <v>0.58353848306557043</v>
      </c>
      <c r="W42" s="35">
        <v>1</v>
      </c>
      <c r="X42" s="35">
        <f t="shared" si="9"/>
        <v>0.28846069306155414</v>
      </c>
      <c r="Y42" s="36">
        <f t="shared" si="9"/>
        <v>0.95728465457140066</v>
      </c>
      <c r="Z42" s="36">
        <f t="shared" ref="Z42:AU42" si="10">1/Z22</f>
        <v>0.85546088244030472</v>
      </c>
      <c r="AA42" s="36">
        <f t="shared" si="10"/>
        <v>0.9039883823578555</v>
      </c>
      <c r="AB42" s="36">
        <f t="shared" si="10"/>
        <v>1.1135498352313056</v>
      </c>
      <c r="AC42" s="36">
        <f t="shared" si="10"/>
        <v>3.6508946803221107</v>
      </c>
      <c r="AD42" s="36">
        <f t="shared" si="10"/>
        <v>0.94732716513854331</v>
      </c>
      <c r="AE42" s="36">
        <f t="shared" si="10"/>
        <v>1.1527050706011475</v>
      </c>
      <c r="AF42" s="36">
        <f t="shared" si="10"/>
        <v>0.77464012973805929</v>
      </c>
      <c r="AG42" s="36">
        <f t="shared" si="10"/>
        <v>0.8595217436508138</v>
      </c>
      <c r="AH42" s="36">
        <f t="shared" si="10"/>
        <v>0.96992990911994981</v>
      </c>
      <c r="AI42" s="36">
        <f t="shared" si="10"/>
        <v>0.57103966650832227</v>
      </c>
      <c r="AJ42" s="36">
        <f t="shared" si="10"/>
        <v>1.2243258166565973</v>
      </c>
      <c r="AK42" s="36">
        <f t="shared" si="10"/>
        <v>0.77548737216807584</v>
      </c>
      <c r="AL42" s="36">
        <f t="shared" si="10"/>
        <v>0.81874630786145186</v>
      </c>
      <c r="AM42" s="36">
        <f t="shared" si="10"/>
        <v>0.84651187521666516</v>
      </c>
      <c r="AN42" s="36">
        <f t="shared" si="10"/>
        <v>0.9179481781806017</v>
      </c>
      <c r="AO42" s="36">
        <f t="shared" si="10"/>
        <v>0.41514740731507677</v>
      </c>
      <c r="AP42" s="36">
        <f t="shared" si="10"/>
        <v>0.79218304773289761</v>
      </c>
      <c r="AQ42" s="36">
        <f t="shared" si="10"/>
        <v>0.42623352057477959</v>
      </c>
      <c r="AR42" s="36">
        <f t="shared" si="10"/>
        <v>1.3737575393300214</v>
      </c>
      <c r="AS42" s="36">
        <f t="shared" si="10"/>
        <v>1.1156694364622139</v>
      </c>
      <c r="AT42" s="36">
        <f t="shared" si="10"/>
        <v>1.0916030309362585</v>
      </c>
      <c r="AU42" s="36">
        <f t="shared" si="10"/>
        <v>0.79004628161016754</v>
      </c>
    </row>
    <row r="43" spans="1:48" x14ac:dyDescent="0.25">
      <c r="A43">
        <v>4</v>
      </c>
      <c r="B43" t="s">
        <v>237</v>
      </c>
      <c r="C43" s="37">
        <f>1/C35</f>
        <v>0.78564354571324269</v>
      </c>
      <c r="D43" s="38">
        <f t="shared" ref="D43:P43" si="11">1/D35</f>
        <v>1.1365046464169006</v>
      </c>
      <c r="E43" s="38">
        <f t="shared" si="11"/>
        <v>1.5573364071907365</v>
      </c>
      <c r="F43" s="38">
        <v>1</v>
      </c>
      <c r="G43" s="38">
        <f t="shared" si="11"/>
        <v>4.3042271443353748</v>
      </c>
      <c r="H43" s="38">
        <f t="shared" si="11"/>
        <v>4.7413277999282979</v>
      </c>
      <c r="I43" s="38">
        <f t="shared" si="11"/>
        <v>0.69174239814246141</v>
      </c>
      <c r="J43" s="38">
        <f t="shared" si="11"/>
        <v>1.5781633489180822</v>
      </c>
      <c r="K43" s="38">
        <f t="shared" si="11"/>
        <v>1.7386042867071037</v>
      </c>
      <c r="L43" s="38">
        <f t="shared" si="11"/>
        <v>2.3704046893780699</v>
      </c>
      <c r="M43" s="38">
        <f t="shared" si="11"/>
        <v>1.4013521662809441</v>
      </c>
      <c r="N43" s="38">
        <f t="shared" si="11"/>
        <v>1.2182673822367327</v>
      </c>
      <c r="O43" s="38">
        <f t="shared" si="11"/>
        <v>1.4468020817173366</v>
      </c>
      <c r="P43" s="38">
        <f t="shared" si="11"/>
        <v>1.5543026950968972</v>
      </c>
      <c r="Q43" s="38">
        <f>1/Q35</f>
        <v>1.0990689530907829</v>
      </c>
      <c r="R43" s="38">
        <f t="shared" ref="R43:W43" si="12">1/R35</f>
        <v>0.91636269471447385</v>
      </c>
      <c r="S43" s="38">
        <f t="shared" si="12"/>
        <v>2.1744811034940539</v>
      </c>
      <c r="T43" s="38">
        <f t="shared" si="12"/>
        <v>16.928534139057536</v>
      </c>
      <c r="U43" s="38">
        <f t="shared" si="12"/>
        <v>4.200833707926698</v>
      </c>
      <c r="V43" s="38">
        <f t="shared" si="12"/>
        <v>1.1320905056494304</v>
      </c>
      <c r="W43" s="38">
        <f t="shared" si="12"/>
        <v>4.3042271443353748</v>
      </c>
      <c r="X43" s="38">
        <f t="shared" ref="X43:Y43" si="13">1/X35</f>
        <v>2.834293148607665</v>
      </c>
      <c r="Y43" s="39">
        <f t="shared" si="13"/>
        <v>28.854574906387199</v>
      </c>
      <c r="Z43" s="39">
        <f t="shared" ref="Z43:AU43" si="14">1/Z35</f>
        <v>1.2785234440557212</v>
      </c>
      <c r="AA43" s="39">
        <f t="shared" si="14"/>
        <v>1.7280009688640543</v>
      </c>
      <c r="AB43" s="39">
        <f t="shared" si="14"/>
        <v>1.8207997112768664</v>
      </c>
      <c r="AC43" s="39" t="e">
        <f t="shared" si="14"/>
        <v>#DIV/0!</v>
      </c>
      <c r="AD43" s="39" t="e">
        <f t="shared" si="14"/>
        <v>#DIV/0!</v>
      </c>
      <c r="AE43" s="39">
        <f t="shared" si="14"/>
        <v>1.5001826927685133</v>
      </c>
      <c r="AF43" s="39">
        <f t="shared" si="14"/>
        <v>1.5260100056846391</v>
      </c>
      <c r="AG43" s="39">
        <f t="shared" si="14"/>
        <v>2.2689070220869403</v>
      </c>
      <c r="AH43" s="39">
        <f t="shared" si="14"/>
        <v>1.774401190420714</v>
      </c>
      <c r="AI43" s="39">
        <f t="shared" si="14"/>
        <v>1.0053993192824509</v>
      </c>
      <c r="AJ43" s="39">
        <f t="shared" si="14"/>
        <v>1.5681863965353227</v>
      </c>
      <c r="AK43" s="39">
        <f t="shared" si="14"/>
        <v>1.6996485591773014</v>
      </c>
      <c r="AL43" s="39">
        <f t="shared" si="14"/>
        <v>2.2962747062910576</v>
      </c>
      <c r="AM43" s="39">
        <f t="shared" si="14"/>
        <v>1.1482324772012771</v>
      </c>
      <c r="AN43" s="39">
        <f t="shared" si="14"/>
        <v>2.5872325749730392</v>
      </c>
      <c r="AO43" s="39" t="e">
        <f t="shared" si="14"/>
        <v>#DIV/0!</v>
      </c>
      <c r="AP43" s="39">
        <f t="shared" si="14"/>
        <v>1.6179426693723147</v>
      </c>
      <c r="AQ43" s="39">
        <f t="shared" si="14"/>
        <v>1.442058432922009</v>
      </c>
      <c r="AR43" s="39">
        <f t="shared" si="14"/>
        <v>1.461477319571034</v>
      </c>
      <c r="AS43" s="39">
        <f t="shared" si="14"/>
        <v>2.8415059165105299</v>
      </c>
      <c r="AT43" s="39">
        <f t="shared" si="14"/>
        <v>1.2333404914830612</v>
      </c>
      <c r="AU43" s="39">
        <f t="shared" si="14"/>
        <v>1.8343770270087476</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37"/>
  <sheetViews>
    <sheetView zoomScale="70" zoomScaleNormal="70" workbookViewId="0">
      <selection activeCell="J3" sqref="J3"/>
    </sheetView>
  </sheetViews>
  <sheetFormatPr defaultColWidth="11.42578125" defaultRowHeight="15" x14ac:dyDescent="0.25"/>
  <cols>
    <col min="1" max="1" width="13.140625" customWidth="1"/>
    <col min="3" max="3" width="15" customWidth="1"/>
    <col min="16" max="16" width="15.85546875" customWidth="1"/>
    <col min="17" max="17" width="14.28515625" customWidth="1"/>
  </cols>
  <sheetData>
    <row r="1" spans="1:25" x14ac:dyDescent="0.25">
      <c r="A1" s="11" t="s">
        <v>111</v>
      </c>
    </row>
    <row r="2" spans="1:25" x14ac:dyDescent="0.25">
      <c r="C2" s="1" t="s">
        <v>173</v>
      </c>
      <c r="D2" s="1" t="s">
        <v>174</v>
      </c>
      <c r="E2" s="1" t="s">
        <v>15</v>
      </c>
      <c r="F2" s="1" t="s">
        <v>106</v>
      </c>
      <c r="G2" s="1" t="s">
        <v>107</v>
      </c>
      <c r="H2" s="1" t="s">
        <v>108</v>
      </c>
      <c r="I2" s="1" t="s">
        <v>109</v>
      </c>
      <c r="J2" s="1" t="s">
        <v>6</v>
      </c>
      <c r="K2" s="1" t="s">
        <v>7</v>
      </c>
      <c r="L2" s="1" t="s">
        <v>8</v>
      </c>
      <c r="M2" s="1" t="s">
        <v>9</v>
      </c>
      <c r="N2" s="1" t="s">
        <v>10</v>
      </c>
      <c r="O2" s="1" t="s">
        <v>110</v>
      </c>
      <c r="P2" s="1" t="s">
        <v>12</v>
      </c>
      <c r="Q2" s="1" t="s">
        <v>14</v>
      </c>
      <c r="R2" s="1" t="s">
        <v>313</v>
      </c>
      <c r="S2" s="1" t="s">
        <v>314</v>
      </c>
      <c r="T2" s="1" t="s">
        <v>315</v>
      </c>
      <c r="U2" s="1" t="s">
        <v>316</v>
      </c>
      <c r="V2" s="1" t="s">
        <v>317</v>
      </c>
      <c r="W2" s="1" t="s">
        <v>318</v>
      </c>
      <c r="X2" s="1" t="s">
        <v>324</v>
      </c>
      <c r="Y2" s="1" t="s">
        <v>325</v>
      </c>
    </row>
    <row r="3" spans="1:25" x14ac:dyDescent="0.25">
      <c r="A3" t="s">
        <v>112</v>
      </c>
      <c r="B3" s="1">
        <v>2015</v>
      </c>
      <c r="C3" s="12">
        <v>1062040</v>
      </c>
      <c r="D3" s="13">
        <v>5888600</v>
      </c>
      <c r="E3" s="13">
        <v>339040</v>
      </c>
      <c r="F3" s="13"/>
      <c r="G3" s="13">
        <v>408984</v>
      </c>
      <c r="H3" s="13">
        <v>1519070</v>
      </c>
      <c r="I3" s="13">
        <v>15963400</v>
      </c>
      <c r="J3" s="13">
        <v>1209380</v>
      </c>
      <c r="K3" s="13">
        <v>1685830</v>
      </c>
      <c r="L3" s="13">
        <v>979378</v>
      </c>
      <c r="M3" s="13">
        <v>535830</v>
      </c>
      <c r="N3" s="13">
        <v>820013</v>
      </c>
      <c r="O3" s="13">
        <v>1145730</v>
      </c>
      <c r="P3" s="13">
        <v>1711660</v>
      </c>
      <c r="Q3" s="13">
        <v>475101</v>
      </c>
      <c r="R3" s="13">
        <v>2141960</v>
      </c>
      <c r="S3" s="13">
        <v>1373370</v>
      </c>
      <c r="T3" s="13">
        <v>1295540</v>
      </c>
      <c r="U3" s="13">
        <v>1585840</v>
      </c>
      <c r="V3" s="13">
        <v>1533740</v>
      </c>
      <c r="W3" s="13">
        <v>0</v>
      </c>
      <c r="X3" s="13">
        <v>1585840</v>
      </c>
      <c r="Y3" s="14">
        <v>1585840</v>
      </c>
    </row>
    <row r="4" spans="1:25" x14ac:dyDescent="0.25">
      <c r="A4" t="s">
        <v>112</v>
      </c>
      <c r="B4" s="1">
        <v>2016</v>
      </c>
      <c r="C4" s="15">
        <v>1058190</v>
      </c>
      <c r="D4" s="16">
        <v>6425580</v>
      </c>
      <c r="E4" s="16">
        <v>340321</v>
      </c>
      <c r="F4" s="16"/>
      <c r="G4" s="16">
        <v>650316</v>
      </c>
      <c r="H4" s="16">
        <v>1479310</v>
      </c>
      <c r="I4" s="16">
        <v>15629100</v>
      </c>
      <c r="J4" s="16">
        <v>1186960</v>
      </c>
      <c r="K4" s="16">
        <v>1656180</v>
      </c>
      <c r="L4" s="16">
        <v>976711</v>
      </c>
      <c r="M4" s="16">
        <v>534922</v>
      </c>
      <c r="N4" s="16">
        <v>791919</v>
      </c>
      <c r="O4" s="16">
        <v>1127220</v>
      </c>
      <c r="P4" s="16">
        <v>1671560</v>
      </c>
      <c r="Q4" s="16">
        <v>462715</v>
      </c>
      <c r="R4" s="46">
        <v>2314630</v>
      </c>
      <c r="S4" s="46">
        <v>1550140</v>
      </c>
      <c r="T4" s="46">
        <v>1530020</v>
      </c>
      <c r="U4" s="46">
        <v>2080440</v>
      </c>
      <c r="V4" s="46">
        <v>1768750</v>
      </c>
      <c r="W4" s="16">
        <v>0</v>
      </c>
      <c r="X4" s="46">
        <v>2080440</v>
      </c>
      <c r="Y4" s="49">
        <v>2080440</v>
      </c>
    </row>
    <row r="5" spans="1:25" x14ac:dyDescent="0.25">
      <c r="C5" s="9"/>
      <c r="D5" s="9"/>
      <c r="E5" s="9"/>
      <c r="F5" s="9"/>
      <c r="G5" s="9"/>
      <c r="H5" s="9"/>
      <c r="I5" s="9"/>
      <c r="J5" s="9"/>
      <c r="K5" s="9"/>
      <c r="L5" s="9"/>
      <c r="M5" s="9"/>
      <c r="N5" s="9"/>
      <c r="O5" s="9"/>
      <c r="P5" s="9"/>
      <c r="Q5" s="9"/>
      <c r="R5" s="9"/>
      <c r="S5" s="9"/>
      <c r="T5" s="9"/>
      <c r="U5" s="9"/>
      <c r="V5" s="9"/>
      <c r="W5" s="9"/>
      <c r="X5" s="9"/>
      <c r="Y5" s="9"/>
    </row>
    <row r="6" spans="1:25" x14ac:dyDescent="0.25">
      <c r="A6" t="s">
        <v>113</v>
      </c>
      <c r="B6" s="1">
        <v>2016</v>
      </c>
      <c r="C6" s="9">
        <f>'ancillary data passenger cars'!K9</f>
        <v>1074700</v>
      </c>
      <c r="D6" s="9">
        <f>'ancillary data passenger cars'!K7</f>
        <v>6126769.6482460499</v>
      </c>
      <c r="E6" s="9">
        <f>'ancillary data passenger cars'!K45</f>
        <v>339486.83844794554</v>
      </c>
      <c r="F6" s="9"/>
      <c r="G6" s="9">
        <f>'ancillary data passenger cars'!K8</f>
        <v>1609852.7597374299</v>
      </c>
      <c r="H6" s="9">
        <f>'ancillary data passenger cars'!K10</f>
        <v>1515109.9493293595</v>
      </c>
      <c r="I6" s="9">
        <f>'ancillary data passenger cars'!K6</f>
        <v>16318549.6053</v>
      </c>
      <c r="J6" s="9">
        <f>'ancillary data passenger cars'!K13</f>
        <v>1245215.9587523954</v>
      </c>
      <c r="K6" s="9">
        <f>'ancillary data passenger cars'!K14</f>
        <v>1699413.1668400415</v>
      </c>
      <c r="L6" s="9">
        <f>'ancillary data passenger cars'!K15</f>
        <v>990954.05495422636</v>
      </c>
      <c r="M6" s="9">
        <f>'ancillary data passenger cars'!K16</f>
        <v>535008.17000425817</v>
      </c>
      <c r="N6" s="9">
        <f>'ancillary data passenger cars'!K17</f>
        <v>831596.95492654911</v>
      </c>
      <c r="O6" s="9">
        <f>'ancillary data passenger cars'!K18</f>
        <v>1174180.1490249098</v>
      </c>
      <c r="P6" s="9">
        <f>'ancillary data passenger cars'!K30</f>
        <v>1753228.7173578884</v>
      </c>
      <c r="Q6" s="9">
        <f>'ancillary data passenger cars'!K39</f>
        <v>479484.20023419207</v>
      </c>
      <c r="R6" s="9">
        <f>R3</f>
        <v>2141960</v>
      </c>
      <c r="S6" s="9">
        <f t="shared" ref="S6:W6" si="0">S3</f>
        <v>1373370</v>
      </c>
      <c r="T6" s="9">
        <f t="shared" si="0"/>
        <v>1295540</v>
      </c>
      <c r="U6" s="9">
        <f t="shared" si="0"/>
        <v>1585840</v>
      </c>
      <c r="V6" s="9">
        <f t="shared" si="0"/>
        <v>1533740</v>
      </c>
      <c r="W6" s="9">
        <f t="shared" si="0"/>
        <v>0</v>
      </c>
      <c r="X6" s="9">
        <f t="shared" ref="X6:Y6" si="1">X3</f>
        <v>1585840</v>
      </c>
      <c r="Y6" s="9">
        <f t="shared" si="1"/>
        <v>1585840</v>
      </c>
    </row>
    <row r="7" spans="1:25" x14ac:dyDescent="0.25">
      <c r="D7" s="10" t="s">
        <v>114</v>
      </c>
      <c r="G7" s="10" t="s">
        <v>114</v>
      </c>
    </row>
    <row r="9" spans="1:25" x14ac:dyDescent="0.25">
      <c r="B9" t="s">
        <v>115</v>
      </c>
      <c r="C9" s="21">
        <f>C3/C6</f>
        <v>0.9882199683632642</v>
      </c>
      <c r="D9" s="21">
        <f t="shared" ref="D9:W9" si="2">D3/D6</f>
        <v>0.96112639091723773</v>
      </c>
      <c r="E9" s="21">
        <f t="shared" si="2"/>
        <v>0.99868378270572022</v>
      </c>
      <c r="F9" t="s">
        <v>157</v>
      </c>
      <c r="G9" s="21">
        <f t="shared" si="2"/>
        <v>0.25405056302584222</v>
      </c>
      <c r="H9" s="21">
        <f t="shared" si="2"/>
        <v>1.0026137051455528</v>
      </c>
      <c r="I9" s="21">
        <f t="shared" si="2"/>
        <v>0.97823644785289909</v>
      </c>
      <c r="J9" s="21">
        <f t="shared" si="2"/>
        <v>0.97122108940179341</v>
      </c>
      <c r="K9" s="21">
        <f t="shared" si="2"/>
        <v>0.99200714275663837</v>
      </c>
      <c r="L9" s="21">
        <f t="shared" si="2"/>
        <v>0.98831827278333195</v>
      </c>
      <c r="M9" s="21">
        <f t="shared" si="2"/>
        <v>1.0015361073752114</v>
      </c>
      <c r="N9" s="21">
        <f t="shared" si="2"/>
        <v>0.98607022926440102</v>
      </c>
      <c r="O9" s="21">
        <f t="shared" si="2"/>
        <v>0.97577020097935052</v>
      </c>
      <c r="P9" s="21">
        <f t="shared" si="2"/>
        <v>0.97629019137871964</v>
      </c>
      <c r="Q9" s="21">
        <f t="shared" si="2"/>
        <v>0.99085850955662103</v>
      </c>
      <c r="R9" s="47">
        <f t="shared" si="2"/>
        <v>1</v>
      </c>
      <c r="S9" s="47">
        <f t="shared" si="2"/>
        <v>1</v>
      </c>
      <c r="T9" s="47">
        <f t="shared" si="2"/>
        <v>1</v>
      </c>
      <c r="U9" s="47">
        <f t="shared" si="2"/>
        <v>1</v>
      </c>
      <c r="V9" s="47">
        <f t="shared" si="2"/>
        <v>1</v>
      </c>
      <c r="W9" s="48" t="e">
        <f t="shared" si="2"/>
        <v>#DIV/0!</v>
      </c>
      <c r="X9" s="47">
        <f t="shared" ref="X9:Y9" si="3">X3/X6</f>
        <v>1</v>
      </c>
      <c r="Y9" s="47">
        <f t="shared" si="3"/>
        <v>1</v>
      </c>
    </row>
    <row r="10" spans="1:25" x14ac:dyDescent="0.25">
      <c r="B10" t="s">
        <v>154</v>
      </c>
      <c r="G10" t="s">
        <v>152</v>
      </c>
    </row>
    <row r="11" spans="1:25" x14ac:dyDescent="0.25">
      <c r="B11" t="s">
        <v>155</v>
      </c>
      <c r="G11" t="s">
        <v>153</v>
      </c>
    </row>
    <row r="14" spans="1:25" x14ac:dyDescent="0.25">
      <c r="A14" s="11" t="s">
        <v>294</v>
      </c>
    </row>
    <row r="15" spans="1:25" x14ac:dyDescent="0.25">
      <c r="C15" s="1" t="s">
        <v>1</v>
      </c>
      <c r="D15" s="1" t="s">
        <v>2</v>
      </c>
      <c r="E15" s="1" t="s">
        <v>15</v>
      </c>
      <c r="F15" s="1" t="s">
        <v>106</v>
      </c>
      <c r="G15" s="1" t="s">
        <v>107</v>
      </c>
      <c r="H15" s="1" t="s">
        <v>108</v>
      </c>
      <c r="I15" s="1" t="s">
        <v>109</v>
      </c>
      <c r="J15" s="1" t="s">
        <v>6</v>
      </c>
      <c r="K15" s="1" t="s">
        <v>7</v>
      </c>
      <c r="L15" s="1" t="s">
        <v>8</v>
      </c>
      <c r="M15" s="1" t="s">
        <v>9</v>
      </c>
      <c r="N15" s="1" t="s">
        <v>10</v>
      </c>
      <c r="O15" s="1" t="s">
        <v>110</v>
      </c>
      <c r="P15" s="1" t="s">
        <v>12</v>
      </c>
      <c r="Q15" s="1" t="s">
        <v>14</v>
      </c>
      <c r="R15" s="1" t="s">
        <v>313</v>
      </c>
      <c r="S15" s="1" t="s">
        <v>314</v>
      </c>
      <c r="T15" s="1" t="s">
        <v>315</v>
      </c>
      <c r="U15" s="1" t="s">
        <v>316</v>
      </c>
      <c r="V15" s="1" t="s">
        <v>317</v>
      </c>
      <c r="W15" s="1" t="s">
        <v>318</v>
      </c>
      <c r="X15" s="1" t="s">
        <v>324</v>
      </c>
      <c r="Y15" s="1" t="s">
        <v>325</v>
      </c>
    </row>
    <row r="16" spans="1:25" x14ac:dyDescent="0.25">
      <c r="A16" t="s">
        <v>112</v>
      </c>
      <c r="B16" s="1">
        <v>2015</v>
      </c>
      <c r="C16" s="12"/>
      <c r="D16" s="13"/>
      <c r="E16" s="13"/>
      <c r="F16" s="13"/>
      <c r="G16" s="13"/>
      <c r="H16" s="13"/>
      <c r="I16" s="13"/>
      <c r="J16" s="13"/>
      <c r="K16" s="13"/>
      <c r="L16" s="13"/>
      <c r="M16" s="13"/>
      <c r="N16" s="13"/>
      <c r="O16" s="13"/>
      <c r="P16" s="13"/>
      <c r="Q16" s="13"/>
      <c r="R16" s="13"/>
      <c r="S16" s="13"/>
      <c r="T16" s="13"/>
      <c r="U16" s="13"/>
      <c r="V16" s="13"/>
      <c r="W16" s="13"/>
      <c r="X16" s="13"/>
      <c r="Y16" s="14"/>
    </row>
    <row r="17" spans="1:25" x14ac:dyDescent="0.25">
      <c r="A17" t="s">
        <v>112</v>
      </c>
      <c r="B17" s="1">
        <v>2016</v>
      </c>
      <c r="C17" s="15"/>
      <c r="D17" s="16"/>
      <c r="E17" s="16"/>
      <c r="F17" s="16"/>
      <c r="G17" s="16"/>
      <c r="H17" s="16"/>
      <c r="I17" s="16"/>
      <c r="J17" s="16"/>
      <c r="K17" s="16"/>
      <c r="L17" s="16"/>
      <c r="M17" s="16"/>
      <c r="N17" s="16"/>
      <c r="O17" s="16"/>
      <c r="P17" s="16"/>
      <c r="Q17" s="16"/>
      <c r="R17" s="16"/>
      <c r="S17" s="16"/>
      <c r="T17" s="16"/>
      <c r="U17" s="16"/>
      <c r="V17" s="16"/>
      <c r="W17" s="16"/>
      <c r="X17" s="16"/>
      <c r="Y17" s="17"/>
    </row>
    <row r="18" spans="1:25" x14ac:dyDescent="0.25">
      <c r="C18" s="9"/>
      <c r="D18" s="9"/>
      <c r="E18" s="9"/>
      <c r="F18" s="9"/>
      <c r="G18" s="9"/>
      <c r="H18" s="9"/>
      <c r="I18" s="9"/>
      <c r="J18" s="9"/>
      <c r="K18" s="9"/>
      <c r="L18" s="9"/>
      <c r="M18" s="9"/>
      <c r="N18" s="9"/>
      <c r="O18" s="9"/>
      <c r="P18" s="9"/>
      <c r="Q18" s="9"/>
      <c r="R18" s="9"/>
      <c r="S18" s="9"/>
      <c r="T18" s="9"/>
      <c r="U18" s="9"/>
      <c r="V18" s="9"/>
      <c r="W18" s="9"/>
      <c r="X18" s="9"/>
      <c r="Y18" s="9"/>
    </row>
    <row r="19" spans="1:25" x14ac:dyDescent="0.25">
      <c r="A19" t="s">
        <v>113</v>
      </c>
      <c r="B19" s="1">
        <v>2016</v>
      </c>
      <c r="C19" s="9">
        <f>'ancillary data resbuildings'!K36</f>
        <v>1068072.1539999999</v>
      </c>
      <c r="D19" s="9">
        <f>'ancillary data resbuildings'!K33</f>
        <v>9524970</v>
      </c>
      <c r="E19" s="9">
        <f>'ancillary data resbuildings'!K46</f>
        <v>407808.55512000003</v>
      </c>
      <c r="F19" s="9"/>
      <c r="G19" s="9">
        <f>'ancillary data resbuildings'!K34</f>
        <v>894300.48</v>
      </c>
      <c r="H19" s="9">
        <f>'ancillary data resbuildings'!K37</f>
        <v>1018732.1760000001</v>
      </c>
      <c r="I19" s="9">
        <f>'ancillary data resbuildings'!K35</f>
        <v>8263519.5999999987</v>
      </c>
      <c r="J19" s="9">
        <f>'ancillary data resbuildings'!K38</f>
        <v>1290821.506056</v>
      </c>
      <c r="K19" s="9">
        <f>'ancillary data resbuildings'!K39</f>
        <v>1980474.6352320001</v>
      </c>
      <c r="L19" s="9">
        <f>'ancillary data resbuildings'!K40</f>
        <v>1075322.2208400001</v>
      </c>
      <c r="M19" s="9">
        <f>'ancillary data resbuildings'!K41</f>
        <v>679602.79951200006</v>
      </c>
      <c r="N19" s="9">
        <f>'ancillary data resbuildings'!K42</f>
        <v>397944.99860400002</v>
      </c>
      <c r="O19" s="9">
        <f>'ancillary data resbuildings'!K43</f>
        <v>1269816.1629840001</v>
      </c>
      <c r="P19" s="9">
        <f>'ancillary data resbuildings'!K44</f>
        <v>1717409.2408200002</v>
      </c>
      <c r="Q19" s="9">
        <f>'ancillary data resbuildings'!K45</f>
        <v>587980.58490000013</v>
      </c>
      <c r="R19" s="9"/>
      <c r="S19" s="9"/>
      <c r="T19" s="9"/>
      <c r="U19" s="9"/>
      <c r="V19" s="9"/>
      <c r="W19" s="9"/>
      <c r="X19" s="9"/>
      <c r="Y19" s="9"/>
    </row>
    <row r="20" spans="1:25" x14ac:dyDescent="0.25">
      <c r="D20" s="10" t="s">
        <v>114</v>
      </c>
      <c r="G20" s="10" t="s">
        <v>114</v>
      </c>
    </row>
    <row r="22" spans="1:25" x14ac:dyDescent="0.25">
      <c r="B22" t="s">
        <v>115</v>
      </c>
      <c r="C22" s="21">
        <f>C16/C19</f>
        <v>0</v>
      </c>
      <c r="D22" s="21">
        <f t="shared" ref="D22:Q22" si="4">D16/D19</f>
        <v>0</v>
      </c>
      <c r="E22" s="21">
        <f t="shared" si="4"/>
        <v>0</v>
      </c>
      <c r="F22" t="s">
        <v>157</v>
      </c>
      <c r="G22" s="21">
        <f t="shared" si="4"/>
        <v>0</v>
      </c>
      <c r="H22" s="21">
        <f t="shared" si="4"/>
        <v>0</v>
      </c>
      <c r="I22" s="21">
        <f t="shared" si="4"/>
        <v>0</v>
      </c>
      <c r="J22" s="21">
        <f t="shared" si="4"/>
        <v>0</v>
      </c>
      <c r="K22" s="21">
        <f t="shared" si="4"/>
        <v>0</v>
      </c>
      <c r="L22" s="21">
        <f t="shared" si="4"/>
        <v>0</v>
      </c>
      <c r="M22" s="21">
        <f t="shared" si="4"/>
        <v>0</v>
      </c>
      <c r="N22" s="21">
        <f t="shared" si="4"/>
        <v>0</v>
      </c>
      <c r="O22" s="21">
        <f t="shared" si="4"/>
        <v>0</v>
      </c>
      <c r="P22" s="21">
        <f t="shared" si="4"/>
        <v>0</v>
      </c>
      <c r="Q22" s="21">
        <f t="shared" si="4"/>
        <v>0</v>
      </c>
      <c r="R22" s="21"/>
      <c r="S22" s="21"/>
      <c r="T22" s="21"/>
      <c r="U22" s="21"/>
      <c r="V22" s="21"/>
      <c r="W22" s="21"/>
      <c r="X22" s="21"/>
      <c r="Y22" s="21"/>
    </row>
    <row r="23" spans="1:25" x14ac:dyDescent="0.25">
      <c r="C23" t="s">
        <v>164</v>
      </c>
      <c r="D23" t="s">
        <v>164</v>
      </c>
      <c r="E23" t="s">
        <v>165</v>
      </c>
      <c r="G23" t="s">
        <v>152</v>
      </c>
      <c r="H23" t="s">
        <v>165</v>
      </c>
      <c r="I23" t="s">
        <v>165</v>
      </c>
      <c r="J23" t="s">
        <v>164</v>
      </c>
      <c r="K23" t="s">
        <v>165</v>
      </c>
      <c r="L23" t="s">
        <v>164</v>
      </c>
      <c r="M23" t="s">
        <v>164</v>
      </c>
      <c r="N23" t="s">
        <v>165</v>
      </c>
      <c r="O23" t="s">
        <v>165</v>
      </c>
      <c r="P23" t="s">
        <v>165</v>
      </c>
      <c r="Q23" t="s">
        <v>165</v>
      </c>
    </row>
    <row r="24" spans="1:25" x14ac:dyDescent="0.25">
      <c r="D24" s="9"/>
      <c r="G24" t="s">
        <v>160</v>
      </c>
      <c r="H24" s="9"/>
      <c r="I24" s="9" t="s">
        <v>167</v>
      </c>
      <c r="K24" s="9"/>
      <c r="P24" s="9"/>
    </row>
    <row r="27" spans="1:25" x14ac:dyDescent="0.25">
      <c r="A27" s="11" t="s">
        <v>295</v>
      </c>
    </row>
    <row r="28" spans="1:25" x14ac:dyDescent="0.25">
      <c r="C28" s="1" t="s">
        <v>1</v>
      </c>
      <c r="D28" s="1" t="s">
        <v>2</v>
      </c>
      <c r="E28" s="1" t="s">
        <v>15</v>
      </c>
      <c r="F28" s="1" t="s">
        <v>106</v>
      </c>
      <c r="G28" s="1" t="s">
        <v>107</v>
      </c>
      <c r="H28" s="1" t="s">
        <v>108</v>
      </c>
      <c r="I28" s="1" t="s">
        <v>109</v>
      </c>
      <c r="J28" s="1" t="s">
        <v>6</v>
      </c>
      <c r="K28" s="1" t="s">
        <v>7</v>
      </c>
      <c r="L28" s="1" t="s">
        <v>8</v>
      </c>
      <c r="M28" s="1" t="s">
        <v>9</v>
      </c>
      <c r="N28" s="1" t="s">
        <v>10</v>
      </c>
      <c r="O28" s="1" t="s">
        <v>110</v>
      </c>
      <c r="P28" s="1" t="s">
        <v>12</v>
      </c>
      <c r="Q28" s="1" t="s">
        <v>14</v>
      </c>
      <c r="R28" s="1" t="s">
        <v>313</v>
      </c>
      <c r="S28" s="1" t="s">
        <v>314</v>
      </c>
      <c r="T28" s="1" t="s">
        <v>315</v>
      </c>
      <c r="U28" s="1" t="s">
        <v>316</v>
      </c>
      <c r="V28" s="1" t="s">
        <v>317</v>
      </c>
      <c r="W28" s="1" t="s">
        <v>318</v>
      </c>
      <c r="X28" s="1" t="s">
        <v>324</v>
      </c>
      <c r="Y28" s="1" t="s">
        <v>325</v>
      </c>
    </row>
    <row r="29" spans="1:25" x14ac:dyDescent="0.25">
      <c r="A29" t="s">
        <v>112</v>
      </c>
      <c r="B29" s="1">
        <v>2015</v>
      </c>
      <c r="C29" s="12">
        <v>1</v>
      </c>
      <c r="D29" s="13">
        <v>1</v>
      </c>
      <c r="E29" s="13">
        <v>1</v>
      </c>
      <c r="F29" s="13">
        <v>0</v>
      </c>
      <c r="G29" s="13">
        <v>1</v>
      </c>
      <c r="H29" s="13">
        <v>1</v>
      </c>
      <c r="I29" s="13">
        <v>1</v>
      </c>
      <c r="J29" s="13">
        <v>1</v>
      </c>
      <c r="K29" s="13"/>
      <c r="L29" s="13">
        <v>1</v>
      </c>
      <c r="M29" s="13">
        <v>1</v>
      </c>
      <c r="N29" s="13">
        <v>1</v>
      </c>
      <c r="O29" s="13">
        <v>1</v>
      </c>
      <c r="P29" s="13">
        <v>1</v>
      </c>
      <c r="Q29" s="13">
        <v>1</v>
      </c>
      <c r="R29" s="13">
        <v>1</v>
      </c>
      <c r="S29" s="13">
        <v>1</v>
      </c>
      <c r="T29" s="13">
        <v>1</v>
      </c>
      <c r="U29" s="13">
        <v>1</v>
      </c>
      <c r="V29" s="13">
        <v>1</v>
      </c>
      <c r="W29" s="13">
        <v>1</v>
      </c>
      <c r="X29" s="13">
        <v>1</v>
      </c>
      <c r="Y29" s="14">
        <v>1</v>
      </c>
    </row>
    <row r="30" spans="1:25" x14ac:dyDescent="0.25">
      <c r="A30" t="s">
        <v>112</v>
      </c>
      <c r="B30" s="1">
        <v>2016</v>
      </c>
      <c r="C30" s="15">
        <v>1</v>
      </c>
      <c r="D30" s="16">
        <v>1</v>
      </c>
      <c r="E30" s="16">
        <v>1</v>
      </c>
      <c r="F30" s="16">
        <v>0</v>
      </c>
      <c r="G30" s="16">
        <v>1</v>
      </c>
      <c r="H30" s="16">
        <v>1</v>
      </c>
      <c r="I30" s="16">
        <v>1</v>
      </c>
      <c r="J30" s="16">
        <v>1</v>
      </c>
      <c r="K30" s="16"/>
      <c r="L30" s="16">
        <v>1</v>
      </c>
      <c r="M30" s="16">
        <v>1</v>
      </c>
      <c r="N30" s="16">
        <v>1</v>
      </c>
      <c r="O30" s="16">
        <v>1</v>
      </c>
      <c r="P30" s="16">
        <v>1</v>
      </c>
      <c r="Q30" s="16">
        <v>1</v>
      </c>
      <c r="R30" s="16">
        <v>1</v>
      </c>
      <c r="S30" s="16">
        <v>1</v>
      </c>
      <c r="T30" s="16">
        <v>1</v>
      </c>
      <c r="U30" s="16">
        <v>1</v>
      </c>
      <c r="V30" s="16">
        <v>1</v>
      </c>
      <c r="W30" s="16">
        <v>1</v>
      </c>
      <c r="X30" s="16">
        <v>1</v>
      </c>
      <c r="Y30" s="17">
        <v>1</v>
      </c>
    </row>
    <row r="31" spans="1:25" x14ac:dyDescent="0.25">
      <c r="C31" s="9"/>
      <c r="D31" s="9"/>
      <c r="E31" s="9"/>
      <c r="F31" s="9"/>
      <c r="G31" s="9"/>
      <c r="H31" s="9"/>
      <c r="I31" s="9"/>
      <c r="J31" s="9"/>
      <c r="K31" s="9"/>
      <c r="L31" s="9"/>
      <c r="M31" s="9"/>
      <c r="N31" s="9"/>
      <c r="O31" s="9"/>
      <c r="P31" s="9"/>
      <c r="Q31" s="9"/>
      <c r="R31" s="9"/>
      <c r="S31" s="9"/>
      <c r="T31" s="9"/>
      <c r="U31" s="9"/>
      <c r="V31" s="9"/>
      <c r="W31" s="9"/>
      <c r="X31" s="9"/>
      <c r="Y31" s="9"/>
    </row>
    <row r="32" spans="1:25" x14ac:dyDescent="0.25">
      <c r="A32" t="s">
        <v>113</v>
      </c>
      <c r="B32" s="1">
        <v>2016</v>
      </c>
      <c r="C32" s="9">
        <v>1</v>
      </c>
      <c r="D32" s="9">
        <v>1</v>
      </c>
      <c r="E32" s="9">
        <v>1</v>
      </c>
      <c r="F32" s="9">
        <v>1</v>
      </c>
      <c r="G32" s="9">
        <v>1</v>
      </c>
      <c r="H32" s="9">
        <v>1</v>
      </c>
      <c r="I32" s="9">
        <v>1</v>
      </c>
      <c r="J32" s="9">
        <v>1</v>
      </c>
      <c r="K32" s="9">
        <v>1009167.2280000001</v>
      </c>
      <c r="L32" s="9">
        <v>1</v>
      </c>
      <c r="M32" s="9">
        <v>1</v>
      </c>
      <c r="N32" s="9">
        <v>1</v>
      </c>
      <c r="O32" s="9">
        <v>1</v>
      </c>
      <c r="P32" s="9">
        <v>1</v>
      </c>
      <c r="Q32" s="9">
        <v>1</v>
      </c>
      <c r="R32" s="9">
        <v>1</v>
      </c>
      <c r="S32" s="9">
        <v>1</v>
      </c>
      <c r="T32" s="9">
        <v>1</v>
      </c>
      <c r="U32" s="9">
        <v>1</v>
      </c>
      <c r="V32" s="9">
        <v>1</v>
      </c>
      <c r="W32" s="9">
        <v>1</v>
      </c>
      <c r="X32" s="9">
        <v>1</v>
      </c>
      <c r="Y32" s="9">
        <v>1</v>
      </c>
    </row>
    <row r="33" spans="2:25" x14ac:dyDescent="0.25">
      <c r="D33" s="10" t="s">
        <v>114</v>
      </c>
      <c r="G33" s="10" t="s">
        <v>114</v>
      </c>
    </row>
    <row r="35" spans="2:25" x14ac:dyDescent="0.25">
      <c r="B35" t="s">
        <v>115</v>
      </c>
      <c r="C35" s="22">
        <f>C29/C32</f>
        <v>1</v>
      </c>
      <c r="D35" s="22">
        <f t="shared" ref="D35:E35" si="5">D29/D32</f>
        <v>1</v>
      </c>
      <c r="E35" s="22">
        <f t="shared" si="5"/>
        <v>1</v>
      </c>
      <c r="F35" t="s">
        <v>157</v>
      </c>
      <c r="G35" s="22">
        <f t="shared" ref="G35:Q35" si="6">G29/G32</f>
        <v>1</v>
      </c>
      <c r="H35" s="22">
        <f t="shared" si="6"/>
        <v>1</v>
      </c>
      <c r="I35" s="22">
        <f t="shared" si="6"/>
        <v>1</v>
      </c>
      <c r="J35" s="22">
        <f t="shared" si="6"/>
        <v>1</v>
      </c>
      <c r="K35" s="9"/>
      <c r="L35" s="22">
        <f t="shared" si="6"/>
        <v>1</v>
      </c>
      <c r="M35" s="22">
        <f t="shared" si="6"/>
        <v>1</v>
      </c>
      <c r="N35" s="22">
        <f t="shared" si="6"/>
        <v>1</v>
      </c>
      <c r="O35" s="22">
        <f t="shared" si="6"/>
        <v>1</v>
      </c>
      <c r="P35" s="22">
        <f t="shared" si="6"/>
        <v>1</v>
      </c>
      <c r="Q35" s="22">
        <f t="shared" si="6"/>
        <v>1</v>
      </c>
      <c r="R35" s="22">
        <v>1</v>
      </c>
      <c r="S35" s="22">
        <v>1</v>
      </c>
      <c r="T35" s="22">
        <v>1</v>
      </c>
      <c r="U35" s="22">
        <v>1</v>
      </c>
      <c r="V35" s="22">
        <v>1</v>
      </c>
      <c r="W35" s="22">
        <v>1</v>
      </c>
      <c r="X35" s="22">
        <v>1</v>
      </c>
      <c r="Y35" s="22">
        <v>1</v>
      </c>
    </row>
    <row r="37" spans="2:25" x14ac:dyDescent="0.25">
      <c r="D37" s="9"/>
      <c r="H37" s="9"/>
      <c r="I37" s="9"/>
      <c r="K37" s="9"/>
      <c r="P37" s="9"/>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Z76"/>
  <sheetViews>
    <sheetView topLeftCell="H1" zoomScale="85" zoomScaleNormal="85" workbookViewId="0">
      <selection activeCell="Y2" sqref="Y2:AA2"/>
    </sheetView>
  </sheetViews>
  <sheetFormatPr defaultColWidth="11.42578125" defaultRowHeight="15" x14ac:dyDescent="0.25"/>
  <cols>
    <col min="1" max="1" width="15.140625" customWidth="1"/>
    <col min="6" max="6" width="24" customWidth="1"/>
    <col min="16" max="16" width="17.85546875" bestFit="1" customWidth="1"/>
  </cols>
  <sheetData>
    <row r="1" spans="1:30" x14ac:dyDescent="0.25">
      <c r="A1" s="18" t="s">
        <v>132</v>
      </c>
      <c r="B1" s="19"/>
      <c r="C1" s="19"/>
      <c r="D1" s="19"/>
      <c r="E1" s="19"/>
      <c r="F1" s="19"/>
      <c r="G1" s="19"/>
      <c r="H1" s="19"/>
      <c r="I1" s="19"/>
      <c r="J1" s="19"/>
      <c r="K1" s="19"/>
      <c r="L1" s="19"/>
      <c r="N1" s="18" t="s">
        <v>116</v>
      </c>
      <c r="O1" s="19"/>
      <c r="P1" s="19"/>
      <c r="Q1" s="19"/>
      <c r="R1" s="19"/>
      <c r="S1" s="19"/>
      <c r="T1" s="19"/>
      <c r="U1" s="19"/>
      <c r="V1" s="19"/>
      <c r="W1" s="19"/>
      <c r="Y1" t="s">
        <v>397</v>
      </c>
    </row>
    <row r="2" spans="1:30" x14ac:dyDescent="0.25">
      <c r="Y2" s="1" t="s">
        <v>380</v>
      </c>
      <c r="Z2" t="s">
        <v>378</v>
      </c>
      <c r="AA2" t="s">
        <v>403</v>
      </c>
    </row>
    <row r="3" spans="1:30" x14ac:dyDescent="0.25">
      <c r="N3" s="20" t="s">
        <v>7</v>
      </c>
    </row>
    <row r="4" spans="1:30" x14ac:dyDescent="0.25">
      <c r="N4" t="s">
        <v>117</v>
      </c>
      <c r="O4" t="s">
        <v>118</v>
      </c>
      <c r="Y4" s="69" t="s">
        <v>231</v>
      </c>
      <c r="Z4" s="69" t="s">
        <v>398</v>
      </c>
      <c r="AA4" s="69" t="s">
        <v>399</v>
      </c>
      <c r="AB4" s="69" t="s">
        <v>400</v>
      </c>
      <c r="AC4" s="69" t="s">
        <v>401</v>
      </c>
      <c r="AD4" s="69" t="s">
        <v>402</v>
      </c>
    </row>
    <row r="5" spans="1:30" x14ac:dyDescent="0.25">
      <c r="A5" s="1" t="s">
        <v>0</v>
      </c>
      <c r="B5" s="1" t="s">
        <v>18</v>
      </c>
      <c r="C5" s="1" t="s">
        <v>20</v>
      </c>
      <c r="D5" s="1" t="s">
        <v>19</v>
      </c>
      <c r="E5" s="1" t="s">
        <v>133</v>
      </c>
      <c r="F5" s="1" t="s">
        <v>13</v>
      </c>
      <c r="G5" s="1" t="s">
        <v>16</v>
      </c>
      <c r="H5" s="1" t="s">
        <v>17</v>
      </c>
      <c r="I5" s="1" t="s">
        <v>62</v>
      </c>
      <c r="J5" s="1" t="s">
        <v>133</v>
      </c>
      <c r="K5" s="1" t="s">
        <v>18</v>
      </c>
      <c r="L5" s="1" t="s">
        <v>20</v>
      </c>
      <c r="N5">
        <v>53740</v>
      </c>
      <c r="O5" s="1" t="s">
        <v>49</v>
      </c>
      <c r="Y5" s="69" t="s">
        <v>6</v>
      </c>
      <c r="Z5">
        <v>0.44295365492507688</v>
      </c>
      <c r="AA5">
        <v>8635.6029795918366</v>
      </c>
      <c r="AB5">
        <v>12997</v>
      </c>
      <c r="AC5">
        <v>1.5</v>
      </c>
      <c r="AD5">
        <v>857725.92346544424</v>
      </c>
    </row>
    <row r="6" spans="1:30" x14ac:dyDescent="0.25">
      <c r="A6" t="s">
        <v>4</v>
      </c>
      <c r="B6">
        <v>15467</v>
      </c>
      <c r="C6" t="s">
        <v>65</v>
      </c>
      <c r="D6">
        <v>2016</v>
      </c>
      <c r="E6" t="s">
        <v>141</v>
      </c>
      <c r="F6" t="s">
        <v>64</v>
      </c>
      <c r="G6" t="s">
        <v>61</v>
      </c>
      <c r="I6" t="s">
        <v>63</v>
      </c>
      <c r="J6" t="s">
        <v>141</v>
      </c>
      <c r="K6">
        <f>B6*10^12*0.0000000010550559</f>
        <v>16318549.6053</v>
      </c>
      <c r="L6" t="s">
        <v>50</v>
      </c>
      <c r="N6" s="19">
        <f>N5*41.87</f>
        <v>2250093.7999999998</v>
      </c>
      <c r="O6" s="1" t="s">
        <v>50</v>
      </c>
      <c r="Y6" s="69" t="s">
        <v>7</v>
      </c>
      <c r="Z6">
        <v>0.54110328133353691</v>
      </c>
      <c r="AA6">
        <v>10438.26106922086</v>
      </c>
      <c r="AB6">
        <v>13585</v>
      </c>
      <c r="AC6">
        <v>1.42</v>
      </c>
      <c r="AD6">
        <v>1486589.2320230021</v>
      </c>
    </row>
    <row r="7" spans="1:30" x14ac:dyDescent="0.25">
      <c r="A7" t="s">
        <v>2</v>
      </c>
      <c r="B7">
        <v>6126.7696482460497</v>
      </c>
      <c r="C7" t="s">
        <v>68</v>
      </c>
      <c r="D7">
        <v>2014</v>
      </c>
      <c r="E7" t="s">
        <v>143</v>
      </c>
      <c r="F7" t="s">
        <v>69</v>
      </c>
      <c r="G7" t="s">
        <v>67</v>
      </c>
      <c r="I7" t="s">
        <v>66</v>
      </c>
      <c r="J7" t="s">
        <v>143</v>
      </c>
      <c r="K7">
        <f>B7*1000</f>
        <v>6126769.6482460499</v>
      </c>
      <c r="L7" t="s">
        <v>50</v>
      </c>
      <c r="N7">
        <f>N6*0.8</f>
        <v>1800075.04</v>
      </c>
      <c r="O7" t="s">
        <v>131</v>
      </c>
      <c r="Y7" s="69" t="s">
        <v>8</v>
      </c>
      <c r="Z7">
        <v>0.6076006692130792</v>
      </c>
      <c r="AA7">
        <v>8454.2772315646253</v>
      </c>
      <c r="AB7">
        <v>9596</v>
      </c>
      <c r="AC7">
        <v>1.45</v>
      </c>
      <c r="AD7">
        <v>761665.47540466953</v>
      </c>
    </row>
    <row r="8" spans="1:30" x14ac:dyDescent="0.25">
      <c r="A8" t="s">
        <v>3</v>
      </c>
      <c r="B8">
        <v>1609.85275973743</v>
      </c>
      <c r="C8" t="s">
        <v>68</v>
      </c>
      <c r="D8">
        <v>2014</v>
      </c>
      <c r="E8" t="s">
        <v>143</v>
      </c>
      <c r="F8" t="s">
        <v>69</v>
      </c>
      <c r="G8" t="s">
        <v>67</v>
      </c>
      <c r="I8" t="s">
        <v>66</v>
      </c>
      <c r="J8" t="s">
        <v>143</v>
      </c>
      <c r="K8">
        <f>B8*1000</f>
        <v>1609852.7597374299</v>
      </c>
      <c r="L8" t="s">
        <v>50</v>
      </c>
      <c r="Y8" s="69" t="s">
        <v>9</v>
      </c>
      <c r="Z8">
        <v>0.51769911504424782</v>
      </c>
      <c r="AA8">
        <v>8775</v>
      </c>
      <c r="AB8">
        <v>11300</v>
      </c>
      <c r="AC8">
        <v>1.5</v>
      </c>
      <c r="AD8">
        <v>585725.87348086119</v>
      </c>
    </row>
    <row r="9" spans="1:30" x14ac:dyDescent="0.25">
      <c r="A9" t="s">
        <v>1</v>
      </c>
      <c r="B9">
        <v>1074.7</v>
      </c>
      <c r="C9" t="s">
        <v>68</v>
      </c>
      <c r="D9">
        <v>2016</v>
      </c>
      <c r="E9" t="s">
        <v>141</v>
      </c>
      <c r="F9" t="s">
        <v>73</v>
      </c>
      <c r="G9" t="s">
        <v>72</v>
      </c>
      <c r="H9" t="s">
        <v>70</v>
      </c>
      <c r="I9" t="s">
        <v>71</v>
      </c>
      <c r="J9" t="s">
        <v>141</v>
      </c>
      <c r="K9">
        <f>B9*1000</f>
        <v>1074700</v>
      </c>
      <c r="L9" t="s">
        <v>50</v>
      </c>
      <c r="N9" s="1" t="s">
        <v>120</v>
      </c>
      <c r="Y9" s="69" t="s">
        <v>10</v>
      </c>
      <c r="Z9">
        <v>0.47075346710842281</v>
      </c>
      <c r="AA9">
        <v>8556.2973297959161</v>
      </c>
      <c r="AB9">
        <v>12535</v>
      </c>
      <c r="AC9">
        <v>1.45</v>
      </c>
      <c r="AD9">
        <v>600681.36442298885</v>
      </c>
    </row>
    <row r="10" spans="1:30" x14ac:dyDescent="0.25">
      <c r="A10" t="s">
        <v>5</v>
      </c>
      <c r="B10">
        <v>72</v>
      </c>
      <c r="C10" t="s">
        <v>48</v>
      </c>
      <c r="D10" t="s">
        <v>21</v>
      </c>
      <c r="E10" t="s">
        <v>148</v>
      </c>
      <c r="F10" t="s">
        <v>105</v>
      </c>
      <c r="G10" t="s">
        <v>46</v>
      </c>
      <c r="H10" t="s">
        <v>47</v>
      </c>
      <c r="J10" t="s">
        <v>134</v>
      </c>
      <c r="K10">
        <f>B10*41868*T45*Q26/100</f>
        <v>1515109.9493293595</v>
      </c>
      <c r="L10" t="s">
        <v>50</v>
      </c>
      <c r="N10" t="s">
        <v>119</v>
      </c>
      <c r="Y10" s="69" t="s">
        <v>110</v>
      </c>
      <c r="Z10">
        <v>0.46860246686274132</v>
      </c>
      <c r="AA10">
        <v>9570.9007940680312</v>
      </c>
      <c r="AB10">
        <v>13177</v>
      </c>
      <c r="AC10">
        <v>1.55</v>
      </c>
      <c r="AD10">
        <v>873872.69050811231</v>
      </c>
    </row>
    <row r="11" spans="1:30" x14ac:dyDescent="0.25">
      <c r="H11" s="8"/>
      <c r="N11">
        <v>2016</v>
      </c>
      <c r="O11" t="s">
        <v>121</v>
      </c>
      <c r="P11" t="s">
        <v>123</v>
      </c>
      <c r="Q11">
        <v>20817</v>
      </c>
      <c r="R11">
        <v>40.299999999999997</v>
      </c>
      <c r="S11">
        <f>Q11*R11</f>
        <v>838925.1</v>
      </c>
      <c r="T11" t="s">
        <v>50</v>
      </c>
      <c r="Y11" s="69" t="s">
        <v>33</v>
      </c>
      <c r="Z11">
        <v>0.49904671838052272</v>
      </c>
      <c r="AA11">
        <v>8508</v>
      </c>
      <c r="AB11">
        <v>11757.58900076069</v>
      </c>
      <c r="AC11">
        <v>1.45</v>
      </c>
      <c r="AD11">
        <v>111049.331598966</v>
      </c>
    </row>
    <row r="12" spans="1:30" x14ac:dyDescent="0.25">
      <c r="A12" s="1" t="s">
        <v>104</v>
      </c>
      <c r="O12" t="s">
        <v>122</v>
      </c>
      <c r="P12" t="s">
        <v>123</v>
      </c>
      <c r="Q12">
        <v>25309</v>
      </c>
      <c r="R12">
        <v>34</v>
      </c>
      <c r="S12">
        <f>Q12*R12</f>
        <v>860506</v>
      </c>
      <c r="T12" t="s">
        <v>50</v>
      </c>
      <c r="Y12" s="69" t="s">
        <v>24</v>
      </c>
      <c r="Z12">
        <v>0.46606807422347979</v>
      </c>
      <c r="AA12">
        <v>9707</v>
      </c>
      <c r="AB12">
        <v>16394.30146926325</v>
      </c>
      <c r="AC12">
        <v>1.2704066488572281</v>
      </c>
      <c r="AD12">
        <v>184018.9009148418</v>
      </c>
    </row>
    <row r="13" spans="1:30" x14ac:dyDescent="0.25">
      <c r="A13" t="s">
        <v>6</v>
      </c>
      <c r="B13">
        <v>41422</v>
      </c>
      <c r="C13" t="s">
        <v>49</v>
      </c>
      <c r="D13">
        <v>2016</v>
      </c>
      <c r="E13" t="s">
        <v>135</v>
      </c>
      <c r="F13" t="s">
        <v>74</v>
      </c>
      <c r="G13" t="s">
        <v>22</v>
      </c>
      <c r="H13" s="8" t="s">
        <v>23</v>
      </c>
      <c r="J13" t="s">
        <v>134</v>
      </c>
      <c r="K13">
        <f>B13*41.868*Q$26</f>
        <v>1245215.9587523954</v>
      </c>
      <c r="L13" t="s">
        <v>50</v>
      </c>
      <c r="O13" t="s">
        <v>124</v>
      </c>
      <c r="Q13" t="s">
        <v>125</v>
      </c>
      <c r="R13" t="s">
        <v>126</v>
      </c>
      <c r="S13" s="18">
        <f>S11+S12</f>
        <v>1699431.1</v>
      </c>
      <c r="T13" s="1" t="s">
        <v>50</v>
      </c>
      <c r="Y13" s="69" t="s">
        <v>45</v>
      </c>
      <c r="Z13">
        <v>0.42486167206221992</v>
      </c>
      <c r="AA13">
        <v>7817</v>
      </c>
      <c r="AB13">
        <v>12688.91697523875</v>
      </c>
      <c r="AC13">
        <v>1.45</v>
      </c>
      <c r="AD13">
        <v>100920.1963225037</v>
      </c>
    </row>
    <row r="14" spans="1:30" x14ac:dyDescent="0.25">
      <c r="A14" t="s">
        <v>7</v>
      </c>
      <c r="B14">
        <v>53742</v>
      </c>
      <c r="C14" t="s">
        <v>49</v>
      </c>
      <c r="D14">
        <v>2016</v>
      </c>
      <c r="E14" t="s">
        <v>135</v>
      </c>
      <c r="F14" t="s">
        <v>74</v>
      </c>
      <c r="G14" t="s">
        <v>22</v>
      </c>
      <c r="H14" t="s">
        <v>75</v>
      </c>
      <c r="J14" t="s">
        <v>134</v>
      </c>
      <c r="K14">
        <f>B14*41.868*Q$16</f>
        <v>1699413.1668400415</v>
      </c>
      <c r="L14" t="s">
        <v>50</v>
      </c>
      <c r="S14" s="1" t="s">
        <v>129</v>
      </c>
      <c r="T14" s="1"/>
      <c r="Y14" s="69" t="s">
        <v>381</v>
      </c>
      <c r="Z14">
        <v>0.32368424113556099</v>
      </c>
      <c r="AA14">
        <v>6041</v>
      </c>
      <c r="AB14">
        <v>13745.76659862672</v>
      </c>
      <c r="AC14">
        <v>1.357745319893026</v>
      </c>
      <c r="AD14">
        <v>49748.135789199063</v>
      </c>
    </row>
    <row r="15" spans="1:30" x14ac:dyDescent="0.25">
      <c r="A15" t="s">
        <v>8</v>
      </c>
      <c r="B15">
        <v>32964</v>
      </c>
      <c r="C15" t="s">
        <v>49</v>
      </c>
      <c r="D15">
        <v>2016</v>
      </c>
      <c r="E15" t="s">
        <v>135</v>
      </c>
      <c r="F15" t="s">
        <v>74</v>
      </c>
      <c r="G15" t="s">
        <v>22</v>
      </c>
      <c r="H15" t="s">
        <v>76</v>
      </c>
      <c r="J15" t="s">
        <v>134</v>
      </c>
      <c r="K15">
        <f>B15*41.868*Q$26</f>
        <v>990954.05495422636</v>
      </c>
      <c r="L15" t="s">
        <v>50</v>
      </c>
      <c r="Y15" s="69" t="s">
        <v>41</v>
      </c>
      <c r="Z15">
        <v>0.42384553389836438</v>
      </c>
      <c r="AA15">
        <v>5278</v>
      </c>
      <c r="AB15">
        <v>8588.0343400594847</v>
      </c>
      <c r="AC15">
        <v>1.45</v>
      </c>
      <c r="AD15">
        <v>10875.386660429929</v>
      </c>
    </row>
    <row r="16" spans="1:30" x14ac:dyDescent="0.25">
      <c r="A16" t="s">
        <v>9</v>
      </c>
      <c r="B16">
        <v>17797</v>
      </c>
      <c r="C16" t="s">
        <v>49</v>
      </c>
      <c r="D16">
        <v>2016</v>
      </c>
      <c r="E16" t="s">
        <v>135</v>
      </c>
      <c r="F16" t="s">
        <v>74</v>
      </c>
      <c r="G16" t="s">
        <v>22</v>
      </c>
      <c r="H16" t="s">
        <v>77</v>
      </c>
      <c r="J16" t="s">
        <v>134</v>
      </c>
      <c r="K16">
        <f t="shared" ref="K16:K30" si="0">B16*41.868*Q$26</f>
        <v>535008.17000425817</v>
      </c>
      <c r="L16" t="s">
        <v>50</v>
      </c>
      <c r="N16" t="s">
        <v>130</v>
      </c>
      <c r="Q16" s="18">
        <f>S13/N6</f>
        <v>0.75527122469294405</v>
      </c>
      <c r="Y16" s="69" t="s">
        <v>382</v>
      </c>
      <c r="Z16">
        <v>0.45849118535900019</v>
      </c>
      <c r="AA16">
        <v>6468</v>
      </c>
      <c r="AB16">
        <v>9729.0630607863877</v>
      </c>
      <c r="AC16">
        <v>1.45</v>
      </c>
      <c r="AD16">
        <v>122282.18176306529</v>
      </c>
    </row>
    <row r="17" spans="1:30" x14ac:dyDescent="0.25">
      <c r="A17" t="s">
        <v>10</v>
      </c>
      <c r="B17">
        <v>27663</v>
      </c>
      <c r="C17" t="s">
        <v>49</v>
      </c>
      <c r="D17">
        <v>2016</v>
      </c>
      <c r="E17" t="s">
        <v>135</v>
      </c>
      <c r="F17" t="s">
        <v>74</v>
      </c>
      <c r="G17" t="s">
        <v>22</v>
      </c>
      <c r="H17" t="s">
        <v>78</v>
      </c>
      <c r="J17" t="s">
        <v>134</v>
      </c>
      <c r="K17">
        <f t="shared" si="0"/>
        <v>831596.95492654911</v>
      </c>
      <c r="L17" t="s">
        <v>50</v>
      </c>
      <c r="Y17" s="69" t="s">
        <v>25</v>
      </c>
      <c r="Z17">
        <v>0.39800565832354751</v>
      </c>
      <c r="AA17">
        <v>9984</v>
      </c>
      <c r="AB17">
        <v>17300.048623383951</v>
      </c>
      <c r="AC17">
        <v>1.45</v>
      </c>
      <c r="AD17">
        <v>87164.746728172046</v>
      </c>
    </row>
    <row r="18" spans="1:30" x14ac:dyDescent="0.25">
      <c r="A18" t="s">
        <v>11</v>
      </c>
      <c r="B18">
        <v>39059</v>
      </c>
      <c r="C18" t="s">
        <v>49</v>
      </c>
      <c r="D18">
        <v>2016</v>
      </c>
      <c r="E18" t="s">
        <v>135</v>
      </c>
      <c r="F18" t="s">
        <v>74</v>
      </c>
      <c r="G18" t="s">
        <v>22</v>
      </c>
      <c r="H18" t="s">
        <v>79</v>
      </c>
      <c r="J18" t="s">
        <v>134</v>
      </c>
      <c r="K18">
        <f t="shared" si="0"/>
        <v>1174180.1490249098</v>
      </c>
      <c r="L18" t="s">
        <v>50</v>
      </c>
      <c r="N18" s="20" t="s">
        <v>136</v>
      </c>
      <c r="Y18" s="69" t="s">
        <v>36</v>
      </c>
      <c r="Z18">
        <v>0.51059311770390148</v>
      </c>
      <c r="AA18">
        <v>9205</v>
      </c>
      <c r="AB18">
        <v>12423.23420790282</v>
      </c>
      <c r="AC18">
        <v>1.451156205757433</v>
      </c>
      <c r="AD18">
        <v>21788.51596637295</v>
      </c>
    </row>
    <row r="19" spans="1:30" x14ac:dyDescent="0.25">
      <c r="N19" s="8" t="s">
        <v>59</v>
      </c>
      <c r="Y19" s="69" t="s">
        <v>26</v>
      </c>
      <c r="Z19">
        <v>0.49562815221069723</v>
      </c>
      <c r="AA19">
        <v>12049</v>
      </c>
      <c r="AB19">
        <v>16765.906325840151</v>
      </c>
      <c r="AC19">
        <v>1.45</v>
      </c>
      <c r="AD19">
        <v>106384.3097819096</v>
      </c>
    </row>
    <row r="20" spans="1:30" x14ac:dyDescent="0.25">
      <c r="A20" t="s">
        <v>33</v>
      </c>
      <c r="B20">
        <v>7841</v>
      </c>
      <c r="C20" t="s">
        <v>49</v>
      </c>
      <c r="D20">
        <v>2016</v>
      </c>
      <c r="E20" t="s">
        <v>135</v>
      </c>
      <c r="F20" t="s">
        <v>74</v>
      </c>
      <c r="G20" t="s">
        <v>22</v>
      </c>
      <c r="H20" t="s">
        <v>80</v>
      </c>
      <c r="J20" t="s">
        <v>134</v>
      </c>
      <c r="K20">
        <f t="shared" si="0"/>
        <v>235713.83160102199</v>
      </c>
      <c r="L20" t="s">
        <v>50</v>
      </c>
      <c r="N20" s="7" t="s">
        <v>60</v>
      </c>
      <c r="Y20" s="69" t="s">
        <v>27</v>
      </c>
      <c r="Z20">
        <v>0.44050127891861651</v>
      </c>
      <c r="AA20">
        <v>8570</v>
      </c>
      <c r="AB20">
        <v>13417.315931739109</v>
      </c>
      <c r="AC20">
        <v>1.45</v>
      </c>
      <c r="AD20">
        <v>162559.50693371869</v>
      </c>
    </row>
    <row r="21" spans="1:30" x14ac:dyDescent="0.25">
      <c r="A21" t="s">
        <v>24</v>
      </c>
      <c r="B21">
        <v>8667</v>
      </c>
      <c r="C21" t="s">
        <v>49</v>
      </c>
      <c r="D21">
        <v>2016</v>
      </c>
      <c r="E21" t="s">
        <v>135</v>
      </c>
      <c r="F21" t="s">
        <v>74</v>
      </c>
      <c r="G21" t="s">
        <v>22</v>
      </c>
      <c r="H21" t="s">
        <v>81</v>
      </c>
      <c r="J21" t="s">
        <v>134</v>
      </c>
      <c r="K21">
        <f t="shared" si="0"/>
        <v>260544.8002150309</v>
      </c>
      <c r="L21" t="s">
        <v>50</v>
      </c>
      <c r="N21">
        <f>4.75/6.1</f>
        <v>0.77868852459016402</v>
      </c>
      <c r="O21" t="s">
        <v>137</v>
      </c>
      <c r="Y21" s="69" t="s">
        <v>37</v>
      </c>
      <c r="Z21">
        <v>0.30667249114703682</v>
      </c>
      <c r="AA21">
        <v>5531</v>
      </c>
      <c r="AB21">
        <v>12438.2944957127</v>
      </c>
      <c r="AC21">
        <v>1.45</v>
      </c>
      <c r="AD21">
        <v>97559.660625019649</v>
      </c>
    </row>
    <row r="22" spans="1:30" x14ac:dyDescent="0.25">
      <c r="A22" t="s">
        <v>25</v>
      </c>
      <c r="B22">
        <v>3823</v>
      </c>
      <c r="C22" t="s">
        <v>49</v>
      </c>
      <c r="D22">
        <v>2016</v>
      </c>
      <c r="E22" t="s">
        <v>135</v>
      </c>
      <c r="F22" t="s">
        <v>74</v>
      </c>
      <c r="G22" t="s">
        <v>22</v>
      </c>
      <c r="H22" t="s">
        <v>82</v>
      </c>
      <c r="J22" t="s">
        <v>134</v>
      </c>
      <c r="K22">
        <f t="shared" si="0"/>
        <v>114925.89952948692</v>
      </c>
      <c r="L22" t="s">
        <v>50</v>
      </c>
      <c r="N22" t="s">
        <v>138</v>
      </c>
      <c r="Y22" s="69" t="s">
        <v>28</v>
      </c>
      <c r="Z22">
        <v>0.35316584715924332</v>
      </c>
      <c r="AA22">
        <v>10873</v>
      </c>
      <c r="AB22">
        <v>21280.564074242349</v>
      </c>
      <c r="AC22">
        <v>1.446730222445225</v>
      </c>
      <c r="AD22">
        <v>78957.973238862032</v>
      </c>
    </row>
    <row r="23" spans="1:30" x14ac:dyDescent="0.25">
      <c r="A23" t="s">
        <v>26</v>
      </c>
      <c r="B23">
        <v>4042</v>
      </c>
      <c r="C23" t="s">
        <v>49</v>
      </c>
      <c r="D23">
        <v>2016</v>
      </c>
      <c r="E23" t="s">
        <v>135</v>
      </c>
      <c r="F23" t="s">
        <v>74</v>
      </c>
      <c r="G23" t="s">
        <v>22</v>
      </c>
      <c r="H23" t="s">
        <v>83</v>
      </c>
      <c r="J23" t="s">
        <v>134</v>
      </c>
      <c r="K23">
        <f t="shared" si="0"/>
        <v>121509.41299978712</v>
      </c>
      <c r="L23" t="s">
        <v>50</v>
      </c>
      <c r="N23" t="s">
        <v>139</v>
      </c>
      <c r="Y23" s="69" t="s">
        <v>42</v>
      </c>
      <c r="Z23">
        <v>0.29801607016725429</v>
      </c>
      <c r="AA23">
        <v>6183</v>
      </c>
      <c r="AB23">
        <v>14866.21643428007</v>
      </c>
      <c r="AC23">
        <v>1.3955940578706341</v>
      </c>
      <c r="AD23">
        <v>25024.775923791789</v>
      </c>
    </row>
    <row r="24" spans="1:30" x14ac:dyDescent="0.25">
      <c r="A24" t="s">
        <v>27</v>
      </c>
      <c r="B24">
        <v>5093</v>
      </c>
      <c r="C24" t="s">
        <v>49</v>
      </c>
      <c r="D24">
        <v>2016</v>
      </c>
      <c r="E24" t="s">
        <v>135</v>
      </c>
      <c r="F24" t="s">
        <v>74</v>
      </c>
      <c r="G24" t="s">
        <v>22</v>
      </c>
      <c r="H24" t="s">
        <v>84</v>
      </c>
      <c r="J24" t="s">
        <v>134</v>
      </c>
      <c r="K24">
        <f t="shared" si="0"/>
        <v>153104.26531615929</v>
      </c>
      <c r="L24" t="s">
        <v>50</v>
      </c>
      <c r="N24">
        <f>71/77</f>
        <v>0.92207792207792205</v>
      </c>
      <c r="Y24" s="69" t="s">
        <v>43</v>
      </c>
      <c r="Z24">
        <v>0.36613104693872323</v>
      </c>
      <c r="AA24">
        <v>7657</v>
      </c>
      <c r="AB24">
        <v>11083.868827630869</v>
      </c>
      <c r="AC24">
        <v>1.8868210475266729</v>
      </c>
      <c r="AD24">
        <v>34249.909320971507</v>
      </c>
    </row>
    <row r="25" spans="1:30" x14ac:dyDescent="0.25">
      <c r="A25" t="s">
        <v>28</v>
      </c>
      <c r="B25">
        <v>3952</v>
      </c>
      <c r="C25" t="s">
        <v>49</v>
      </c>
      <c r="D25">
        <v>2016</v>
      </c>
      <c r="E25" t="s">
        <v>135</v>
      </c>
      <c r="F25" t="s">
        <v>74</v>
      </c>
      <c r="G25" t="s">
        <v>22</v>
      </c>
      <c r="H25" t="s">
        <v>85</v>
      </c>
      <c r="J25" t="s">
        <v>134</v>
      </c>
      <c r="K25">
        <f t="shared" si="0"/>
        <v>118803.85951884184</v>
      </c>
      <c r="L25" t="s">
        <v>50</v>
      </c>
      <c r="Y25" s="69" t="s">
        <v>29</v>
      </c>
      <c r="Z25">
        <v>0.61606590328236588</v>
      </c>
      <c r="AA25">
        <v>13183</v>
      </c>
      <c r="AB25">
        <v>14757.713565205961</v>
      </c>
      <c r="AC25">
        <v>1.45</v>
      </c>
      <c r="AD25">
        <v>10711.12356646463</v>
      </c>
    </row>
    <row r="26" spans="1:30" x14ac:dyDescent="0.25">
      <c r="A26" t="s">
        <v>29</v>
      </c>
      <c r="B26">
        <v>1891</v>
      </c>
      <c r="C26" t="s">
        <v>49</v>
      </c>
      <c r="D26">
        <v>2016</v>
      </c>
      <c r="E26" t="s">
        <v>135</v>
      </c>
      <c r="F26" t="s">
        <v>74</v>
      </c>
      <c r="G26" t="s">
        <v>22</v>
      </c>
      <c r="H26" t="s">
        <v>86</v>
      </c>
      <c r="J26" t="s">
        <v>134</v>
      </c>
      <c r="K26">
        <f t="shared" si="0"/>
        <v>56846.684805194818</v>
      </c>
      <c r="L26" t="s">
        <v>50</v>
      </c>
      <c r="N26" t="s">
        <v>140</v>
      </c>
      <c r="Q26" s="20">
        <f>N21*N24</f>
        <v>0.7180114967000214</v>
      </c>
      <c r="Y26" s="69" t="s">
        <v>38</v>
      </c>
      <c r="Z26">
        <v>0.65133880331497562</v>
      </c>
      <c r="AA26">
        <v>5888</v>
      </c>
      <c r="AB26">
        <v>7709.2135866067674</v>
      </c>
      <c r="AC26">
        <v>1.1726023799137899</v>
      </c>
      <c r="AD26">
        <v>5443.630021479632</v>
      </c>
    </row>
    <row r="27" spans="1:30" x14ac:dyDescent="0.25">
      <c r="A27" t="s">
        <v>30</v>
      </c>
      <c r="B27">
        <v>9907</v>
      </c>
      <c r="C27" t="s">
        <v>49</v>
      </c>
      <c r="D27">
        <v>2016</v>
      </c>
      <c r="E27" t="s">
        <v>135</v>
      </c>
      <c r="F27" t="s">
        <v>74</v>
      </c>
      <c r="G27" t="s">
        <v>22</v>
      </c>
      <c r="H27" t="s">
        <v>87</v>
      </c>
      <c r="J27" t="s">
        <v>134</v>
      </c>
      <c r="K27">
        <f t="shared" si="0"/>
        <v>297821.3148413882</v>
      </c>
      <c r="L27" t="s">
        <v>50</v>
      </c>
      <c r="Y27" s="69" t="s">
        <v>30</v>
      </c>
      <c r="Z27">
        <v>0.44887276892084638</v>
      </c>
      <c r="AA27">
        <v>8225</v>
      </c>
      <c r="AB27">
        <v>15225.465714562361</v>
      </c>
      <c r="AC27">
        <v>1.203488823514187</v>
      </c>
      <c r="AD27">
        <v>261177.09213463671</v>
      </c>
    </row>
    <row r="28" spans="1:30" x14ac:dyDescent="0.25">
      <c r="A28" t="s">
        <v>31</v>
      </c>
      <c r="B28">
        <v>5334</v>
      </c>
      <c r="C28" t="s">
        <v>49</v>
      </c>
      <c r="D28">
        <v>2016</v>
      </c>
      <c r="E28" t="s">
        <v>135</v>
      </c>
      <c r="F28" t="s">
        <v>74</v>
      </c>
      <c r="G28" t="s">
        <v>22</v>
      </c>
      <c r="H28" t="s">
        <v>88</v>
      </c>
      <c r="J28" t="s">
        <v>134</v>
      </c>
      <c r="K28">
        <f t="shared" si="0"/>
        <v>160349.13630402388</v>
      </c>
      <c r="L28" t="s">
        <v>50</v>
      </c>
      <c r="N28" s="20" t="s">
        <v>142</v>
      </c>
      <c r="Y28" s="69" t="s">
        <v>31</v>
      </c>
      <c r="Z28">
        <v>0.41628659782147182</v>
      </c>
      <c r="AA28">
        <v>7811</v>
      </c>
      <c r="AB28">
        <v>12940.35546643843</v>
      </c>
      <c r="AC28">
        <v>1.45</v>
      </c>
      <c r="AD28">
        <v>136111.4974244606</v>
      </c>
    </row>
    <row r="29" spans="1:30" x14ac:dyDescent="0.25">
      <c r="A29" t="s">
        <v>32</v>
      </c>
      <c r="B29">
        <v>7771</v>
      </c>
      <c r="C29" t="s">
        <v>49</v>
      </c>
      <c r="D29">
        <v>2016</v>
      </c>
      <c r="E29" t="s">
        <v>135</v>
      </c>
      <c r="F29" t="s">
        <v>74</v>
      </c>
      <c r="G29" t="s">
        <v>22</v>
      </c>
      <c r="H29" t="s">
        <v>89</v>
      </c>
      <c r="J29" t="s">
        <v>134</v>
      </c>
      <c r="K29">
        <f t="shared" si="0"/>
        <v>233609.5122269534</v>
      </c>
      <c r="L29" t="s">
        <v>50</v>
      </c>
      <c r="N29" s="8"/>
      <c r="Y29" s="69" t="s">
        <v>44</v>
      </c>
      <c r="Z29">
        <v>0.23780820478481091</v>
      </c>
      <c r="AA29">
        <v>4256</v>
      </c>
      <c r="AB29">
        <v>12342.60363913473</v>
      </c>
      <c r="AC29">
        <v>1.45</v>
      </c>
      <c r="AD29">
        <v>160891.3602656365</v>
      </c>
    </row>
    <row r="30" spans="1:30" x14ac:dyDescent="0.25">
      <c r="A30" t="s">
        <v>12</v>
      </c>
      <c r="B30">
        <f>SUM(B20:B29)</f>
        <v>58321</v>
      </c>
      <c r="C30" t="s">
        <v>49</v>
      </c>
      <c r="D30">
        <v>2016</v>
      </c>
      <c r="E30" t="s">
        <v>135</v>
      </c>
      <c r="F30" t="s">
        <v>74</v>
      </c>
      <c r="G30" t="s">
        <v>22</v>
      </c>
      <c r="H30" t="s">
        <v>90</v>
      </c>
      <c r="J30" t="s">
        <v>134</v>
      </c>
      <c r="K30">
        <f t="shared" si="0"/>
        <v>1753228.7173578884</v>
      </c>
      <c r="L30" t="s">
        <v>50</v>
      </c>
      <c r="N30" s="7"/>
      <c r="Y30" s="69" t="s">
        <v>39</v>
      </c>
      <c r="Z30">
        <v>0.20576868309816679</v>
      </c>
      <c r="AA30">
        <v>4959</v>
      </c>
      <c r="AB30">
        <v>16620.604984716789</v>
      </c>
      <c r="AC30">
        <v>1.45</v>
      </c>
      <c r="AD30">
        <v>85653.906243699239</v>
      </c>
    </row>
    <row r="31" spans="1:30" x14ac:dyDescent="0.25">
      <c r="Y31" s="69" t="s">
        <v>40</v>
      </c>
      <c r="Z31">
        <v>0.98476425807692303</v>
      </c>
      <c r="AA31">
        <v>12570</v>
      </c>
      <c r="AB31">
        <v>8029.8374542135807</v>
      </c>
      <c r="AC31">
        <v>1.589630716556615</v>
      </c>
      <c r="AD31">
        <v>22823.036282155059</v>
      </c>
    </row>
    <row r="32" spans="1:30" x14ac:dyDescent="0.25">
      <c r="A32" s="2" t="s">
        <v>41</v>
      </c>
      <c r="B32">
        <v>654</v>
      </c>
      <c r="C32" t="s">
        <v>49</v>
      </c>
      <c r="D32">
        <v>2016</v>
      </c>
      <c r="E32" t="s">
        <v>135</v>
      </c>
      <c r="F32" t="s">
        <v>74</v>
      </c>
      <c r="G32" t="s">
        <v>22</v>
      </c>
      <c r="H32" t="s">
        <v>91</v>
      </c>
      <c r="J32" t="s">
        <v>134</v>
      </c>
      <c r="K32">
        <f>B32*41.868*Q$26</f>
        <v>19660.35529486907</v>
      </c>
      <c r="L32" t="s">
        <v>50</v>
      </c>
      <c r="Y32" s="69" t="s">
        <v>32</v>
      </c>
      <c r="Z32">
        <v>0.43396589504457628</v>
      </c>
      <c r="AA32">
        <v>11427</v>
      </c>
      <c r="AB32">
        <v>15368.78459982708</v>
      </c>
      <c r="AC32">
        <v>1.7133145516903481</v>
      </c>
      <c r="AD32">
        <v>146921.55787449691</v>
      </c>
    </row>
    <row r="33" spans="1:52" x14ac:dyDescent="0.25">
      <c r="A33" t="s">
        <v>35</v>
      </c>
      <c r="B33">
        <v>6143</v>
      </c>
      <c r="C33" t="s">
        <v>49</v>
      </c>
      <c r="D33">
        <v>2016</v>
      </c>
      <c r="E33" t="s">
        <v>135</v>
      </c>
      <c r="F33" t="s">
        <v>74</v>
      </c>
      <c r="G33" t="s">
        <v>22</v>
      </c>
      <c r="H33" t="s">
        <v>92</v>
      </c>
      <c r="J33" t="s">
        <v>134</v>
      </c>
      <c r="K33">
        <f t="shared" ref="K33:K39" si="1">B33*41.868*Q$26</f>
        <v>184669.05592718761</v>
      </c>
      <c r="L33" t="s">
        <v>50</v>
      </c>
    </row>
    <row r="34" spans="1:52" x14ac:dyDescent="0.25">
      <c r="A34" t="s">
        <v>36</v>
      </c>
      <c r="B34">
        <v>753</v>
      </c>
      <c r="C34" t="s">
        <v>49</v>
      </c>
      <c r="D34">
        <v>2016</v>
      </c>
      <c r="E34" t="s">
        <v>135</v>
      </c>
      <c r="F34" t="s">
        <v>74</v>
      </c>
      <c r="G34" t="s">
        <v>22</v>
      </c>
      <c r="H34" t="s">
        <v>93</v>
      </c>
      <c r="J34" t="s">
        <v>134</v>
      </c>
      <c r="K34">
        <f t="shared" si="1"/>
        <v>22636.464123908885</v>
      </c>
      <c r="L34" t="s">
        <v>50</v>
      </c>
      <c r="N34" t="s">
        <v>140</v>
      </c>
      <c r="Q34" s="20">
        <f>Q26</f>
        <v>0.7180114967000214</v>
      </c>
      <c r="R34" t="s">
        <v>156</v>
      </c>
      <c r="Y34" s="69" t="s">
        <v>6</v>
      </c>
      <c r="Z34" s="69" t="s">
        <v>7</v>
      </c>
      <c r="AA34" s="69" t="s">
        <v>8</v>
      </c>
      <c r="AB34" s="69" t="s">
        <v>9</v>
      </c>
      <c r="AC34" s="69" t="s">
        <v>10</v>
      </c>
      <c r="AD34" s="69" t="s">
        <v>110</v>
      </c>
      <c r="AE34" s="69" t="s">
        <v>33</v>
      </c>
      <c r="AF34" s="69" t="s">
        <v>24</v>
      </c>
      <c r="AG34" s="69" t="s">
        <v>45</v>
      </c>
      <c r="AH34" s="69" t="s">
        <v>381</v>
      </c>
      <c r="AI34" s="69" t="s">
        <v>41</v>
      </c>
      <c r="AJ34" s="69" t="s">
        <v>382</v>
      </c>
      <c r="AK34" s="69" t="s">
        <v>25</v>
      </c>
      <c r="AL34" s="69" t="s">
        <v>36</v>
      </c>
      <c r="AM34" s="69" t="s">
        <v>26</v>
      </c>
      <c r="AN34" s="69" t="s">
        <v>27</v>
      </c>
      <c r="AO34" s="69" t="s">
        <v>37</v>
      </c>
      <c r="AP34" s="69" t="s">
        <v>28</v>
      </c>
      <c r="AQ34" s="69" t="s">
        <v>42</v>
      </c>
      <c r="AR34" s="69" t="s">
        <v>43</v>
      </c>
      <c r="AS34" s="69" t="s">
        <v>29</v>
      </c>
      <c r="AT34" s="69" t="s">
        <v>38</v>
      </c>
      <c r="AU34" s="69" t="s">
        <v>30</v>
      </c>
      <c r="AV34" s="69" t="s">
        <v>31</v>
      </c>
      <c r="AW34" s="69" t="s">
        <v>44</v>
      </c>
      <c r="AX34" s="69" t="s">
        <v>39</v>
      </c>
      <c r="AY34" s="69" t="s">
        <v>40</v>
      </c>
      <c r="AZ34" s="69" t="s">
        <v>32</v>
      </c>
    </row>
    <row r="35" spans="1:52" x14ac:dyDescent="0.25">
      <c r="A35" t="s">
        <v>37</v>
      </c>
      <c r="B35">
        <v>4159</v>
      </c>
      <c r="C35" t="s">
        <v>49</v>
      </c>
      <c r="D35">
        <v>2016</v>
      </c>
      <c r="E35" t="s">
        <v>135</v>
      </c>
      <c r="F35" t="s">
        <v>74</v>
      </c>
      <c r="G35" t="s">
        <v>22</v>
      </c>
      <c r="H35" t="s">
        <v>94</v>
      </c>
      <c r="J35" t="s">
        <v>134</v>
      </c>
      <c r="K35">
        <f t="shared" si="1"/>
        <v>125026.632525016</v>
      </c>
      <c r="L35" t="s">
        <v>50</v>
      </c>
      <c r="X35" s="69" t="s">
        <v>402</v>
      </c>
      <c r="Y35">
        <v>857725.92346544424</v>
      </c>
      <c r="Z35">
        <v>1486589.2320230021</v>
      </c>
      <c r="AA35">
        <v>761665.47540466953</v>
      </c>
      <c r="AB35">
        <v>585725.87348086119</v>
      </c>
      <c r="AC35">
        <v>600681.36442298885</v>
      </c>
      <c r="AD35">
        <v>873872.69050811231</v>
      </c>
      <c r="AE35">
        <v>111049.331598966</v>
      </c>
      <c r="AF35">
        <v>184018.9009148418</v>
      </c>
      <c r="AG35">
        <v>100920.1963225037</v>
      </c>
      <c r="AH35">
        <v>49748.135789199063</v>
      </c>
      <c r="AI35">
        <v>10875.386660429929</v>
      </c>
      <c r="AJ35">
        <v>122282.18176306529</v>
      </c>
      <c r="AK35">
        <v>87164.746728172046</v>
      </c>
      <c r="AL35">
        <v>21788.51596637295</v>
      </c>
      <c r="AM35">
        <v>106384.3097819096</v>
      </c>
      <c r="AN35">
        <v>162559.50693371869</v>
      </c>
      <c r="AO35">
        <v>97559.660625019649</v>
      </c>
      <c r="AP35">
        <v>78957.973238862032</v>
      </c>
      <c r="AQ35">
        <v>25024.775923791789</v>
      </c>
      <c r="AR35">
        <v>34249.909320971507</v>
      </c>
      <c r="AS35">
        <v>10711.12356646463</v>
      </c>
      <c r="AT35">
        <v>5443.630021479632</v>
      </c>
      <c r="AU35">
        <v>261177.09213463671</v>
      </c>
      <c r="AV35">
        <v>136111.4974244606</v>
      </c>
      <c r="AW35">
        <v>160891.3602656365</v>
      </c>
      <c r="AX35">
        <v>85653.906243699239</v>
      </c>
      <c r="AY35">
        <v>22823.036282155059</v>
      </c>
      <c r="AZ35">
        <v>146921.55787449691</v>
      </c>
    </row>
    <row r="36" spans="1:52" x14ac:dyDescent="0.25">
      <c r="A36" t="s">
        <v>38</v>
      </c>
      <c r="B36">
        <v>182</v>
      </c>
      <c r="C36" t="s">
        <v>49</v>
      </c>
      <c r="D36">
        <v>2016</v>
      </c>
      <c r="E36" t="s">
        <v>135</v>
      </c>
      <c r="F36" t="s">
        <v>74</v>
      </c>
      <c r="G36" t="s">
        <v>22</v>
      </c>
      <c r="H36" t="s">
        <v>95</v>
      </c>
      <c r="J36" t="s">
        <v>134</v>
      </c>
      <c r="K36">
        <f t="shared" si="1"/>
        <v>5471.2303725782431</v>
      </c>
      <c r="L36" t="s">
        <v>50</v>
      </c>
    </row>
    <row r="37" spans="1:52" x14ac:dyDescent="0.25">
      <c r="A37" t="s">
        <v>39</v>
      </c>
      <c r="B37">
        <v>2202</v>
      </c>
      <c r="C37" t="s">
        <v>49</v>
      </c>
      <c r="D37">
        <v>2016</v>
      </c>
      <c r="E37" t="s">
        <v>135</v>
      </c>
      <c r="F37" t="s">
        <v>74</v>
      </c>
      <c r="G37" t="s">
        <v>22</v>
      </c>
      <c r="H37" t="s">
        <v>96</v>
      </c>
      <c r="J37" t="s">
        <v>134</v>
      </c>
      <c r="K37">
        <f t="shared" si="1"/>
        <v>66195.875167127975</v>
      </c>
      <c r="L37" t="s">
        <v>50</v>
      </c>
      <c r="N37" s="20" t="s">
        <v>128</v>
      </c>
    </row>
    <row r="38" spans="1:52" x14ac:dyDescent="0.25">
      <c r="A38" t="s">
        <v>40</v>
      </c>
      <c r="B38">
        <v>1857</v>
      </c>
      <c r="C38" t="s">
        <v>49</v>
      </c>
      <c r="D38">
        <v>2016</v>
      </c>
      <c r="E38" t="s">
        <v>135</v>
      </c>
      <c r="F38" t="s">
        <v>74</v>
      </c>
      <c r="G38" t="s">
        <v>22</v>
      </c>
      <c r="H38" t="s">
        <v>97</v>
      </c>
      <c r="J38" t="s">
        <v>134</v>
      </c>
      <c r="K38">
        <f t="shared" si="1"/>
        <v>55824.586823504374</v>
      </c>
      <c r="L38" t="s">
        <v>50</v>
      </c>
      <c r="N38" t="s">
        <v>127</v>
      </c>
    </row>
    <row r="39" spans="1:52" x14ac:dyDescent="0.25">
      <c r="A39" t="s">
        <v>14</v>
      </c>
      <c r="B39">
        <f>SUM(B32:B38)</f>
        <v>15950</v>
      </c>
      <c r="C39" t="s">
        <v>49</v>
      </c>
      <c r="D39">
        <v>2016</v>
      </c>
      <c r="E39" t="s">
        <v>135</v>
      </c>
      <c r="F39" t="s">
        <v>74</v>
      </c>
      <c r="G39" t="s">
        <v>22</v>
      </c>
      <c r="H39" t="s">
        <v>98</v>
      </c>
      <c r="J39" t="s">
        <v>134</v>
      </c>
      <c r="K39">
        <f t="shared" si="1"/>
        <v>479484.20023419207</v>
      </c>
      <c r="L39" t="s">
        <v>50</v>
      </c>
      <c r="N39" t="s">
        <v>144</v>
      </c>
      <c r="O39">
        <v>8</v>
      </c>
      <c r="P39" t="s">
        <v>146</v>
      </c>
      <c r="Q39">
        <v>34</v>
      </c>
      <c r="R39" t="s">
        <v>147</v>
      </c>
      <c r="S39">
        <f>O39*Q39/100</f>
        <v>2.72</v>
      </c>
    </row>
    <row r="40" spans="1:52" x14ac:dyDescent="0.25">
      <c r="N40" t="s">
        <v>145</v>
      </c>
      <c r="O40">
        <v>6.8</v>
      </c>
      <c r="P40" t="s">
        <v>146</v>
      </c>
      <c r="Q40">
        <v>40.299999999999997</v>
      </c>
      <c r="S40">
        <f>O40*Q40/100</f>
        <v>2.7403999999999997</v>
      </c>
    </row>
    <row r="41" spans="1:52" x14ac:dyDescent="0.25">
      <c r="A41" s="2" t="s">
        <v>45</v>
      </c>
      <c r="B41">
        <v>3077</v>
      </c>
      <c r="C41" t="s">
        <v>49</v>
      </c>
      <c r="D41">
        <v>2016</v>
      </c>
      <c r="E41" t="s">
        <v>135</v>
      </c>
      <c r="F41" t="s">
        <v>74</v>
      </c>
      <c r="G41" t="s">
        <v>22</v>
      </c>
      <c r="H41" t="s">
        <v>99</v>
      </c>
      <c r="J41" t="s">
        <v>134</v>
      </c>
      <c r="K41">
        <f t="shared" ref="K41:K45" si="2">B41*41.868*Q$34</f>
        <v>92499.8673429849</v>
      </c>
      <c r="L41" t="s">
        <v>50</v>
      </c>
    </row>
    <row r="42" spans="1:52" x14ac:dyDescent="0.25">
      <c r="A42" t="s">
        <v>42</v>
      </c>
      <c r="B42">
        <v>968</v>
      </c>
      <c r="C42" t="s">
        <v>49</v>
      </c>
      <c r="D42">
        <v>2016</v>
      </c>
      <c r="E42" t="s">
        <v>135</v>
      </c>
      <c r="F42" t="s">
        <v>74</v>
      </c>
      <c r="G42" t="s">
        <v>22</v>
      </c>
      <c r="H42" t="s">
        <v>100</v>
      </c>
      <c r="J42" t="s">
        <v>134</v>
      </c>
      <c r="K42">
        <f t="shared" si="2"/>
        <v>29099.730772833729</v>
      </c>
      <c r="L42" t="s">
        <v>50</v>
      </c>
      <c r="N42" s="20" t="s">
        <v>5</v>
      </c>
    </row>
    <row r="43" spans="1:52" x14ac:dyDescent="0.25">
      <c r="A43" t="s">
        <v>43</v>
      </c>
      <c r="B43">
        <v>1776</v>
      </c>
      <c r="C43" t="s">
        <v>49</v>
      </c>
      <c r="D43">
        <v>2016</v>
      </c>
      <c r="E43" t="s">
        <v>135</v>
      </c>
      <c r="F43" t="s">
        <v>74</v>
      </c>
      <c r="G43" t="s">
        <v>22</v>
      </c>
      <c r="H43" t="s">
        <v>101</v>
      </c>
      <c r="J43" t="s">
        <v>134</v>
      </c>
      <c r="K43">
        <f t="shared" si="2"/>
        <v>53389.588690653618</v>
      </c>
      <c r="L43" t="s">
        <v>50</v>
      </c>
      <c r="N43" t="s">
        <v>149</v>
      </c>
    </row>
    <row r="44" spans="1:52" x14ac:dyDescent="0.25">
      <c r="A44" t="s">
        <v>44</v>
      </c>
      <c r="B44">
        <v>5472</v>
      </c>
      <c r="C44" t="s">
        <v>49</v>
      </c>
      <c r="D44">
        <v>2016</v>
      </c>
      <c r="E44" t="s">
        <v>135</v>
      </c>
      <c r="F44" t="s">
        <v>74</v>
      </c>
      <c r="G44" t="s">
        <v>22</v>
      </c>
      <c r="H44" t="s">
        <v>102</v>
      </c>
      <c r="J44" t="s">
        <v>134</v>
      </c>
      <c r="K44">
        <f t="shared" si="2"/>
        <v>164497.65164147332</v>
      </c>
      <c r="L44" t="s">
        <v>50</v>
      </c>
      <c r="N44" t="s">
        <v>148</v>
      </c>
      <c r="O44" t="s">
        <v>105</v>
      </c>
      <c r="P44" t="s">
        <v>46</v>
      </c>
      <c r="Q44" t="s">
        <v>47</v>
      </c>
      <c r="R44">
        <v>2016</v>
      </c>
      <c r="T44">
        <v>3014496</v>
      </c>
      <c r="U44" t="s">
        <v>50</v>
      </c>
    </row>
    <row r="45" spans="1:52" x14ac:dyDescent="0.25">
      <c r="A45" t="s">
        <v>15</v>
      </c>
      <c r="B45">
        <f>SUM(B41:B44)</f>
        <v>11293</v>
      </c>
      <c r="C45" t="s">
        <v>49</v>
      </c>
      <c r="D45">
        <v>2016</v>
      </c>
      <c r="E45" t="s">
        <v>135</v>
      </c>
      <c r="F45" t="s">
        <v>74</v>
      </c>
      <c r="G45" t="s">
        <v>22</v>
      </c>
      <c r="H45" t="s">
        <v>103</v>
      </c>
      <c r="J45" t="s">
        <v>134</v>
      </c>
      <c r="K45">
        <f t="shared" si="2"/>
        <v>339486.83844794554</v>
      </c>
      <c r="L45" t="s">
        <v>50</v>
      </c>
      <c r="N45" t="s">
        <v>151</v>
      </c>
      <c r="P45" t="s">
        <v>46</v>
      </c>
      <c r="Q45" s="8" t="s">
        <v>149</v>
      </c>
      <c r="R45">
        <v>2013</v>
      </c>
      <c r="T45">
        <v>70</v>
      </c>
      <c r="U45" t="s">
        <v>150</v>
      </c>
    </row>
    <row r="47" spans="1:52" x14ac:dyDescent="0.25">
      <c r="A47" t="s">
        <v>381</v>
      </c>
      <c r="B47">
        <v>1946</v>
      </c>
      <c r="C47" t="s">
        <v>49</v>
      </c>
      <c r="D47">
        <v>2016</v>
      </c>
      <c r="E47" t="s">
        <v>135</v>
      </c>
      <c r="F47" t="s">
        <v>74</v>
      </c>
      <c r="G47" t="s">
        <v>22</v>
      </c>
      <c r="H47" t="s">
        <v>100</v>
      </c>
      <c r="J47" t="s">
        <v>134</v>
      </c>
      <c r="K47">
        <f>B47*41.868*Q$34</f>
        <v>58500.078599105822</v>
      </c>
      <c r="L47" t="s">
        <v>50</v>
      </c>
    </row>
    <row r="67" spans="1:1" x14ac:dyDescent="0.25">
      <c r="A67" s="2"/>
    </row>
    <row r="76" spans="1:1" x14ac:dyDescent="0.25">
      <c r="A76" s="2"/>
    </row>
  </sheetData>
  <hyperlinks>
    <hyperlink ref="N19" r:id="rId1" xr:uid="{00000000-0004-0000-0700-000000000000}"/>
    <hyperlink ref="Q45" r:id="rId2" xr:uid="{00000000-0004-0000-0700-000001000000}"/>
    <hyperlink ref="H13" r:id="rId3" xr:uid="{8BC7B205-B56F-4289-8596-5B2990DB1189}"/>
  </hyperlinks>
  <pageMargins left="0.7" right="0.7" top="0.78740157499999996" bottom="0.78740157499999996" header="0.3" footer="0.3"/>
  <pageSetup paperSize="9" orientation="portrait"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Belge" ma:contentTypeID="0x010100EA9F20635D11A64093DF9B91C79F6E1A" ma:contentTypeVersion="11" ma:contentTypeDescription="Yeni belge oluşturun." ma:contentTypeScope="" ma:versionID="a2edd5f1e2c2455c042b25b027442910">
  <xsd:schema xmlns:xsd="http://www.w3.org/2001/XMLSchema" xmlns:xs="http://www.w3.org/2001/XMLSchema" xmlns:p="http://schemas.microsoft.com/office/2006/metadata/properties" xmlns:ns2="8b16bc10-86bc-4315-90e9-9e37b512f060" xmlns:ns3="3cbde550-ee1e-44e5-99a1-6398df433a68" targetNamespace="http://schemas.microsoft.com/office/2006/metadata/properties" ma:root="true" ma:fieldsID="51ecbf8fddbae306828c6f65bdac5b70" ns2:_="" ns3:_="">
    <xsd:import namespace="8b16bc10-86bc-4315-90e9-9e37b512f060"/>
    <xsd:import namespace="3cbde550-ee1e-44e5-99a1-6398df433a68"/>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16bc10-86bc-4315-90e9-9e37b512f0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Resim Etiketleri" ma:readOnly="false" ma:fieldId="{5cf76f15-5ced-4ddc-b409-7134ff3c332f}" ma:taxonomyMulti="true" ma:sspId="6e7bc199-5fe5-462f-a3d8-26f806c1f49a"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cbde550-ee1e-44e5-99a1-6398df433a68"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0a53e2c8-d35f-45cb-81b5-ac66cdbb794a}" ma:internalName="TaxCatchAll" ma:showField="CatchAllData" ma:web="3cbde550-ee1e-44e5-99a1-6398df433a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çerik Türü"/>
        <xsd:element ref="dc:title" minOccurs="0" maxOccurs="1" ma:index="4" ma:displayName="Başlı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3cbde550-ee1e-44e5-99a1-6398df433a68" xsi:nil="true"/>
    <lcf76f155ced4ddcb4097134ff3c332f xmlns="8b16bc10-86bc-4315-90e9-9e37b512f06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52C9E30-2ABE-47CE-84E8-0C47E900E440}">
  <ds:schemaRefs>
    <ds:schemaRef ds:uri="http://schemas.microsoft.com/sharepoint/v3/contenttype/forms"/>
  </ds:schemaRefs>
</ds:datastoreItem>
</file>

<file path=customXml/itemProps2.xml><?xml version="1.0" encoding="utf-8"?>
<ds:datastoreItem xmlns:ds="http://schemas.openxmlformats.org/officeDocument/2006/customXml" ds:itemID="{2A6AD930-DD5C-4626-B6E9-B8E4B0DCB387}"/>
</file>

<file path=customXml/itemProps3.xml><?xml version="1.0" encoding="utf-8"?>
<ds:datastoreItem xmlns:ds="http://schemas.openxmlformats.org/officeDocument/2006/customXml" ds:itemID="{C33740A4-20C2-4D16-BA3B-53106C6C230C}">
  <ds:schemaRefs>
    <ds:schemaRef ds:uri="http://schemas.microsoft.com/office/2006/metadata/properties"/>
    <ds:schemaRef ds:uri="http://schemas.microsoft.com/office/infopath/2007/PartnerControls"/>
    <ds:schemaRef ds:uri="3cbde550-ee1e-44e5-99a1-6398df433a68"/>
    <ds:schemaRef ds:uri="8b16bc10-86bc-4315-90e9-9e37b512f060"/>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Cover</vt:lpstr>
      <vt:lpstr>values</vt:lpstr>
      <vt:lpstr>values_before</vt:lpstr>
      <vt:lpstr>log</vt:lpstr>
      <vt:lpstr>ref</vt:lpstr>
      <vt:lpstr>___</vt:lpstr>
      <vt:lpstr>Calibration</vt:lpstr>
      <vt:lpstr>Calibration_Result</vt:lpstr>
      <vt:lpstr>ancillary data passenger cars</vt:lpstr>
      <vt:lpstr>passenger_km_pav</vt:lpstr>
      <vt:lpstr>ancillary data resbuildings</vt:lpstr>
      <vt:lpstr>ancil. data nonres buildings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Paula</dc:creator>
  <cp:lastModifiedBy>Sahin AKIN</cp:lastModifiedBy>
  <dcterms:created xsi:type="dcterms:W3CDTF">2019-04-11T12:55:34Z</dcterms:created>
  <dcterms:modified xsi:type="dcterms:W3CDTF">2024-01-24T14:22:57Z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0x010100EA9F20635D11A64093DF9B91C79F6E1A</vt:lpwstr>
  </property>
  <property fmtid="{D5CDD505-2E9C-101B-9397-08002B2CF9AE}" pid="3" name="MediaServiceImageTags">
    <vt:lpwstr/>
  </property>
</Properties>
</file>