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ramp-generator\"/>
    </mc:Choice>
  </mc:AlternateContent>
  <bookViews>
    <workbookView xWindow="0" yWindow="0" windowWidth="25600" windowHeight="111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M8" i="1"/>
  <c r="Q8" i="1" s="1"/>
  <c r="R8" i="1" s="1"/>
  <c r="N3" i="1"/>
  <c r="C6" i="1"/>
  <c r="M6" i="1" s="1"/>
  <c r="M7" i="1"/>
  <c r="Q7" i="1" s="1"/>
  <c r="M5" i="1"/>
  <c r="M4" i="1"/>
  <c r="N4" i="1" s="1"/>
  <c r="M3" i="1"/>
  <c r="M2" i="1"/>
  <c r="O3" i="1"/>
  <c r="E4" i="1"/>
  <c r="O4" i="1"/>
  <c r="O7" i="1"/>
  <c r="O6" i="1"/>
  <c r="O5" i="1"/>
  <c r="O2" i="1"/>
  <c r="S7" i="1" l="1"/>
  <c r="T7" i="1" s="1"/>
  <c r="N7" i="1"/>
  <c r="S8" i="1"/>
  <c r="T8" i="1" s="1"/>
  <c r="N8" i="1"/>
  <c r="Q3" i="1"/>
  <c r="R7" i="1"/>
  <c r="G2" i="1"/>
  <c r="H5" i="1"/>
  <c r="H6" i="1" s="1"/>
  <c r="D5" i="1"/>
  <c r="D6" i="1" s="1"/>
  <c r="R3" i="1" l="1"/>
  <c r="S3" i="1"/>
  <c r="T3" i="1" s="1"/>
  <c r="E13" i="1"/>
  <c r="Q2" i="1"/>
  <c r="R2" i="1" s="1"/>
  <c r="E6" i="1"/>
  <c r="E5" i="1"/>
  <c r="Q6" i="1" l="1"/>
  <c r="S4" i="1" s="1"/>
  <c r="T4" i="1" s="1"/>
  <c r="N5" i="1"/>
  <c r="Q5" i="1"/>
  <c r="R5" i="1" s="1"/>
  <c r="N2" i="1"/>
  <c r="S2" i="1"/>
  <c r="T2" i="1" s="1"/>
  <c r="N6" i="1"/>
  <c r="E10" i="1" l="1"/>
  <c r="S6" i="1"/>
  <c r="T6" i="1" s="1"/>
  <c r="R6" i="1"/>
  <c r="S5" i="1"/>
  <c r="T5" i="1" s="1"/>
  <c r="E11" i="1" l="1"/>
  <c r="E14" i="1" s="1"/>
</calcChain>
</file>

<file path=xl/sharedStrings.xml><?xml version="1.0" encoding="utf-8"?>
<sst xmlns="http://schemas.openxmlformats.org/spreadsheetml/2006/main" count="37" uniqueCount="34">
  <si>
    <t>XTCLH10M000CHJA1P0</t>
  </si>
  <si>
    <t>DAC11001A</t>
  </si>
  <si>
    <t>AD9832</t>
  </si>
  <si>
    <t>ADUM4160</t>
  </si>
  <si>
    <t>STM32L152CBU6</t>
  </si>
  <si>
    <t>3.3V</t>
  </si>
  <si>
    <t>-15V</t>
  </si>
  <si>
    <t>+15V</t>
  </si>
  <si>
    <t>IC/Power bus power consumption (mA)</t>
  </si>
  <si>
    <t>Total per line (mA)</t>
  </si>
  <si>
    <t>Coil voltage (VDC)</t>
  </si>
  <si>
    <t>Effective IC consumption (W)</t>
  </si>
  <si>
    <t>Effective IC consumption:</t>
  </si>
  <si>
    <t>W</t>
  </si>
  <si>
    <t>Dissipation on bridge and LDO:</t>
  </si>
  <si>
    <t>Transformer Iq:</t>
  </si>
  <si>
    <t>mA</t>
  </si>
  <si>
    <t>Quiescent transformer dissipation:</t>
  </si>
  <si>
    <t>Dissipation on bridge and LDO (W)</t>
  </si>
  <si>
    <t>ADA4522-4</t>
  </si>
  <si>
    <t>Total:</t>
  </si>
  <si>
    <t>OPA353NA</t>
  </si>
  <si>
    <t>Storage cap ripple (V)</t>
  </si>
  <si>
    <t>Storage cap (uF)</t>
  </si>
  <si>
    <t>LDO+bridge voltage drop (V)</t>
  </si>
  <si>
    <t>+5V</t>
  </si>
  <si>
    <t xml:space="preserve">2xOPA189 </t>
  </si>
  <si>
    <t>LED</t>
  </si>
  <si>
    <t>LDO powerline noise (uV)</t>
  </si>
  <si>
    <t>+30V</t>
  </si>
  <si>
    <t>-30V</t>
  </si>
  <si>
    <t>Vectron C4550A1-0213</t>
  </si>
  <si>
    <t>+5V high cur</t>
  </si>
  <si>
    <t>ADR1399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</si>
</sst>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49" fontId="0" fillId="0" borderId="9" xfId="0" applyNumberFormat="1" applyBorder="1"/>
    <xf numFmtId="49" fontId="0" fillId="0" borderId="4" xfId="0" applyNumberFormat="1" applyBorder="1"/>
    <xf numFmtId="0" fontId="0" fillId="0" borderId="12" xfId="0" applyBorder="1"/>
    <xf numFmtId="0" fontId="0" fillId="0" borderId="13" xfId="0" applyBorder="1"/>
    <xf numFmtId="164" fontId="0" fillId="0" borderId="0" xfId="0" applyNumberFormat="1"/>
    <xf numFmtId="164" fontId="1" fillId="2" borderId="0" xfId="1" applyNumberFormat="1"/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9" xfId="0" applyNumberFormat="1" applyBorder="1" applyAlignment="1">
      <alignment vertical="top"/>
    </xf>
    <xf numFmtId="49" fontId="0" fillId="0" borderId="8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164" fontId="0" fillId="0" borderId="18" xfId="0" applyNumberFormat="1" applyBorder="1"/>
    <xf numFmtId="164" fontId="0" fillId="0" borderId="16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49" fontId="0" fillId="0" borderId="0" xfId="0" applyNumberFormat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9" xfId="0" applyNumberFormat="1" applyBorder="1" applyAlignment="1">
      <alignment horizontal="center" vertical="top" wrapText="1"/>
    </xf>
    <xf numFmtId="49" fontId="0" fillId="0" borderId="15" xfId="0" applyNumberFormat="1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21" xfId="0" applyNumberFormat="1" applyBorder="1" applyAlignment="1">
      <alignment horizontal="right"/>
    </xf>
    <xf numFmtId="165" fontId="0" fillId="0" borderId="0" xfId="0" applyNumberFormat="1"/>
    <xf numFmtId="0" fontId="0" fillId="0" borderId="20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165" fontId="0" fillId="0" borderId="1" xfId="0" applyNumberFormat="1" applyBorder="1"/>
    <xf numFmtId="49" fontId="0" fillId="0" borderId="13" xfId="0" applyNumberFormat="1" applyBorder="1"/>
    <xf numFmtId="0" fontId="0" fillId="0" borderId="10" xfId="0" applyNumberFormat="1" applyBorder="1"/>
    <xf numFmtId="165" fontId="0" fillId="0" borderId="4" xfId="0" applyNumberFormat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O9" sqref="O9"/>
    </sheetView>
  </sheetViews>
  <sheetFormatPr defaultRowHeight="14.5" x14ac:dyDescent="0.35"/>
  <cols>
    <col min="1" max="2" width="12.7265625" customWidth="1"/>
    <col min="3" max="3" width="9.36328125" customWidth="1"/>
    <col min="4" max="4" width="11" customWidth="1"/>
    <col min="5" max="5" width="10.7265625" customWidth="1"/>
    <col min="6" max="6" width="20.1796875" customWidth="1"/>
    <col min="7" max="7" width="7.08984375" customWidth="1"/>
    <col min="8" max="8" width="10.26953125" customWidth="1"/>
    <col min="9" max="9" width="7.6328125" customWidth="1"/>
    <col min="10" max="10" width="9.81640625" customWidth="1"/>
    <col min="11" max="11" width="11.08984375" customWidth="1"/>
    <col min="12" max="12" width="15.1796875" customWidth="1"/>
    <col min="13" max="13" width="9.54296875" customWidth="1"/>
    <col min="14" max="14" width="12.36328125" customWidth="1"/>
    <col min="15" max="15" width="11" customWidth="1"/>
    <col min="17" max="18" width="10.6328125" customWidth="1"/>
    <col min="19" max="19" width="12.36328125" customWidth="1"/>
    <col min="20" max="20" width="13.36328125" customWidth="1"/>
  </cols>
  <sheetData>
    <row r="1" spans="1:20" s="3" customFormat="1" ht="58.5" thickBot="1" x14ac:dyDescent="0.4">
      <c r="A1" s="17" t="s">
        <v>8</v>
      </c>
      <c r="B1" s="34" t="s">
        <v>31</v>
      </c>
      <c r="C1" s="18" t="s">
        <v>33</v>
      </c>
      <c r="D1" s="19" t="s">
        <v>19</v>
      </c>
      <c r="E1" s="19" t="s">
        <v>1</v>
      </c>
      <c r="F1" s="19" t="s">
        <v>0</v>
      </c>
      <c r="G1" s="19" t="s">
        <v>27</v>
      </c>
      <c r="H1" s="19" t="s">
        <v>26</v>
      </c>
      <c r="I1" s="19" t="s">
        <v>2</v>
      </c>
      <c r="J1" s="19" t="s">
        <v>21</v>
      </c>
      <c r="K1" s="19" t="s">
        <v>3</v>
      </c>
      <c r="L1" s="20" t="s">
        <v>4</v>
      </c>
      <c r="M1" s="21" t="s">
        <v>9</v>
      </c>
      <c r="N1" s="19" t="s">
        <v>11</v>
      </c>
      <c r="O1" s="23" t="s">
        <v>10</v>
      </c>
      <c r="P1" s="19" t="s">
        <v>23</v>
      </c>
      <c r="Q1" s="19" t="s">
        <v>22</v>
      </c>
      <c r="R1" s="20" t="s">
        <v>28</v>
      </c>
      <c r="S1" s="22" t="s">
        <v>24</v>
      </c>
      <c r="T1" s="24" t="s">
        <v>18</v>
      </c>
    </row>
    <row r="2" spans="1:20" ht="15" thickTop="1" x14ac:dyDescent="0.35">
      <c r="A2" s="7" t="s">
        <v>5</v>
      </c>
      <c r="B2" s="36"/>
      <c r="C2" s="5"/>
      <c r="D2" s="4"/>
      <c r="E2" s="4">
        <v>0.1</v>
      </c>
      <c r="F2" s="4">
        <v>3</v>
      </c>
      <c r="G2" s="4">
        <f>(3.3-1.5)</f>
        <v>1.7999999999999998</v>
      </c>
      <c r="H2" s="4"/>
      <c r="I2" s="4">
        <v>15</v>
      </c>
      <c r="J2" s="4">
        <v>8</v>
      </c>
      <c r="K2" s="4">
        <v>6</v>
      </c>
      <c r="L2" s="9">
        <v>11.2</v>
      </c>
      <c r="M2" s="35">
        <f>SUM(B2:L2)</f>
        <v>45.099999999999994</v>
      </c>
      <c r="N2" s="14">
        <f>M2*3.3/1000</f>
        <v>0.14882999999999999</v>
      </c>
      <c r="O2" s="29">
        <f>5*1.41</f>
        <v>7.05</v>
      </c>
      <c r="P2" s="4">
        <v>820</v>
      </c>
      <c r="Q2" s="14">
        <f>((M2/1000)*0.02)/(P2/1000000)</f>
        <v>1.0999999999999999</v>
      </c>
      <c r="R2" s="27">
        <f>(Q2/10000)*1000000</f>
        <v>109.99999999999999</v>
      </c>
      <c r="S2" s="16">
        <f>O2-Q2/2-3.3</f>
        <v>3.2</v>
      </c>
      <c r="T2" s="25">
        <f>S2*M2/1000</f>
        <v>0.14432</v>
      </c>
    </row>
    <row r="3" spans="1:20" x14ac:dyDescent="0.35">
      <c r="A3" s="7" t="s">
        <v>32</v>
      </c>
      <c r="B3" s="39">
        <v>200</v>
      </c>
      <c r="C3" s="5"/>
      <c r="D3" s="4"/>
      <c r="E3" s="4"/>
      <c r="F3" s="4"/>
      <c r="G3" s="4"/>
      <c r="H3" s="4"/>
      <c r="I3" s="4"/>
      <c r="J3" s="4"/>
      <c r="K3" s="4"/>
      <c r="L3" s="9"/>
      <c r="M3" s="35">
        <f t="shared" ref="M3:M8" si="0">SUM(B3:L3)</f>
        <v>200</v>
      </c>
      <c r="N3" s="14">
        <f>M3*5/1000</f>
        <v>1</v>
      </c>
      <c r="O3" s="29">
        <f>5*1.41</f>
        <v>7.05</v>
      </c>
      <c r="P3" s="4">
        <v>6800</v>
      </c>
      <c r="Q3" s="14">
        <f>((M3/1000)*0.02)/(P3/1000000)</f>
        <v>0.58823529411764708</v>
      </c>
      <c r="R3" s="27">
        <f>(Q3/10000)*1000000</f>
        <v>58.82352941176471</v>
      </c>
      <c r="S3" s="16">
        <f>O3-Q3/2-5</f>
        <v>1.7558823529411764</v>
      </c>
      <c r="T3" s="25">
        <f>S3*M3/1000</f>
        <v>0.35117647058823531</v>
      </c>
    </row>
    <row r="4" spans="1:20" x14ac:dyDescent="0.35">
      <c r="A4" s="8" t="s">
        <v>25</v>
      </c>
      <c r="B4" s="37"/>
      <c r="C4" s="6"/>
      <c r="D4" s="2"/>
      <c r="E4" s="2">
        <f>1.5+0.5</f>
        <v>2</v>
      </c>
      <c r="F4" s="2"/>
      <c r="G4" s="2"/>
      <c r="H4" s="2"/>
      <c r="I4" s="2"/>
      <c r="J4" s="2"/>
      <c r="K4" s="2"/>
      <c r="L4" s="10"/>
      <c r="M4" s="35">
        <f t="shared" si="0"/>
        <v>2</v>
      </c>
      <c r="N4" s="13">
        <f>M4*5/1000</f>
        <v>0.01</v>
      </c>
      <c r="O4" s="30">
        <f>15*1.41</f>
        <v>21.15</v>
      </c>
      <c r="P4" s="2"/>
      <c r="Q4" s="13"/>
      <c r="R4" s="28"/>
      <c r="S4" s="15">
        <f>O4-Q6/2-5</f>
        <v>15.578571428571426</v>
      </c>
      <c r="T4" s="26">
        <f>S4*M4/1000</f>
        <v>3.1157142857142852E-2</v>
      </c>
    </row>
    <row r="5" spans="1:20" x14ac:dyDescent="0.35">
      <c r="A5" s="8" t="s">
        <v>6</v>
      </c>
      <c r="B5" s="37"/>
      <c r="C5" s="6">
        <v>8</v>
      </c>
      <c r="D5" s="2">
        <f>0.9*4</f>
        <v>3.6</v>
      </c>
      <c r="E5" s="2">
        <f>7+5</f>
        <v>12</v>
      </c>
      <c r="F5" s="2"/>
      <c r="G5" s="2"/>
      <c r="H5" s="2">
        <f>1.7*2</f>
        <v>3.4</v>
      </c>
      <c r="I5" s="2"/>
      <c r="J5" s="2"/>
      <c r="K5" s="2"/>
      <c r="L5" s="10"/>
      <c r="M5" s="35">
        <f t="shared" si="0"/>
        <v>27</v>
      </c>
      <c r="N5" s="13">
        <f>M5*15/1000</f>
        <v>0.40500000000000003</v>
      </c>
      <c r="O5" s="30">
        <f>15*1.41</f>
        <v>21.15</v>
      </c>
      <c r="P5" s="2">
        <v>560</v>
      </c>
      <c r="Q5" s="13">
        <f>((M5/1000)*0.02)/(P5/1000000)</f>
        <v>0.96428571428571441</v>
      </c>
      <c r="R5" s="27">
        <f>(Q5/10000)*1000000</f>
        <v>96.428571428571445</v>
      </c>
      <c r="S5" s="16">
        <f>O5-Q5/2-15</f>
        <v>5.6678571428571409</v>
      </c>
      <c r="T5" s="26">
        <f>S5*M5/1000</f>
        <v>0.15303214285714281</v>
      </c>
    </row>
    <row r="6" spans="1:20" x14ac:dyDescent="0.35">
      <c r="A6" s="8" t="s">
        <v>7</v>
      </c>
      <c r="B6" s="37"/>
      <c r="C6" s="6">
        <f>8+3</f>
        <v>11</v>
      </c>
      <c r="D6" s="2">
        <f>D5</f>
        <v>3.6</v>
      </c>
      <c r="E6" s="2">
        <f>7+5</f>
        <v>12</v>
      </c>
      <c r="F6" s="2"/>
      <c r="G6" s="2"/>
      <c r="H6" s="2">
        <f>H5</f>
        <v>3.4</v>
      </c>
      <c r="I6" s="2"/>
      <c r="J6" s="2"/>
      <c r="K6" s="2"/>
      <c r="L6" s="10"/>
      <c r="M6" s="35">
        <f t="shared" si="0"/>
        <v>30</v>
      </c>
      <c r="N6" s="13">
        <f>M6*15/1000</f>
        <v>0.45</v>
      </c>
      <c r="O6" s="30">
        <f>15*1.41</f>
        <v>21.15</v>
      </c>
      <c r="P6" s="2">
        <v>560</v>
      </c>
      <c r="Q6" s="13">
        <f>(((M4+M6)/1000)*0.02)/(P6/1000000)</f>
        <v>1.142857142857143</v>
      </c>
      <c r="R6" s="27">
        <f>(Q6/10000)*1000000</f>
        <v>114.28571428571429</v>
      </c>
      <c r="S6" s="16">
        <f>O6-Q6/2-15</f>
        <v>5.5785714285714256</v>
      </c>
      <c r="T6" s="26">
        <f>S6*M6/1000</f>
        <v>0.16735714285714279</v>
      </c>
    </row>
    <row r="7" spans="1:20" x14ac:dyDescent="0.35">
      <c r="A7" s="42" t="s">
        <v>29</v>
      </c>
      <c r="B7" s="43">
        <v>20</v>
      </c>
      <c r="C7" s="41"/>
      <c r="D7" s="41"/>
      <c r="E7" s="41"/>
      <c r="F7" s="41"/>
      <c r="G7" s="41"/>
      <c r="H7" s="41"/>
      <c r="I7" s="41"/>
      <c r="J7" s="41"/>
      <c r="K7" s="41"/>
      <c r="L7" s="44"/>
      <c r="M7" s="40">
        <f t="shared" si="0"/>
        <v>20</v>
      </c>
      <c r="N7" s="13">
        <f>M7*30/1000</f>
        <v>0.6</v>
      </c>
      <c r="O7" s="30">
        <f>25*1.41</f>
        <v>35.25</v>
      </c>
      <c r="P7" s="2">
        <v>560</v>
      </c>
      <c r="Q7" s="13">
        <f t="shared" ref="Q7:Q8" si="1">((M7/1000)*0.02)/(P7/1000000)</f>
        <v>0.71428571428571441</v>
      </c>
      <c r="R7" s="27">
        <f t="shared" ref="R7:R8" si="2">(Q7/10000)*1000000</f>
        <v>71.428571428571445</v>
      </c>
      <c r="S7" s="16">
        <f>O7-Q7/2-30</f>
        <v>4.8928571428571459</v>
      </c>
      <c r="T7" s="26">
        <f t="shared" ref="T7:T8" si="3">S7*M7/1000</f>
        <v>9.785714285714292E-2</v>
      </c>
    </row>
    <row r="8" spans="1:20" x14ac:dyDescent="0.35">
      <c r="A8" s="42" t="s">
        <v>30</v>
      </c>
      <c r="B8" s="43">
        <v>20</v>
      </c>
      <c r="C8" s="41"/>
      <c r="D8" s="41"/>
      <c r="E8" s="41"/>
      <c r="F8" s="41"/>
      <c r="G8" s="41"/>
      <c r="H8" s="41"/>
      <c r="I8" s="41"/>
      <c r="J8" s="41"/>
      <c r="K8" s="41"/>
      <c r="L8" s="44"/>
      <c r="M8" s="40">
        <f t="shared" ref="M8" si="4">SUM(B8:L8)</f>
        <v>20</v>
      </c>
      <c r="N8" s="13">
        <f>M8*30/1000</f>
        <v>0.6</v>
      </c>
      <c r="O8" s="30">
        <f>25*1.41</f>
        <v>35.25</v>
      </c>
      <c r="P8" s="2">
        <v>560</v>
      </c>
      <c r="Q8" s="13">
        <f t="shared" ref="Q8" si="5">((M8/1000)*0.02)/(P8/1000000)</f>
        <v>0.71428571428571441</v>
      </c>
      <c r="R8" s="27">
        <f t="shared" si="2"/>
        <v>71.428571428571445</v>
      </c>
      <c r="S8" s="16">
        <f>O8-Q8/2-30</f>
        <v>4.8928571428571459</v>
      </c>
      <c r="T8" s="26">
        <f t="shared" si="3"/>
        <v>9.785714285714292E-2</v>
      </c>
    </row>
    <row r="9" spans="1:20" x14ac:dyDescent="0.35">
      <c r="A9" s="1"/>
      <c r="B9" s="1"/>
    </row>
    <row r="10" spans="1:20" x14ac:dyDescent="0.35">
      <c r="A10" s="31" t="s">
        <v>12</v>
      </c>
      <c r="B10" s="31"/>
      <c r="C10" s="31"/>
      <c r="D10" s="31"/>
      <c r="E10" s="11">
        <f>SUM(N2:N8)</f>
        <v>3.2138300000000002</v>
      </c>
      <c r="F10" t="s">
        <v>13</v>
      </c>
    </row>
    <row r="11" spans="1:20" x14ac:dyDescent="0.35">
      <c r="A11" s="32" t="s">
        <v>14</v>
      </c>
      <c r="B11" s="32"/>
      <c r="C11" s="32"/>
      <c r="D11" s="32"/>
      <c r="E11" s="11">
        <f>SUM(T2:T8)</f>
        <v>1.0427571848739496</v>
      </c>
      <c r="F11" t="s">
        <v>13</v>
      </c>
      <c r="I11" s="38"/>
    </row>
    <row r="12" spans="1:20" x14ac:dyDescent="0.35">
      <c r="A12" s="33" t="s">
        <v>15</v>
      </c>
      <c r="B12" s="33"/>
      <c r="C12" s="33"/>
      <c r="D12" s="33"/>
      <c r="E12">
        <v>3</v>
      </c>
      <c r="F12" t="s">
        <v>16</v>
      </c>
    </row>
    <row r="13" spans="1:20" x14ac:dyDescent="0.35">
      <c r="A13" s="32" t="s">
        <v>17</v>
      </c>
      <c r="B13" s="32"/>
      <c r="C13" s="32"/>
      <c r="D13" s="32"/>
      <c r="E13" s="11">
        <f>230*E12/1000</f>
        <v>0.69</v>
      </c>
      <c r="F13" t="s">
        <v>13</v>
      </c>
    </row>
    <row r="14" spans="1:20" x14ac:dyDescent="0.35">
      <c r="A14" s="33" t="s">
        <v>20</v>
      </c>
      <c r="B14" s="33"/>
      <c r="C14" s="33"/>
      <c r="D14" s="33"/>
      <c r="E14" s="12">
        <f>E13+E11+E10</f>
        <v>4.94658718487395</v>
      </c>
      <c r="F14" t="s">
        <v>13</v>
      </c>
    </row>
  </sheetData>
  <mergeCells count="5">
    <mergeCell ref="A10:D10"/>
    <mergeCell ref="A11:D11"/>
    <mergeCell ref="A12:D12"/>
    <mergeCell ref="A13:D13"/>
    <mergeCell ref="A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2021-01-22T00:42:15Z</dcterms:created>
  <dcterms:modified xsi:type="dcterms:W3CDTF">2022-01-28T11:24:58Z</dcterms:modified>
</cp:coreProperties>
</file>