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Проекты\Micron-GLIN-v.2\docs\"/>
    </mc:Choice>
  </mc:AlternateContent>
  <bookViews>
    <workbookView xWindow="0" yWindow="0" windowWidth="25600" windowHeight="11130"/>
  </bookViews>
  <sheets>
    <sheet name="Лист1" sheetId="1" r:id="rId1"/>
    <sheet name="Рассчет трансформатора Версия 3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O2" i="1"/>
  <c r="L2" i="1"/>
  <c r="I4" i="1"/>
  <c r="I7" i="1"/>
  <c r="H7" i="1"/>
  <c r="D5" i="1"/>
  <c r="E4" i="1"/>
  <c r="Q6" i="1"/>
  <c r="Q7" i="1" s="1"/>
  <c r="Q4" i="1"/>
  <c r="Q2" i="1"/>
  <c r="H6" i="2"/>
  <c r="H5" i="2"/>
  <c r="H4" i="2"/>
  <c r="H3" i="2"/>
  <c r="H2" i="2"/>
  <c r="G6" i="2"/>
  <c r="G5" i="2"/>
  <c r="G4" i="2"/>
  <c r="G3" i="2"/>
  <c r="G2" i="2"/>
  <c r="H16" i="2"/>
  <c r="H15" i="2"/>
  <c r="H14" i="2"/>
  <c r="H13" i="2"/>
  <c r="H12" i="2"/>
  <c r="F6" i="2"/>
  <c r="F5" i="2"/>
  <c r="F4" i="2"/>
  <c r="F3" i="2"/>
  <c r="F2" i="2"/>
  <c r="F16" i="2"/>
  <c r="F15" i="2"/>
  <c r="F13" i="2"/>
  <c r="F14" i="2"/>
  <c r="D16" i="2"/>
  <c r="C15" i="2"/>
  <c r="B15" i="2"/>
  <c r="D14" i="2"/>
  <c r="C13" i="2"/>
  <c r="B13" i="2"/>
  <c r="F12" i="2"/>
  <c r="D12" i="2"/>
  <c r="D2" i="2"/>
  <c r="B5" i="2"/>
  <c r="D6" i="2"/>
  <c r="C5" i="2"/>
  <c r="C3" i="2"/>
  <c r="Q5" i="1" l="1"/>
  <c r="G16" i="2"/>
  <c r="D15" i="2"/>
  <c r="D13" i="2"/>
  <c r="D17" i="2" s="1"/>
  <c r="D4" i="2"/>
  <c r="B3" i="2"/>
  <c r="D5" i="2"/>
  <c r="O7" i="1"/>
  <c r="O6" i="1"/>
  <c r="F3" i="1"/>
  <c r="V2" i="1" s="1"/>
  <c r="P2" i="1" l="1"/>
  <c r="S7" i="1"/>
  <c r="T7" i="1" s="1"/>
  <c r="V7" i="1"/>
  <c r="S6" i="1"/>
  <c r="T6" i="1" s="1"/>
  <c r="V6" i="1"/>
  <c r="D3" i="2"/>
  <c r="D7" i="2" s="1"/>
  <c r="P6" i="1"/>
  <c r="U7" i="1"/>
  <c r="P7" i="1"/>
  <c r="S2" i="1"/>
  <c r="I5" i="1"/>
  <c r="E5" i="1"/>
  <c r="U6" i="1" l="1"/>
  <c r="T2" i="1"/>
  <c r="U2" i="1"/>
  <c r="F12" i="1"/>
  <c r="F5" i="1"/>
  <c r="O5" i="1" s="1"/>
  <c r="V5" i="1" s="1"/>
  <c r="F4" i="1"/>
  <c r="O4" i="1" s="1"/>
  <c r="V4" i="1" s="1"/>
  <c r="S5" i="1" l="1"/>
  <c r="P4" i="1"/>
  <c r="S4" i="1"/>
  <c r="P5" i="1"/>
  <c r="T4" i="1" l="1"/>
  <c r="U4" i="1"/>
  <c r="F9" i="1"/>
  <c r="U5" i="1"/>
  <c r="T5" i="1"/>
  <c r="F10" i="1" l="1"/>
  <c r="F13" i="1" s="1"/>
</calcChain>
</file>

<file path=xl/sharedStrings.xml><?xml version="1.0" encoding="utf-8"?>
<sst xmlns="http://schemas.openxmlformats.org/spreadsheetml/2006/main" count="52" uniqueCount="45">
  <si>
    <t>DAC11001A</t>
  </si>
  <si>
    <t>AD9832</t>
  </si>
  <si>
    <t>ADUM4160</t>
  </si>
  <si>
    <t>STM32L152CBU6</t>
  </si>
  <si>
    <t>3.3V</t>
  </si>
  <si>
    <t>-15V</t>
  </si>
  <si>
    <t>+15V</t>
  </si>
  <si>
    <t>IC/Power bus power consumption (mA)</t>
  </si>
  <si>
    <t>Total per line (mA)</t>
  </si>
  <si>
    <t>Effective IC consumption (W)</t>
  </si>
  <si>
    <t>Effective IC consumption:</t>
  </si>
  <si>
    <t>W</t>
  </si>
  <si>
    <t>Transformer Iq:</t>
  </si>
  <si>
    <t>mA</t>
  </si>
  <si>
    <t>Quiescent transformer dissipation:</t>
  </si>
  <si>
    <t>Total:</t>
  </si>
  <si>
    <t>Storage cap ripple (V)</t>
  </si>
  <si>
    <t>Storage cap (uF)</t>
  </si>
  <si>
    <t>+5V</t>
  </si>
  <si>
    <t>LDO powerline noise (uV)</t>
  </si>
  <si>
    <t>+30V</t>
  </si>
  <si>
    <t>-30V</t>
  </si>
  <si>
    <t>Vectron C4550A1-0213</t>
  </si>
  <si>
    <t>Напряжение обмотки</t>
  </si>
  <si>
    <t>Ток обмотки</t>
  </si>
  <si>
    <t>Мощьность VA</t>
  </si>
  <si>
    <t>Напряжение после выпрямления</t>
  </si>
  <si>
    <t>Напряжение под типовой нагрузкой</t>
  </si>
  <si>
    <t>Коэфицент</t>
  </si>
  <si>
    <t>Напряжение рассчетное при 220В</t>
  </si>
  <si>
    <t>Напряжение рассчетное при 253В</t>
  </si>
  <si>
    <t>ОСМ Т 230/Э/60-30/40-20/7-0.025-50</t>
  </si>
  <si>
    <t>ОСМ Т 230/Э/50-25/30-15/5-0.025-50</t>
  </si>
  <si>
    <t>Dissipation on LDO (W)</t>
  </si>
  <si>
    <t>Dissipation on LDO:</t>
  </si>
  <si>
    <t>WEG010016A</t>
  </si>
  <si>
    <t>LM399AH</t>
  </si>
  <si>
    <t>6xOPA189</t>
  </si>
  <si>
    <t>LTC2057HVHMS</t>
  </si>
  <si>
    <t>LM3x7</t>
  </si>
  <si>
    <t>XC9572XL</t>
  </si>
  <si>
    <t>LTC6752HS5</t>
  </si>
  <si>
    <t>SN74LV1T34</t>
  </si>
  <si>
    <t>Unreg. voltage (VDC) CoilV3</t>
  </si>
  <si>
    <t>LDO voltage drop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</si>
</sst>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6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0" xfId="0" applyAlignment="1">
      <alignment wrapText="1"/>
    </xf>
    <xf numFmtId="49" fontId="0" fillId="0" borderId="8" xfId="0" applyNumberFormat="1" applyBorder="1"/>
    <xf numFmtId="49" fontId="0" fillId="0" borderId="4" xfId="0" applyNumberFormat="1" applyBorder="1"/>
    <xf numFmtId="164" fontId="0" fillId="0" borderId="0" xfId="0" applyNumberFormat="1"/>
    <xf numFmtId="164" fontId="1" fillId="2" borderId="0" xfId="1" applyNumberFormat="1"/>
    <xf numFmtId="2" fontId="0" fillId="0" borderId="1" xfId="0" applyNumberFormat="1" applyBorder="1"/>
    <xf numFmtId="2" fontId="0" fillId="0" borderId="8" xfId="0" applyNumberFormat="1" applyBorder="1" applyAlignment="1">
      <alignment vertical="top"/>
    </xf>
    <xf numFmtId="49" fontId="0" fillId="0" borderId="7" xfId="0" applyNumberFormat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164" fontId="0" fillId="0" borderId="15" xfId="0" applyNumberFormat="1" applyBorder="1"/>
    <xf numFmtId="2" fontId="0" fillId="0" borderId="11" xfId="0" applyNumberFormat="1" applyBorder="1"/>
    <xf numFmtId="165" fontId="0" fillId="0" borderId="12" xfId="0" applyNumberFormat="1" applyBorder="1"/>
    <xf numFmtId="49" fontId="0" fillId="0" borderId="18" xfId="0" applyNumberFormat="1" applyBorder="1" applyAlignment="1">
      <alignment horizontal="center" vertical="top" wrapText="1"/>
    </xf>
    <xf numFmtId="49" fontId="0" fillId="0" borderId="14" xfId="0" applyNumberFormat="1" applyBorder="1" applyAlignment="1">
      <alignment horizontal="right"/>
    </xf>
    <xf numFmtId="165" fontId="0" fillId="0" borderId="0" xfId="0" applyNumberFormat="1"/>
    <xf numFmtId="49" fontId="0" fillId="0" borderId="6" xfId="0" applyNumberFormat="1" applyBorder="1" applyAlignment="1">
      <alignment horizontal="right"/>
    </xf>
    <xf numFmtId="165" fontId="0" fillId="0" borderId="1" xfId="0" applyNumberFormat="1" applyBorder="1"/>
    <xf numFmtId="49" fontId="0" fillId="0" borderId="12" xfId="0" applyNumberFormat="1" applyBorder="1"/>
    <xf numFmtId="0" fontId="0" fillId="0" borderId="9" xfId="0" applyNumberFormat="1" applyBorder="1"/>
    <xf numFmtId="165" fontId="0" fillId="0" borderId="4" xfId="0" applyNumberFormat="1" applyBorder="1"/>
    <xf numFmtId="49" fontId="0" fillId="0" borderId="0" xfId="0" applyNumberFormat="1" applyAlignment="1">
      <alignment horizontal="right"/>
    </xf>
    <xf numFmtId="49" fontId="0" fillId="0" borderId="0" xfId="0" applyNumberForma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19" xfId="0" applyBorder="1" applyAlignment="1">
      <alignment horizontal="center" vertical="center"/>
    </xf>
    <xf numFmtId="0" fontId="0" fillId="0" borderId="1" xfId="0" applyFill="1" applyBorder="1"/>
    <xf numFmtId="0" fontId="1" fillId="2" borderId="1" xfId="1" applyBorder="1"/>
    <xf numFmtId="164" fontId="0" fillId="0" borderId="23" xfId="0" applyNumberFormat="1" applyBorder="1" applyAlignment="1">
      <alignment horizontal="right" vertical="center"/>
    </xf>
    <xf numFmtId="164" fontId="0" fillId="0" borderId="17" xfId="0" applyNumberFormat="1" applyBorder="1" applyAlignment="1">
      <alignment horizontal="right" vertical="center"/>
    </xf>
    <xf numFmtId="165" fontId="0" fillId="0" borderId="20" xfId="0" applyNumberFormat="1" applyBorder="1" applyAlignment="1">
      <alignment horizontal="right" vertical="center"/>
    </xf>
    <xf numFmtId="2" fontId="0" fillId="0" borderId="21" xfId="0" applyNumberFormat="1" applyBorder="1" applyAlignment="1">
      <alignment horizontal="right" vertical="center"/>
    </xf>
    <xf numFmtId="165" fontId="0" fillId="0" borderId="21" xfId="0" applyNumberFormat="1" applyBorder="1" applyAlignment="1">
      <alignment horizontal="right" vertical="center"/>
    </xf>
    <xf numFmtId="0" fontId="0" fillId="0" borderId="21" xfId="0" applyBorder="1" applyAlignment="1">
      <alignment horizontal="right" vertical="center"/>
    </xf>
    <xf numFmtId="2" fontId="0" fillId="0" borderId="22" xfId="0" applyNumberFormat="1" applyBorder="1" applyAlignment="1">
      <alignment horizontal="right" vertical="center"/>
    </xf>
    <xf numFmtId="165" fontId="0" fillId="0" borderId="14" xfId="0" applyNumberFormat="1" applyBorder="1" applyAlignment="1">
      <alignment horizontal="right" vertical="center"/>
    </xf>
    <xf numFmtId="2" fontId="0" fillId="0" borderId="3" xfId="0" applyNumberFormat="1" applyBorder="1" applyAlignment="1">
      <alignment horizontal="right" vertical="center"/>
    </xf>
    <xf numFmtId="165" fontId="0" fillId="0" borderId="3" xfId="0" applyNumberFormat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2" fontId="0" fillId="0" borderId="8" xfId="0" applyNumberFormat="1" applyBorder="1" applyAlignment="1">
      <alignment horizontal="right" vertical="center"/>
    </xf>
    <xf numFmtId="165" fontId="0" fillId="0" borderId="24" xfId="0" applyNumberFormat="1" applyBorder="1" applyAlignment="1">
      <alignment horizontal="right"/>
    </xf>
    <xf numFmtId="165" fontId="0" fillId="0" borderId="25" xfId="0" applyNumberFormat="1" applyBorder="1" applyAlignment="1">
      <alignment horizontal="right"/>
    </xf>
    <xf numFmtId="0" fontId="0" fillId="0" borderId="25" xfId="0" applyBorder="1"/>
    <xf numFmtId="0" fontId="0" fillId="0" borderId="26" xfId="0" applyBorder="1"/>
    <xf numFmtId="0" fontId="0" fillId="0" borderId="9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0" fontId="0" fillId="0" borderId="4" xfId="0" applyBorder="1"/>
    <xf numFmtId="165" fontId="0" fillId="0" borderId="9" xfId="0" applyNumberFormat="1" applyBorder="1" applyAlignment="1">
      <alignment horizontal="right"/>
    </xf>
    <xf numFmtId="0" fontId="0" fillId="0" borderId="1" xfId="0" applyNumberFormat="1" applyBorder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workbookViewId="0">
      <selection activeCell="E17" sqref="E17"/>
    </sheetView>
  </sheetViews>
  <sheetFormatPr defaultRowHeight="14.5" x14ac:dyDescent="0.35"/>
  <cols>
    <col min="1" max="3" width="12.7265625" customWidth="1"/>
    <col min="4" max="4" width="9.36328125" customWidth="1"/>
    <col min="5" max="5" width="11" customWidth="1"/>
    <col min="6" max="6" width="10.7265625" customWidth="1"/>
    <col min="7" max="7" width="20.1796875" customWidth="1"/>
    <col min="8" max="8" width="16.90625" customWidth="1"/>
    <col min="9" max="9" width="10.26953125" customWidth="1"/>
    <col min="10" max="10" width="7.6328125" customWidth="1"/>
    <col min="11" max="12" width="11.54296875" customWidth="1"/>
    <col min="13" max="13" width="11.08984375" customWidth="1"/>
    <col min="14" max="14" width="15.1796875" customWidth="1"/>
    <col min="15" max="15" width="9.54296875" customWidth="1"/>
    <col min="16" max="16" width="12.36328125" customWidth="1"/>
    <col min="17" max="17" width="11" customWidth="1"/>
    <col min="19" max="20" width="10.6328125" customWidth="1"/>
    <col min="21" max="21" width="12.36328125" customWidth="1"/>
    <col min="22" max="22" width="13.36328125" customWidth="1"/>
  </cols>
  <sheetData>
    <row r="1" spans="1:22" s="3" customFormat="1" ht="58.5" thickBot="1" x14ac:dyDescent="0.4">
      <c r="A1" s="10" t="s">
        <v>7</v>
      </c>
      <c r="B1" s="21" t="s">
        <v>22</v>
      </c>
      <c r="C1" s="21" t="s">
        <v>40</v>
      </c>
      <c r="D1" s="11" t="s">
        <v>36</v>
      </c>
      <c r="E1" s="12" t="s">
        <v>37</v>
      </c>
      <c r="F1" s="12" t="s">
        <v>0</v>
      </c>
      <c r="G1" s="12" t="s">
        <v>35</v>
      </c>
      <c r="H1" s="12" t="s">
        <v>38</v>
      </c>
      <c r="I1" s="12" t="s">
        <v>39</v>
      </c>
      <c r="J1" s="12" t="s">
        <v>1</v>
      </c>
      <c r="K1" s="12" t="s">
        <v>41</v>
      </c>
      <c r="L1" s="12" t="s">
        <v>42</v>
      </c>
      <c r="M1" s="12" t="s">
        <v>2</v>
      </c>
      <c r="N1" s="13" t="s">
        <v>3</v>
      </c>
      <c r="O1" s="14" t="s">
        <v>8</v>
      </c>
      <c r="P1" s="12" t="s">
        <v>9</v>
      </c>
      <c r="Q1" s="16" t="s">
        <v>43</v>
      </c>
      <c r="R1" s="12" t="s">
        <v>17</v>
      </c>
      <c r="S1" s="12" t="s">
        <v>16</v>
      </c>
      <c r="T1" s="13" t="s">
        <v>19</v>
      </c>
      <c r="U1" s="15" t="s">
        <v>44</v>
      </c>
      <c r="V1" s="17" t="s">
        <v>33</v>
      </c>
    </row>
    <row r="2" spans="1:22" ht="15" thickTop="1" x14ac:dyDescent="0.35">
      <c r="A2" s="4" t="s">
        <v>4</v>
      </c>
      <c r="B2" s="47"/>
      <c r="C2" s="48">
        <v>50</v>
      </c>
      <c r="D2" s="49"/>
      <c r="E2" s="49"/>
      <c r="F2" s="49">
        <v>0.1</v>
      </c>
      <c r="G2" s="49"/>
      <c r="H2" s="49"/>
      <c r="I2" s="49"/>
      <c r="J2" s="49">
        <v>15</v>
      </c>
      <c r="K2" s="49">
        <v>4.5</v>
      </c>
      <c r="L2" s="49">
        <f>1.5*2</f>
        <v>3</v>
      </c>
      <c r="M2" s="49">
        <v>6</v>
      </c>
      <c r="N2" s="50">
        <v>11.2</v>
      </c>
      <c r="O2" s="37">
        <f>SUM(B2:N2)+SUM(B3:N3)</f>
        <v>321.8</v>
      </c>
      <c r="P2" s="38">
        <f>O2*5/1000</f>
        <v>1.609</v>
      </c>
      <c r="Q2" s="39">
        <f>'Рассчет трансформатора Версия 3'!G6</f>
        <v>9.9329999999999998</v>
      </c>
      <c r="R2" s="40">
        <v>6800</v>
      </c>
      <c r="S2" s="38">
        <f>((O2/1000)*0.02)/(R2/1000000)</f>
        <v>0.94647058823529429</v>
      </c>
      <c r="T2" s="38">
        <f>(S2/10000)*1000000</f>
        <v>94.64705882352942</v>
      </c>
      <c r="U2" s="41">
        <f>Q2-S2/2-5</f>
        <v>4.4597647058823533</v>
      </c>
      <c r="V2" s="35">
        <f>(Q2-5)*O2/1000</f>
        <v>1.5874394000000001</v>
      </c>
    </row>
    <row r="3" spans="1:22" x14ac:dyDescent="0.35">
      <c r="A3" s="5" t="s">
        <v>18</v>
      </c>
      <c r="B3" s="51">
        <v>200</v>
      </c>
      <c r="C3" s="52"/>
      <c r="D3" s="2"/>
      <c r="E3" s="2"/>
      <c r="F3" s="2">
        <f>1.5+0.5</f>
        <v>2</v>
      </c>
      <c r="G3" s="2">
        <v>30</v>
      </c>
      <c r="H3" s="2"/>
      <c r="I3" s="2"/>
      <c r="J3" s="2"/>
      <c r="K3" s="2"/>
      <c r="L3" s="2"/>
      <c r="M3" s="2"/>
      <c r="N3" s="53"/>
      <c r="O3" s="42"/>
      <c r="P3" s="43"/>
      <c r="Q3" s="44"/>
      <c r="R3" s="45"/>
      <c r="S3" s="43"/>
      <c r="T3" s="43"/>
      <c r="U3" s="46"/>
      <c r="V3" s="36"/>
    </row>
    <row r="4" spans="1:22" x14ac:dyDescent="0.35">
      <c r="A4" s="5" t="s">
        <v>5</v>
      </c>
      <c r="B4" s="54"/>
      <c r="C4" s="52"/>
      <c r="D4" s="2">
        <f>18*2</f>
        <v>36</v>
      </c>
      <c r="E4" s="2">
        <f>1.3*6</f>
        <v>7.8000000000000007</v>
      </c>
      <c r="F4" s="2">
        <f>7+5</f>
        <v>12</v>
      </c>
      <c r="G4" s="2"/>
      <c r="H4" s="2"/>
      <c r="I4" s="2">
        <f>5.7+5.7</f>
        <v>11.4</v>
      </c>
      <c r="J4" s="2"/>
      <c r="K4" s="2"/>
      <c r="L4" s="2"/>
      <c r="M4" s="2"/>
      <c r="N4" s="53"/>
      <c r="O4" s="22">
        <f t="shared" ref="O4:O6" si="0">SUM(B4:N4)</f>
        <v>67.2</v>
      </c>
      <c r="P4" s="8">
        <f>O4*15/1000</f>
        <v>1.008</v>
      </c>
      <c r="Q4" s="20">
        <f>'Рассчет трансформатора Версия 3'!G4</f>
        <v>26.319999999999997</v>
      </c>
      <c r="R4" s="2">
        <v>2200</v>
      </c>
      <c r="S4" s="8">
        <f>((O4/1000)*0.02)/(R4/1000000)</f>
        <v>0.61090909090909096</v>
      </c>
      <c r="T4" s="19">
        <f>(S4/10000)*1000000</f>
        <v>61.090909090909093</v>
      </c>
      <c r="U4" s="9">
        <f>Q4-S4/2-15</f>
        <v>11.014545454545452</v>
      </c>
      <c r="V4" s="18">
        <f>(Q4-15)*O4/1000</f>
        <v>0.76070399999999982</v>
      </c>
    </row>
    <row r="5" spans="1:22" x14ac:dyDescent="0.35">
      <c r="A5" s="5" t="s">
        <v>6</v>
      </c>
      <c r="B5" s="54"/>
      <c r="C5" s="52"/>
      <c r="D5" s="2">
        <f>D4+1.3</f>
        <v>37.299999999999997</v>
      </c>
      <c r="E5" s="2">
        <f>E4</f>
        <v>7.8000000000000007</v>
      </c>
      <c r="F5" s="2">
        <f>7+5</f>
        <v>12</v>
      </c>
      <c r="G5" s="2"/>
      <c r="H5" s="2"/>
      <c r="I5" s="2">
        <f>I4</f>
        <v>11.4</v>
      </c>
      <c r="J5" s="2"/>
      <c r="K5" s="2"/>
      <c r="L5" s="2"/>
      <c r="M5" s="2"/>
      <c r="N5" s="53"/>
      <c r="O5" s="22">
        <f t="shared" si="0"/>
        <v>68.5</v>
      </c>
      <c r="P5" s="8">
        <f>O5*15/1000</f>
        <v>1.0275000000000001</v>
      </c>
      <c r="Q5" s="20">
        <f>Q4</f>
        <v>26.319999999999997</v>
      </c>
      <c r="R5" s="2">
        <v>2200</v>
      </c>
      <c r="S5" s="8">
        <f>(((O3+O5)/1000)*0.02)/(R5/1000000)</f>
        <v>0.6227272727272728</v>
      </c>
      <c r="T5" s="19">
        <f>(S5/10000)*1000000</f>
        <v>62.272727272727273</v>
      </c>
      <c r="U5" s="9">
        <f>Q5-S5/2-15</f>
        <v>11.008636363636359</v>
      </c>
      <c r="V5" s="18">
        <f>(Q5-15)*O5/1000</f>
        <v>0.77541999999999978</v>
      </c>
    </row>
    <row r="6" spans="1:22" x14ac:dyDescent="0.35">
      <c r="A6" s="26" t="s">
        <v>20</v>
      </c>
      <c r="B6" s="27"/>
      <c r="C6" s="55"/>
      <c r="D6" s="25"/>
      <c r="E6" s="25"/>
      <c r="F6" s="25"/>
      <c r="G6" s="25"/>
      <c r="H6" s="25">
        <v>0.88</v>
      </c>
      <c r="I6" s="25">
        <v>4.2</v>
      </c>
      <c r="J6" s="25"/>
      <c r="K6" s="25"/>
      <c r="L6" s="25"/>
      <c r="M6" s="25"/>
      <c r="N6" s="28"/>
      <c r="O6" s="24">
        <f t="shared" si="0"/>
        <v>5.08</v>
      </c>
      <c r="P6" s="8">
        <f>O6*30/1000</f>
        <v>0.15240000000000001</v>
      </c>
      <c r="Q6" s="20">
        <f>'Рассчет трансформатора Версия 3'!G2</f>
        <v>42.48</v>
      </c>
      <c r="R6" s="2">
        <v>470</v>
      </c>
      <c r="S6" s="8">
        <f t="shared" ref="S6" si="1">((O6/1000)*0.02)/(R6/1000000)</f>
        <v>0.21617021276595746</v>
      </c>
      <c r="T6" s="19">
        <f t="shared" ref="T6:T7" si="2">(S6/10000)*1000000</f>
        <v>21.617021276595747</v>
      </c>
      <c r="U6" s="9">
        <f>Q6-S6/2-30</f>
        <v>12.371914893617017</v>
      </c>
      <c r="V6" s="18">
        <f>(Q6-30)*O6/1000</f>
        <v>6.3398399999999994E-2</v>
      </c>
    </row>
    <row r="7" spans="1:22" x14ac:dyDescent="0.35">
      <c r="A7" s="26" t="s">
        <v>21</v>
      </c>
      <c r="B7" s="27"/>
      <c r="C7" s="55"/>
      <c r="D7" s="25"/>
      <c r="E7" s="25"/>
      <c r="F7" s="25"/>
      <c r="G7" s="25"/>
      <c r="H7" s="25">
        <f>H6</f>
        <v>0.88</v>
      </c>
      <c r="I7" s="25">
        <f>I6</f>
        <v>4.2</v>
      </c>
      <c r="J7" s="25"/>
      <c r="K7" s="25"/>
      <c r="L7" s="25"/>
      <c r="M7" s="25"/>
      <c r="N7" s="28"/>
      <c r="O7" s="24">
        <f t="shared" ref="O7" si="3">SUM(B7:N7)</f>
        <v>5.08</v>
      </c>
      <c r="P7" s="8">
        <f>O7*30/1000</f>
        <v>0.15240000000000001</v>
      </c>
      <c r="Q7" s="20">
        <f>Q6</f>
        <v>42.48</v>
      </c>
      <c r="R7" s="2">
        <v>470</v>
      </c>
      <c r="S7" s="8">
        <f t="shared" ref="S7" si="4">((O7/1000)*0.02)/(R7/1000000)</f>
        <v>0.21617021276595746</v>
      </c>
      <c r="T7" s="19">
        <f t="shared" si="2"/>
        <v>21.617021276595747</v>
      </c>
      <c r="U7" s="9">
        <f>Q7-S7/2-30</f>
        <v>12.371914893617017</v>
      </c>
      <c r="V7" s="18">
        <f>(Q7-30)*O7/1000</f>
        <v>6.3398399999999994E-2</v>
      </c>
    </row>
    <row r="8" spans="1:22" x14ac:dyDescent="0.35">
      <c r="A8" s="1"/>
      <c r="B8" s="1"/>
      <c r="C8" s="1"/>
      <c r="V8" s="6"/>
    </row>
    <row r="9" spans="1:22" x14ac:dyDescent="0.35">
      <c r="A9" s="29" t="s">
        <v>10</v>
      </c>
      <c r="B9" s="29"/>
      <c r="C9" s="29"/>
      <c r="D9" s="29"/>
      <c r="E9" s="29"/>
      <c r="F9" s="6">
        <f>SUM(P2:P7)</f>
        <v>3.9493</v>
      </c>
      <c r="G9" t="s">
        <v>11</v>
      </c>
    </row>
    <row r="10" spans="1:22" x14ac:dyDescent="0.35">
      <c r="A10" s="30" t="s">
        <v>34</v>
      </c>
      <c r="B10" s="30"/>
      <c r="C10" s="30"/>
      <c r="D10" s="30"/>
      <c r="E10" s="30"/>
      <c r="F10" s="6">
        <f>SUM(V2:V7)</f>
        <v>3.2503601999999994</v>
      </c>
      <c r="G10" t="s">
        <v>11</v>
      </c>
      <c r="J10" s="23"/>
    </row>
    <row r="11" spans="1:22" x14ac:dyDescent="0.35">
      <c r="A11" s="31" t="s">
        <v>12</v>
      </c>
      <c r="B11" s="31"/>
      <c r="C11" s="31"/>
      <c r="D11" s="31"/>
      <c r="E11" s="31"/>
      <c r="F11">
        <v>3</v>
      </c>
      <c r="G11" t="s">
        <v>13</v>
      </c>
    </row>
    <row r="12" spans="1:22" x14ac:dyDescent="0.35">
      <c r="A12" s="30" t="s">
        <v>14</v>
      </c>
      <c r="B12" s="30"/>
      <c r="C12" s="30"/>
      <c r="D12" s="30"/>
      <c r="E12" s="30"/>
      <c r="F12" s="6">
        <f>230*F11/1000</f>
        <v>0.69</v>
      </c>
      <c r="G12" t="s">
        <v>11</v>
      </c>
    </row>
    <row r="13" spans="1:22" x14ac:dyDescent="0.35">
      <c r="A13" s="31" t="s">
        <v>15</v>
      </c>
      <c r="B13" s="31"/>
      <c r="C13" s="31"/>
      <c r="D13" s="31"/>
      <c r="E13" s="31"/>
      <c r="F13" s="7">
        <f>F12+F10+F9</f>
        <v>7.8896601999999998</v>
      </c>
      <c r="G13" t="s">
        <v>11</v>
      </c>
    </row>
  </sheetData>
  <mergeCells count="13">
    <mergeCell ref="T2:T3"/>
    <mergeCell ref="U2:U3"/>
    <mergeCell ref="V2:V3"/>
    <mergeCell ref="O2:O3"/>
    <mergeCell ref="P2:P3"/>
    <mergeCell ref="Q2:Q3"/>
    <mergeCell ref="R2:R3"/>
    <mergeCell ref="S2:S3"/>
    <mergeCell ref="A9:E9"/>
    <mergeCell ref="A10:E10"/>
    <mergeCell ref="A11:E11"/>
    <mergeCell ref="A12:E12"/>
    <mergeCell ref="A13:E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A31" sqref="A31"/>
    </sheetView>
  </sheetViews>
  <sheetFormatPr defaultRowHeight="14.5" x14ac:dyDescent="0.35"/>
  <cols>
    <col min="1" max="1" width="33.1796875" customWidth="1"/>
    <col min="2" max="2" width="20.26953125" customWidth="1"/>
    <col min="3" max="3" width="13.7265625" customWidth="1"/>
    <col min="4" max="4" width="13.6328125" customWidth="1"/>
    <col min="6" max="6" width="29.08984375" customWidth="1"/>
    <col min="7" max="7" width="32.81640625" customWidth="1"/>
    <col min="8" max="8" width="30.6328125" customWidth="1"/>
  </cols>
  <sheetData>
    <row r="1" spans="1:8" x14ac:dyDescent="0.35">
      <c r="A1" s="32" t="s">
        <v>31</v>
      </c>
      <c r="B1" s="2" t="s">
        <v>23</v>
      </c>
      <c r="C1" s="2" t="s">
        <v>24</v>
      </c>
      <c r="D1" s="2" t="s">
        <v>25</v>
      </c>
      <c r="E1" s="2"/>
      <c r="F1" s="2" t="s">
        <v>26</v>
      </c>
      <c r="G1" s="2" t="s">
        <v>29</v>
      </c>
      <c r="H1" s="2" t="s">
        <v>30</v>
      </c>
    </row>
    <row r="2" spans="1:8" x14ac:dyDescent="0.35">
      <c r="A2" s="32"/>
      <c r="B2" s="2">
        <v>30</v>
      </c>
      <c r="C2" s="2">
        <v>0.05</v>
      </c>
      <c r="D2" s="2">
        <f>B2*C2</f>
        <v>1.5</v>
      </c>
      <c r="E2" s="2"/>
      <c r="F2" s="2">
        <f>(B2*1.41)-1.2</f>
        <v>41.099999999999994</v>
      </c>
      <c r="G2" s="2">
        <f>B2*H12</f>
        <v>42.48</v>
      </c>
      <c r="H2" s="2">
        <f>G2*1.1</f>
        <v>46.728000000000002</v>
      </c>
    </row>
    <row r="3" spans="1:8" x14ac:dyDescent="0.35">
      <c r="A3" s="32"/>
      <c r="B3" s="2">
        <f>-B2</f>
        <v>-30</v>
      </c>
      <c r="C3" s="2">
        <f>C2</f>
        <v>0.05</v>
      </c>
      <c r="D3" s="2">
        <f>-B3*C3</f>
        <v>1.5</v>
      </c>
      <c r="E3" s="2"/>
      <c r="F3" s="2">
        <f>(B3*1.41)+1.2</f>
        <v>-41.099999999999994</v>
      </c>
      <c r="G3" s="2">
        <f t="shared" ref="G3:G6" si="0">B3*H13</f>
        <v>-42.48</v>
      </c>
      <c r="H3" s="2">
        <f t="shared" ref="H3:H6" si="1">G3*1.1</f>
        <v>-46.728000000000002</v>
      </c>
    </row>
    <row r="4" spans="1:8" x14ac:dyDescent="0.35">
      <c r="A4" s="32"/>
      <c r="B4" s="2">
        <v>20</v>
      </c>
      <c r="C4" s="2">
        <v>0.25</v>
      </c>
      <c r="D4" s="2">
        <f>B4*C4</f>
        <v>5</v>
      </c>
      <c r="E4" s="2"/>
      <c r="F4" s="2">
        <f>(B4*1.41)-1.2</f>
        <v>27</v>
      </c>
      <c r="G4" s="2">
        <f t="shared" si="0"/>
        <v>26.319999999999997</v>
      </c>
      <c r="H4" s="2">
        <f t="shared" si="1"/>
        <v>28.951999999999998</v>
      </c>
    </row>
    <row r="5" spans="1:8" x14ac:dyDescent="0.35">
      <c r="A5" s="32"/>
      <c r="B5" s="2">
        <f>-B4</f>
        <v>-20</v>
      </c>
      <c r="C5" s="2">
        <f>C4</f>
        <v>0.25</v>
      </c>
      <c r="D5" s="2">
        <f>-B5*C5</f>
        <v>5</v>
      </c>
      <c r="E5" s="2"/>
      <c r="F5" s="2">
        <f>(B5*1.41)+1.2</f>
        <v>-27</v>
      </c>
      <c r="G5" s="2">
        <f t="shared" si="0"/>
        <v>-26.319999999999997</v>
      </c>
      <c r="H5" s="2">
        <f t="shared" si="1"/>
        <v>-28.951999999999998</v>
      </c>
    </row>
    <row r="6" spans="1:8" x14ac:dyDescent="0.35">
      <c r="A6" s="32"/>
      <c r="B6" s="2">
        <v>7</v>
      </c>
      <c r="C6" s="2">
        <v>1.7</v>
      </c>
      <c r="D6" s="2">
        <f>B6*C6</f>
        <v>11.9</v>
      </c>
      <c r="E6" s="2"/>
      <c r="F6" s="2">
        <f>(B6*1.41)-0.6</f>
        <v>9.27</v>
      </c>
      <c r="G6" s="2">
        <f t="shared" si="0"/>
        <v>9.9329999999999998</v>
      </c>
      <c r="H6" s="2">
        <f t="shared" si="1"/>
        <v>10.926300000000001</v>
      </c>
    </row>
    <row r="7" spans="1:8" x14ac:dyDescent="0.35">
      <c r="D7">
        <f>SUM(D2:D6)</f>
        <v>24.9</v>
      </c>
    </row>
    <row r="11" spans="1:8" x14ac:dyDescent="0.35">
      <c r="A11" s="32" t="s">
        <v>32</v>
      </c>
      <c r="B11" s="2" t="s">
        <v>23</v>
      </c>
      <c r="C11" s="2" t="s">
        <v>24</v>
      </c>
      <c r="D11" s="2" t="s">
        <v>25</v>
      </c>
      <c r="E11" s="2"/>
      <c r="F11" s="2" t="s">
        <v>26</v>
      </c>
      <c r="G11" s="2" t="s">
        <v>27</v>
      </c>
      <c r="H11" s="33" t="s">
        <v>28</v>
      </c>
    </row>
    <row r="12" spans="1:8" x14ac:dyDescent="0.35">
      <c r="A12" s="32"/>
      <c r="B12" s="2">
        <v>25</v>
      </c>
      <c r="C12" s="2">
        <v>0.1</v>
      </c>
      <c r="D12" s="2">
        <f>B12*C12</f>
        <v>2.5</v>
      </c>
      <c r="E12" s="2"/>
      <c r="F12" s="2">
        <f>(B12*1.41)-1.2</f>
        <v>34.049999999999997</v>
      </c>
      <c r="G12" s="34">
        <v>35.4</v>
      </c>
      <c r="H12" s="2">
        <f>G12/B12</f>
        <v>1.4159999999999999</v>
      </c>
    </row>
    <row r="13" spans="1:8" x14ac:dyDescent="0.35">
      <c r="A13" s="32"/>
      <c r="B13" s="2">
        <f>-B12</f>
        <v>-25</v>
      </c>
      <c r="C13" s="2">
        <f>C12</f>
        <v>0.1</v>
      </c>
      <c r="D13" s="2">
        <f>-B13*C13</f>
        <v>2.5</v>
      </c>
      <c r="E13" s="2"/>
      <c r="F13" s="2">
        <f>(B13*1.41)+1.2</f>
        <v>-34.049999999999997</v>
      </c>
      <c r="G13" s="34">
        <v>-35.4</v>
      </c>
      <c r="H13" s="2">
        <f t="shared" ref="H13:H16" si="2">G13/B13</f>
        <v>1.4159999999999999</v>
      </c>
    </row>
    <row r="14" spans="1:8" x14ac:dyDescent="0.35">
      <c r="A14" s="32"/>
      <c r="B14" s="2">
        <v>15</v>
      </c>
      <c r="C14" s="2">
        <v>0.25</v>
      </c>
      <c r="D14" s="2">
        <f>B14*C14</f>
        <v>3.75</v>
      </c>
      <c r="E14" s="2"/>
      <c r="F14" s="2">
        <f>(B14*1.41)-1.2</f>
        <v>19.95</v>
      </c>
      <c r="G14" s="34">
        <v>19.739999999999998</v>
      </c>
      <c r="H14" s="2">
        <f t="shared" si="2"/>
        <v>1.3159999999999998</v>
      </c>
    </row>
    <row r="15" spans="1:8" x14ac:dyDescent="0.35">
      <c r="A15" s="32"/>
      <c r="B15" s="2">
        <f>-B14</f>
        <v>-15</v>
      </c>
      <c r="C15" s="2">
        <f>C14</f>
        <v>0.25</v>
      </c>
      <c r="D15" s="2">
        <f>-B15*C15</f>
        <v>3.75</v>
      </c>
      <c r="E15" s="2"/>
      <c r="F15" s="2">
        <f>(B15*1.41)+1.2</f>
        <v>-19.95</v>
      </c>
      <c r="G15" s="34">
        <v>-19.739999999999998</v>
      </c>
      <c r="H15" s="2">
        <f t="shared" si="2"/>
        <v>1.3159999999999998</v>
      </c>
    </row>
    <row r="16" spans="1:8" x14ac:dyDescent="0.35">
      <c r="A16" s="32"/>
      <c r="B16" s="2">
        <v>5</v>
      </c>
      <c r="C16" s="2">
        <v>2.5</v>
      </c>
      <c r="D16" s="2">
        <f>B16*C16</f>
        <v>12.5</v>
      </c>
      <c r="E16" s="2"/>
      <c r="F16" s="2">
        <f>(B16*1.41)-0.6</f>
        <v>6.45</v>
      </c>
      <c r="G16" s="34">
        <f t="shared" ref="G13:G16" si="3">F16*1.1</f>
        <v>7.0950000000000006</v>
      </c>
      <c r="H16" s="2">
        <f t="shared" si="2"/>
        <v>1.419</v>
      </c>
    </row>
    <row r="17" spans="4:4" x14ac:dyDescent="0.35">
      <c r="D17">
        <f>SUM(D12:D16)</f>
        <v>25</v>
      </c>
    </row>
  </sheetData>
  <mergeCells count="2">
    <mergeCell ref="A1:A6"/>
    <mergeCell ref="A11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Рассчет трансформатора Версия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2021-01-22T00:42:15Z</dcterms:created>
  <dcterms:modified xsi:type="dcterms:W3CDTF">2022-07-07T16:37:15Z</dcterms:modified>
</cp:coreProperties>
</file>