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docs\"/>
    </mc:Choice>
  </mc:AlternateContent>
  <bookViews>
    <workbookView xWindow="0" yWindow="0" windowWidth="25600" windowHeight="11130"/>
  </bookViews>
  <sheets>
    <sheet name="Лист1" sheetId="1" r:id="rId1"/>
    <sheet name="Рассчет трансформатора" sheetId="2" r:id="rId2"/>
    <sheet name="ldo resist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B1" i="3"/>
  <c r="F1" i="3"/>
  <c r="F3" i="3"/>
  <c r="F4" i="3"/>
  <c r="F5" i="3"/>
  <c r="B9" i="3"/>
  <c r="F11" i="3"/>
  <c r="F9" i="3" s="1"/>
  <c r="F12" i="3"/>
  <c r="F13" i="3"/>
  <c r="B17" i="3"/>
  <c r="F17" i="3"/>
  <c r="F19" i="3"/>
  <c r="H20" i="3" s="1"/>
  <c r="F20" i="3"/>
  <c r="F21" i="3"/>
  <c r="H5" i="3" l="1"/>
  <c r="H21" i="3"/>
  <c r="H4" i="3"/>
  <c r="H13" i="3"/>
  <c r="H12" i="3"/>
  <c r="E4" i="1"/>
  <c r="P2" i="1"/>
  <c r="M2" i="1"/>
  <c r="J4" i="1"/>
  <c r="J7" i="1"/>
  <c r="I7" i="1"/>
  <c r="E5" i="1"/>
  <c r="F4" i="1"/>
  <c r="R6" i="1"/>
  <c r="R7" i="1" s="1"/>
  <c r="R4" i="1"/>
  <c r="R2" i="1"/>
  <c r="H6" i="2"/>
  <c r="H5" i="2"/>
  <c r="H4" i="2"/>
  <c r="H3" i="2"/>
  <c r="H2" i="2"/>
  <c r="G6" i="2"/>
  <c r="G5" i="2"/>
  <c r="G4" i="2"/>
  <c r="G3" i="2"/>
  <c r="G2" i="2"/>
  <c r="H16" i="2"/>
  <c r="H15" i="2"/>
  <c r="H14" i="2"/>
  <c r="H13" i="2"/>
  <c r="H12" i="2"/>
  <c r="F6" i="2"/>
  <c r="F5" i="2"/>
  <c r="F4" i="2"/>
  <c r="F3" i="2"/>
  <c r="F2" i="2"/>
  <c r="F16" i="2"/>
  <c r="F15" i="2"/>
  <c r="F13" i="2"/>
  <c r="F14" i="2"/>
  <c r="D16" i="2"/>
  <c r="C15" i="2"/>
  <c r="B15" i="2"/>
  <c r="D14" i="2"/>
  <c r="C13" i="2"/>
  <c r="B13" i="2"/>
  <c r="F12" i="2"/>
  <c r="D12" i="2"/>
  <c r="D2" i="2"/>
  <c r="B5" i="2"/>
  <c r="D6" i="2"/>
  <c r="C5" i="2"/>
  <c r="C3" i="2"/>
  <c r="R5" i="1" l="1"/>
  <c r="G16" i="2"/>
  <c r="D15" i="2"/>
  <c r="D13" i="2"/>
  <c r="D17" i="2" s="1"/>
  <c r="D4" i="2"/>
  <c r="B3" i="2"/>
  <c r="D5" i="2"/>
  <c r="P7" i="1"/>
  <c r="P6" i="1"/>
  <c r="G3" i="1"/>
  <c r="W2" i="1" s="1"/>
  <c r="Q2" i="1" l="1"/>
  <c r="T7" i="1"/>
  <c r="U7" i="1" s="1"/>
  <c r="W7" i="1"/>
  <c r="T6" i="1"/>
  <c r="U6" i="1" s="1"/>
  <c r="W6" i="1"/>
  <c r="D3" i="2"/>
  <c r="D7" i="2" s="1"/>
  <c r="Q6" i="1"/>
  <c r="V7" i="1"/>
  <c r="Q7" i="1"/>
  <c r="T2" i="1"/>
  <c r="J5" i="1"/>
  <c r="F5" i="1"/>
  <c r="V6" i="1" l="1"/>
  <c r="U2" i="1"/>
  <c r="V2" i="1"/>
  <c r="G12" i="1"/>
  <c r="G5" i="1"/>
  <c r="P5" i="1" s="1"/>
  <c r="W5" i="1" s="1"/>
  <c r="G4" i="1"/>
  <c r="P4" i="1" s="1"/>
  <c r="W4" i="1" s="1"/>
  <c r="T5" i="1" l="1"/>
  <c r="Q4" i="1"/>
  <c r="T4" i="1"/>
  <c r="Q5" i="1"/>
  <c r="U4" i="1" l="1"/>
  <c r="V4" i="1"/>
  <c r="G9" i="1"/>
  <c r="V5" i="1"/>
  <c r="U5" i="1"/>
  <c r="G10" i="1" l="1"/>
  <c r="G13" i="1" s="1"/>
</calcChain>
</file>

<file path=xl/sharedStrings.xml><?xml version="1.0" encoding="utf-8"?>
<sst xmlns="http://schemas.openxmlformats.org/spreadsheetml/2006/main" count="120" uniqueCount="54">
  <si>
    <t>DAC11001A</t>
  </si>
  <si>
    <t>AD9832</t>
  </si>
  <si>
    <t>ADUM4160</t>
  </si>
  <si>
    <t>STM32L152CBU6</t>
  </si>
  <si>
    <t>3.3V</t>
  </si>
  <si>
    <t>-15V</t>
  </si>
  <si>
    <t>+15V</t>
  </si>
  <si>
    <t>IC/Power bus power consumption (mA)</t>
  </si>
  <si>
    <t>Total per line (mA)</t>
  </si>
  <si>
    <t>Effective IC consumption (W)</t>
  </si>
  <si>
    <t>Effective IC consumption:</t>
  </si>
  <si>
    <t>W</t>
  </si>
  <si>
    <t>Transformer Iq:</t>
  </si>
  <si>
    <t>mA</t>
  </si>
  <si>
    <t>Quiescent transformer dissipation:</t>
  </si>
  <si>
    <t>Total:</t>
  </si>
  <si>
    <t>Storage cap ripple (V)</t>
  </si>
  <si>
    <t>Storage cap (uF)</t>
  </si>
  <si>
    <t>+5V</t>
  </si>
  <si>
    <t>LDO powerline noise (uV)</t>
  </si>
  <si>
    <t>+30V</t>
  </si>
  <si>
    <t>-30V</t>
  </si>
  <si>
    <t>Vectron C4550A1-0213</t>
  </si>
  <si>
    <t>Напряжение обмотки</t>
  </si>
  <si>
    <t>Ток обмотки</t>
  </si>
  <si>
    <t>Мощьность VA</t>
  </si>
  <si>
    <t>Напряжение после выпрямления</t>
  </si>
  <si>
    <t>Напряжение под типовой нагрузкой</t>
  </si>
  <si>
    <t>Коэфицент</t>
  </si>
  <si>
    <t>Напряжение рассчетное при 253В</t>
  </si>
  <si>
    <t>ОСМ Т 230/Э/60-30/40-20/7-0.025-50</t>
  </si>
  <si>
    <t>ОСМ Т 230/Э/50-25/30-15/5-0.025-50</t>
  </si>
  <si>
    <t>Dissipation on LDO (W)</t>
  </si>
  <si>
    <t>Dissipation on LDO:</t>
  </si>
  <si>
    <t>WEG010016A</t>
  </si>
  <si>
    <t>LM399AH</t>
  </si>
  <si>
    <t>6xOPA189</t>
  </si>
  <si>
    <t>LM3x7</t>
  </si>
  <si>
    <t>XC9572XL</t>
  </si>
  <si>
    <t>LTC6752HS5</t>
  </si>
  <si>
    <t>SN74LV1T34</t>
  </si>
  <si>
    <t>Unreg. voltage (VDC) CoilV3</t>
  </si>
  <si>
    <t>LDO voltage drop (V)</t>
  </si>
  <si>
    <t xml:space="preserve">        </t>
  </si>
  <si>
    <t>R</t>
  </si>
  <si>
    <t>R2</t>
  </si>
  <si>
    <t>R1</t>
  </si>
  <si>
    <t>V</t>
  </si>
  <si>
    <t>Vref</t>
  </si>
  <si>
    <t>A</t>
  </si>
  <si>
    <t>Iadj</t>
  </si>
  <si>
    <t>Vo</t>
  </si>
  <si>
    <t>Micron-GLIN</t>
  </si>
  <si>
    <t>2xLTC2057HV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</si>
</sst>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49" fontId="0" fillId="0" borderId="8" xfId="0" applyNumberFormat="1" applyBorder="1"/>
    <xf numFmtId="49" fontId="0" fillId="0" borderId="4" xfId="0" applyNumberFormat="1" applyBorder="1"/>
    <xf numFmtId="164" fontId="0" fillId="0" borderId="0" xfId="0" applyNumberFormat="1"/>
    <xf numFmtId="2" fontId="0" fillId="0" borderId="1" xfId="0" applyNumberFormat="1" applyBorder="1"/>
    <xf numFmtId="2" fontId="0" fillId="0" borderId="8" xfId="0" applyNumberFormat="1" applyBorder="1" applyAlignment="1">
      <alignment vertical="top"/>
    </xf>
    <xf numFmtId="49" fontId="0" fillId="0" borderId="7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164" fontId="0" fillId="0" borderId="15" xfId="0" applyNumberFormat="1" applyBorder="1"/>
    <xf numFmtId="2" fontId="0" fillId="0" borderId="11" xfId="0" applyNumberFormat="1" applyBorder="1"/>
    <xf numFmtId="165" fontId="0" fillId="0" borderId="12" xfId="0" applyNumberFormat="1" applyBorder="1"/>
    <xf numFmtId="49" fontId="0" fillId="0" borderId="18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right"/>
    </xf>
    <xf numFmtId="165" fontId="0" fillId="0" borderId="0" xfId="0" applyNumberFormat="1"/>
    <xf numFmtId="49" fontId="0" fillId="0" borderId="6" xfId="0" applyNumberFormat="1" applyBorder="1" applyAlignment="1">
      <alignment horizontal="right"/>
    </xf>
    <xf numFmtId="165" fontId="0" fillId="0" borderId="1" xfId="0" applyNumberFormat="1" applyBorder="1"/>
    <xf numFmtId="49" fontId="0" fillId="0" borderId="12" xfId="0" applyNumberFormat="1" applyBorder="1"/>
    <xf numFmtId="0" fontId="0" fillId="0" borderId="9" xfId="0" applyNumberFormat="1" applyBorder="1"/>
    <xf numFmtId="165" fontId="0" fillId="0" borderId="4" xfId="0" applyNumberFormat="1" applyBorder="1"/>
    <xf numFmtId="0" fontId="0" fillId="0" borderId="1" xfId="0" applyFill="1" applyBorder="1"/>
    <xf numFmtId="0" fontId="1" fillId="2" borderId="1" xfId="1" applyBorder="1"/>
    <xf numFmtId="165" fontId="0" fillId="0" borderId="24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9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9" xfId="0" applyNumberFormat="1" applyBorder="1" applyAlignment="1">
      <alignment horizontal="right"/>
    </xf>
    <xf numFmtId="0" fontId="0" fillId="0" borderId="1" xfId="0" applyNumberFormat="1" applyBorder="1"/>
    <xf numFmtId="2" fontId="0" fillId="0" borderId="21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164" fontId="0" fillId="0" borderId="23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9" xfId="0" applyBorder="1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0" fillId="0" borderId="27" xfId="0" applyBorder="1" applyAlignment="1">
      <alignment horizontal="right"/>
    </xf>
    <xf numFmtId="164" fontId="1" fillId="2" borderId="27" xfId="1" applyNumberFormat="1" applyBorder="1"/>
    <xf numFmtId="0" fontId="0" fillId="0" borderId="27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H20" sqref="H20"/>
    </sheetView>
  </sheetViews>
  <sheetFormatPr defaultRowHeight="14.5" x14ac:dyDescent="0.35"/>
  <cols>
    <col min="2" max="3" width="12.7265625" customWidth="1"/>
    <col min="4" max="4" width="9.81640625" customWidth="1"/>
    <col min="5" max="5" width="9.36328125" customWidth="1"/>
    <col min="6" max="6" width="11" customWidth="1"/>
    <col min="7" max="7" width="10.7265625" customWidth="1"/>
    <col min="8" max="8" width="13.08984375" customWidth="1"/>
    <col min="9" max="9" width="14.90625" customWidth="1"/>
    <col min="10" max="10" width="7.7265625" customWidth="1"/>
    <col min="11" max="11" width="7.6328125" customWidth="1"/>
    <col min="12" max="13" width="11.54296875" customWidth="1"/>
    <col min="14" max="14" width="11.08984375" customWidth="1"/>
    <col min="15" max="15" width="15.1796875" customWidth="1"/>
    <col min="16" max="16" width="9.54296875" customWidth="1"/>
    <col min="17" max="17" width="12.36328125" customWidth="1"/>
    <col min="18" max="18" width="11" customWidth="1"/>
    <col min="20" max="21" width="10.6328125" customWidth="1"/>
    <col min="22" max="22" width="12.36328125" customWidth="1"/>
    <col min="23" max="23" width="13.36328125" customWidth="1"/>
  </cols>
  <sheetData>
    <row r="1" spans="1:23" s="3" customFormat="1" ht="58.5" thickBot="1" x14ac:dyDescent="0.4">
      <c r="A1" s="55" t="s">
        <v>52</v>
      </c>
      <c r="B1" s="9" t="s">
        <v>7</v>
      </c>
      <c r="C1" s="20" t="s">
        <v>22</v>
      </c>
      <c r="D1" s="20" t="s">
        <v>38</v>
      </c>
      <c r="E1" s="10" t="s">
        <v>35</v>
      </c>
      <c r="F1" s="11" t="s">
        <v>36</v>
      </c>
      <c r="G1" s="11" t="s">
        <v>0</v>
      </c>
      <c r="H1" s="11" t="s">
        <v>34</v>
      </c>
      <c r="I1" s="11" t="s">
        <v>53</v>
      </c>
      <c r="J1" s="11" t="s">
        <v>37</v>
      </c>
      <c r="K1" s="11" t="s">
        <v>1</v>
      </c>
      <c r="L1" s="11" t="s">
        <v>39</v>
      </c>
      <c r="M1" s="11" t="s">
        <v>40</v>
      </c>
      <c r="N1" s="11" t="s">
        <v>2</v>
      </c>
      <c r="O1" s="12" t="s">
        <v>3</v>
      </c>
      <c r="P1" s="13" t="s">
        <v>8</v>
      </c>
      <c r="Q1" s="11" t="s">
        <v>9</v>
      </c>
      <c r="R1" s="15" t="s">
        <v>41</v>
      </c>
      <c r="S1" s="11" t="s">
        <v>17</v>
      </c>
      <c r="T1" s="11" t="s">
        <v>16</v>
      </c>
      <c r="U1" s="12" t="s">
        <v>19</v>
      </c>
      <c r="V1" s="14" t="s">
        <v>42</v>
      </c>
      <c r="W1" s="16" t="s">
        <v>32</v>
      </c>
    </row>
    <row r="2" spans="1:23" ht="15" thickTop="1" x14ac:dyDescent="0.35">
      <c r="A2" s="55"/>
      <c r="B2" s="4" t="s">
        <v>4</v>
      </c>
      <c r="C2" s="30"/>
      <c r="D2" s="31">
        <v>50</v>
      </c>
      <c r="E2" s="32"/>
      <c r="F2" s="32"/>
      <c r="G2" s="32">
        <v>0.1</v>
      </c>
      <c r="H2" s="32"/>
      <c r="I2" s="32"/>
      <c r="J2" s="32"/>
      <c r="K2" s="32">
        <v>15</v>
      </c>
      <c r="L2" s="32">
        <v>4.5</v>
      </c>
      <c r="M2" s="32">
        <f>1.5*2</f>
        <v>3</v>
      </c>
      <c r="N2" s="32">
        <v>6</v>
      </c>
      <c r="O2" s="33">
        <v>11.2</v>
      </c>
      <c r="P2" s="45">
        <f>SUM(C2:O2)+SUM(C3:O3)</f>
        <v>269.8</v>
      </c>
      <c r="Q2" s="39">
        <f>P2*5/1000</f>
        <v>1.349</v>
      </c>
      <c r="R2" s="47">
        <f>'Рассчет трансформатора'!G6</f>
        <v>9.9329999999999998</v>
      </c>
      <c r="S2" s="49">
        <v>6800</v>
      </c>
      <c r="T2" s="39">
        <f>((P2/1000)*0.02)/(S2/1000000)</f>
        <v>0.79352941176470593</v>
      </c>
      <c r="U2" s="39">
        <f>(T2/10000)*1000000</f>
        <v>79.352941176470594</v>
      </c>
      <c r="V2" s="41">
        <f>R2-T2/2-5</f>
        <v>4.5362352941176471</v>
      </c>
      <c r="W2" s="43">
        <f>(R2-5)*P2/1000</f>
        <v>1.3309233999999999</v>
      </c>
    </row>
    <row r="3" spans="1:23" x14ac:dyDescent="0.35">
      <c r="A3" s="55"/>
      <c r="B3" s="5" t="s">
        <v>18</v>
      </c>
      <c r="C3" s="34">
        <v>148</v>
      </c>
      <c r="D3" s="35"/>
      <c r="E3" s="2"/>
      <c r="F3" s="2"/>
      <c r="G3" s="2">
        <f>1.5+0.5</f>
        <v>2</v>
      </c>
      <c r="H3" s="2">
        <v>30</v>
      </c>
      <c r="I3" s="2"/>
      <c r="J3" s="2"/>
      <c r="K3" s="2"/>
      <c r="L3" s="2"/>
      <c r="M3" s="2"/>
      <c r="N3" s="2"/>
      <c r="O3" s="36"/>
      <c r="P3" s="46"/>
      <c r="Q3" s="40"/>
      <c r="R3" s="48"/>
      <c r="S3" s="50"/>
      <c r="T3" s="40"/>
      <c r="U3" s="40"/>
      <c r="V3" s="42"/>
      <c r="W3" s="44"/>
    </row>
    <row r="4" spans="1:23" x14ac:dyDescent="0.35">
      <c r="A4" s="55"/>
      <c r="B4" s="5" t="s">
        <v>5</v>
      </c>
      <c r="C4" s="37"/>
      <c r="D4" s="35"/>
      <c r="E4" s="2">
        <f>18*2</f>
        <v>36</v>
      </c>
      <c r="F4" s="2">
        <f>1.3*6</f>
        <v>7.8000000000000007</v>
      </c>
      <c r="G4" s="2">
        <f>7+5</f>
        <v>12</v>
      </c>
      <c r="H4" s="2"/>
      <c r="I4" s="2"/>
      <c r="J4" s="2">
        <f>5.7+5.7</f>
        <v>11.4</v>
      </c>
      <c r="K4" s="2"/>
      <c r="L4" s="2"/>
      <c r="M4" s="2"/>
      <c r="N4" s="2"/>
      <c r="O4" s="36"/>
      <c r="P4" s="21">
        <f t="shared" ref="P4:P6" si="0">SUM(C4:O4)</f>
        <v>67.2</v>
      </c>
      <c r="Q4" s="7">
        <f>P4*15/1000</f>
        <v>1.008</v>
      </c>
      <c r="R4" s="19">
        <f>'Рассчет трансформатора'!G4</f>
        <v>26.319999999999997</v>
      </c>
      <c r="S4" s="2">
        <v>2200</v>
      </c>
      <c r="T4" s="7">
        <f>((P4/1000)*0.02)/(S4/1000000)</f>
        <v>0.61090909090909096</v>
      </c>
      <c r="U4" s="18">
        <f>(T4/10000)*1000000</f>
        <v>61.090909090909093</v>
      </c>
      <c r="V4" s="8">
        <f>R4-T4/2-15</f>
        <v>11.014545454545452</v>
      </c>
      <c r="W4" s="17">
        <f>(R4-15)*P4/1000</f>
        <v>0.76070399999999982</v>
      </c>
    </row>
    <row r="5" spans="1:23" x14ac:dyDescent="0.35">
      <c r="A5" s="55"/>
      <c r="B5" s="5" t="s">
        <v>6</v>
      </c>
      <c r="C5" s="37"/>
      <c r="D5" s="35"/>
      <c r="E5" s="2">
        <f>E4+1.3</f>
        <v>37.299999999999997</v>
      </c>
      <c r="F5" s="2">
        <f>F4</f>
        <v>7.8000000000000007</v>
      </c>
      <c r="G5" s="2">
        <f>7+5</f>
        <v>12</v>
      </c>
      <c r="H5" s="2"/>
      <c r="I5" s="2"/>
      <c r="J5" s="2">
        <f>J4</f>
        <v>11.4</v>
      </c>
      <c r="K5" s="2"/>
      <c r="L5" s="2"/>
      <c r="M5" s="2"/>
      <c r="N5" s="2"/>
      <c r="O5" s="36"/>
      <c r="P5" s="21">
        <f t="shared" si="0"/>
        <v>68.5</v>
      </c>
      <c r="Q5" s="7">
        <f>P5*15/1000</f>
        <v>1.0275000000000001</v>
      </c>
      <c r="R5" s="19">
        <f>R4</f>
        <v>26.319999999999997</v>
      </c>
      <c r="S5" s="2">
        <v>2200</v>
      </c>
      <c r="T5" s="7">
        <f>(((P3+P5)/1000)*0.02)/(S5/1000000)</f>
        <v>0.6227272727272728</v>
      </c>
      <c r="U5" s="18">
        <f>(T5/10000)*1000000</f>
        <v>62.272727272727273</v>
      </c>
      <c r="V5" s="8">
        <f>R5-T5/2-15</f>
        <v>11.008636363636359</v>
      </c>
      <c r="W5" s="17">
        <f>(R5-15)*P5/1000</f>
        <v>0.77541999999999978</v>
      </c>
    </row>
    <row r="6" spans="1:23" x14ac:dyDescent="0.35">
      <c r="A6" s="55"/>
      <c r="B6" s="25" t="s">
        <v>20</v>
      </c>
      <c r="C6" s="26"/>
      <c r="D6" s="38"/>
      <c r="E6" s="24"/>
      <c r="F6" s="24"/>
      <c r="G6" s="24"/>
      <c r="H6" s="24"/>
      <c r="I6" s="24">
        <f>0.88*2</f>
        <v>1.76</v>
      </c>
      <c r="J6" s="24">
        <v>4.2</v>
      </c>
      <c r="K6" s="24"/>
      <c r="L6" s="24"/>
      <c r="M6" s="24"/>
      <c r="N6" s="24"/>
      <c r="O6" s="27"/>
      <c r="P6" s="23">
        <f t="shared" si="0"/>
        <v>5.96</v>
      </c>
      <c r="Q6" s="7">
        <f>P6*30/1000</f>
        <v>0.17880000000000001</v>
      </c>
      <c r="R6" s="19">
        <f>'Рассчет трансформатора'!G2</f>
        <v>42.48</v>
      </c>
      <c r="S6" s="2">
        <v>470</v>
      </c>
      <c r="T6" s="7">
        <f t="shared" ref="T6" si="1">((P6/1000)*0.02)/(S6/1000000)</f>
        <v>0.25361702127659574</v>
      </c>
      <c r="U6" s="18">
        <f t="shared" ref="U6:U7" si="2">(T6/10000)*1000000</f>
        <v>25.361702127659576</v>
      </c>
      <c r="V6" s="8">
        <f>R6-T6/2-30</f>
        <v>12.353191489361699</v>
      </c>
      <c r="W6" s="17">
        <f>(R6-30)*P6/1000</f>
        <v>7.4380799999999983E-2</v>
      </c>
    </row>
    <row r="7" spans="1:23" x14ac:dyDescent="0.35">
      <c r="A7" s="55"/>
      <c r="B7" s="25" t="s">
        <v>21</v>
      </c>
      <c r="C7" s="26"/>
      <c r="D7" s="38"/>
      <c r="E7" s="24"/>
      <c r="F7" s="24"/>
      <c r="G7" s="24"/>
      <c r="H7" s="24"/>
      <c r="I7" s="24">
        <f>I6</f>
        <v>1.76</v>
      </c>
      <c r="J7" s="24">
        <f>J6</f>
        <v>4.2</v>
      </c>
      <c r="K7" s="24"/>
      <c r="L7" s="24"/>
      <c r="M7" s="24"/>
      <c r="N7" s="24"/>
      <c r="O7" s="27"/>
      <c r="P7" s="23">
        <f t="shared" ref="P7" si="3">SUM(C7:O7)</f>
        <v>5.96</v>
      </c>
      <c r="Q7" s="7">
        <f>P7*30/1000</f>
        <v>0.17880000000000001</v>
      </c>
      <c r="R7" s="19">
        <f>R6</f>
        <v>42.48</v>
      </c>
      <c r="S7" s="2">
        <v>470</v>
      </c>
      <c r="T7" s="7">
        <f t="shared" ref="T7" si="4">((P7/1000)*0.02)/(S7/1000000)</f>
        <v>0.25361702127659574</v>
      </c>
      <c r="U7" s="18">
        <f t="shared" si="2"/>
        <v>25.361702127659576</v>
      </c>
      <c r="V7" s="8">
        <f>R7-T7/2-30</f>
        <v>12.353191489361699</v>
      </c>
      <c r="W7" s="17">
        <f>(R7-30)*P7/1000</f>
        <v>7.4380799999999983E-2</v>
      </c>
    </row>
    <row r="8" spans="1:23" x14ac:dyDescent="0.35">
      <c r="A8" s="55"/>
      <c r="B8" s="1"/>
      <c r="C8" s="1"/>
      <c r="D8" s="1"/>
      <c r="W8" s="6"/>
    </row>
    <row r="9" spans="1:23" x14ac:dyDescent="0.35">
      <c r="A9" s="55"/>
      <c r="B9" s="51" t="s">
        <v>10</v>
      </c>
      <c r="C9" s="51"/>
      <c r="D9" s="51"/>
      <c r="E9" s="51"/>
      <c r="F9" s="51"/>
      <c r="G9" s="6">
        <f>SUM(Q2:Q7)</f>
        <v>3.7420999999999998</v>
      </c>
      <c r="H9" t="s">
        <v>11</v>
      </c>
    </row>
    <row r="10" spans="1:23" ht="15.5" customHeight="1" x14ac:dyDescent="0.35">
      <c r="A10" s="55"/>
      <c r="B10" s="52" t="s">
        <v>33</v>
      </c>
      <c r="C10" s="52"/>
      <c r="D10" s="52"/>
      <c r="E10" s="52"/>
      <c r="F10" s="52"/>
      <c r="G10" s="6">
        <f>SUM(W2:W7)</f>
        <v>3.015809</v>
      </c>
      <c r="H10" t="s">
        <v>11</v>
      </c>
      <c r="K10" s="22"/>
    </row>
    <row r="11" spans="1:23" x14ac:dyDescent="0.35">
      <c r="A11" s="55"/>
      <c r="B11" s="53" t="s">
        <v>12</v>
      </c>
      <c r="C11" s="53"/>
      <c r="D11" s="53"/>
      <c r="E11" s="53"/>
      <c r="F11" s="53"/>
      <c r="G11">
        <v>3</v>
      </c>
      <c r="H11" t="s">
        <v>13</v>
      </c>
    </row>
    <row r="12" spans="1:23" x14ac:dyDescent="0.35">
      <c r="A12" s="55"/>
      <c r="B12" s="52" t="s">
        <v>14</v>
      </c>
      <c r="C12" s="52"/>
      <c r="D12" s="52"/>
      <c r="E12" s="52"/>
      <c r="F12" s="52"/>
      <c r="G12" s="6">
        <f>230*G11/1000</f>
        <v>0.69</v>
      </c>
      <c r="H12" t="s">
        <v>11</v>
      </c>
    </row>
    <row r="13" spans="1:23" s="58" customFormat="1" ht="15" thickBot="1" x14ac:dyDescent="0.4">
      <c r="A13" s="55"/>
      <c r="B13" s="56" t="s">
        <v>15</v>
      </c>
      <c r="C13" s="56"/>
      <c r="D13" s="56"/>
      <c r="E13" s="56"/>
      <c r="F13" s="56"/>
      <c r="G13" s="57">
        <f>G12+G10+G9</f>
        <v>7.4479089999999992</v>
      </c>
      <c r="H13" s="58" t="s">
        <v>11</v>
      </c>
    </row>
    <row r="14" spans="1:23" ht="15" thickTop="1" x14ac:dyDescent="0.35"/>
  </sheetData>
  <mergeCells count="14">
    <mergeCell ref="A1:A13"/>
    <mergeCell ref="B9:F9"/>
    <mergeCell ref="B10:F10"/>
    <mergeCell ref="B11:F11"/>
    <mergeCell ref="B12:F12"/>
    <mergeCell ref="B13:F13"/>
    <mergeCell ref="U2:U3"/>
    <mergeCell ref="V2:V3"/>
    <mergeCell ref="W2:W3"/>
    <mergeCell ref="P2:P3"/>
    <mergeCell ref="Q2:Q3"/>
    <mergeCell ref="R2:R3"/>
    <mergeCell ref="S2:S3"/>
    <mergeCell ref="T2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6" sqref="A36"/>
    </sheetView>
  </sheetViews>
  <sheetFormatPr defaultRowHeight="14.5" x14ac:dyDescent="0.35"/>
  <cols>
    <col min="1" max="1" width="33.1796875" customWidth="1"/>
    <col min="2" max="2" width="20.26953125" customWidth="1"/>
    <col min="3" max="3" width="13.7265625" customWidth="1"/>
    <col min="4" max="4" width="13.6328125" customWidth="1"/>
    <col min="6" max="6" width="29.08984375" customWidth="1"/>
    <col min="7" max="7" width="32.81640625" customWidth="1"/>
    <col min="8" max="8" width="30.6328125" customWidth="1"/>
  </cols>
  <sheetData>
    <row r="1" spans="1:8" x14ac:dyDescent="0.35">
      <c r="A1" s="54" t="s">
        <v>30</v>
      </c>
      <c r="B1" s="2" t="s">
        <v>23</v>
      </c>
      <c r="C1" s="2" t="s">
        <v>24</v>
      </c>
      <c r="D1" s="2" t="s">
        <v>25</v>
      </c>
      <c r="E1" s="2"/>
      <c r="F1" s="2" t="s">
        <v>26</v>
      </c>
      <c r="G1" s="2" t="s">
        <v>27</v>
      </c>
      <c r="H1" s="2" t="s">
        <v>29</v>
      </c>
    </row>
    <row r="2" spans="1:8" x14ac:dyDescent="0.35">
      <c r="A2" s="54"/>
      <c r="B2" s="2">
        <v>30</v>
      </c>
      <c r="C2" s="2">
        <v>0.05</v>
      </c>
      <c r="D2" s="2">
        <f>B2*C2</f>
        <v>1.5</v>
      </c>
      <c r="E2" s="2"/>
      <c r="F2" s="2">
        <f>(B2*1.41)-1.2</f>
        <v>41.099999999999994</v>
      </c>
      <c r="G2" s="2">
        <f>B2*H12</f>
        <v>42.48</v>
      </c>
      <c r="H2" s="2">
        <f>G2*1.1</f>
        <v>46.728000000000002</v>
      </c>
    </row>
    <row r="3" spans="1:8" x14ac:dyDescent="0.35">
      <c r="A3" s="54"/>
      <c r="B3" s="2">
        <f>-B2</f>
        <v>-30</v>
      </c>
      <c r="C3" s="2">
        <f>C2</f>
        <v>0.05</v>
      </c>
      <c r="D3" s="2">
        <f>-B3*C3</f>
        <v>1.5</v>
      </c>
      <c r="E3" s="2"/>
      <c r="F3" s="2">
        <f>(B3*1.41)+1.2</f>
        <v>-41.099999999999994</v>
      </c>
      <c r="G3" s="2">
        <f t="shared" ref="G3:G6" si="0">B3*H13</f>
        <v>-42.48</v>
      </c>
      <c r="H3" s="2">
        <f t="shared" ref="H3:H6" si="1">G3*1.1</f>
        <v>-46.728000000000002</v>
      </c>
    </row>
    <row r="4" spans="1:8" x14ac:dyDescent="0.35">
      <c r="A4" s="54"/>
      <c r="B4" s="2">
        <v>20</v>
      </c>
      <c r="C4" s="2">
        <v>0.25</v>
      </c>
      <c r="D4" s="2">
        <f>B4*C4</f>
        <v>5</v>
      </c>
      <c r="E4" s="2"/>
      <c r="F4" s="2">
        <f>(B4*1.41)-1.2</f>
        <v>27</v>
      </c>
      <c r="G4" s="2">
        <f t="shared" si="0"/>
        <v>26.319999999999997</v>
      </c>
      <c r="H4" s="2">
        <f t="shared" si="1"/>
        <v>28.951999999999998</v>
      </c>
    </row>
    <row r="5" spans="1:8" x14ac:dyDescent="0.35">
      <c r="A5" s="54"/>
      <c r="B5" s="2">
        <f>-B4</f>
        <v>-20</v>
      </c>
      <c r="C5" s="2">
        <f>C4</f>
        <v>0.25</v>
      </c>
      <c r="D5" s="2">
        <f>-B5*C5</f>
        <v>5</v>
      </c>
      <c r="E5" s="2"/>
      <c r="F5" s="2">
        <f>(B5*1.41)+1.2</f>
        <v>-27</v>
      </c>
      <c r="G5" s="2">
        <f t="shared" si="0"/>
        <v>-26.319999999999997</v>
      </c>
      <c r="H5" s="2">
        <f t="shared" si="1"/>
        <v>-28.951999999999998</v>
      </c>
    </row>
    <row r="6" spans="1:8" x14ac:dyDescent="0.35">
      <c r="A6" s="54"/>
      <c r="B6" s="2">
        <v>7</v>
      </c>
      <c r="C6" s="2">
        <v>1.7</v>
      </c>
      <c r="D6" s="2">
        <f>B6*C6</f>
        <v>11.9</v>
      </c>
      <c r="E6" s="2"/>
      <c r="F6" s="2">
        <f>(B6*1.41)-0.6</f>
        <v>9.27</v>
      </c>
      <c r="G6" s="2">
        <f t="shared" si="0"/>
        <v>9.9329999999999998</v>
      </c>
      <c r="H6" s="2">
        <f t="shared" si="1"/>
        <v>10.926300000000001</v>
      </c>
    </row>
    <row r="7" spans="1:8" x14ac:dyDescent="0.35">
      <c r="D7">
        <f>SUM(D2:D6)</f>
        <v>24.9</v>
      </c>
    </row>
    <row r="11" spans="1:8" x14ac:dyDescent="0.35">
      <c r="A11" s="54" t="s">
        <v>31</v>
      </c>
      <c r="B11" s="2" t="s">
        <v>23</v>
      </c>
      <c r="C11" s="2" t="s">
        <v>24</v>
      </c>
      <c r="D11" s="2" t="s">
        <v>25</v>
      </c>
      <c r="E11" s="2"/>
      <c r="F11" s="2" t="s">
        <v>26</v>
      </c>
      <c r="G11" s="2" t="s">
        <v>27</v>
      </c>
      <c r="H11" s="28" t="s">
        <v>28</v>
      </c>
    </row>
    <row r="12" spans="1:8" x14ac:dyDescent="0.35">
      <c r="A12" s="54"/>
      <c r="B12" s="2">
        <v>25</v>
      </c>
      <c r="C12" s="2">
        <v>0.1</v>
      </c>
      <c r="D12" s="2">
        <f>B12*C12</f>
        <v>2.5</v>
      </c>
      <c r="E12" s="2"/>
      <c r="F12" s="2">
        <f>(B12*1.41)-1.2</f>
        <v>34.049999999999997</v>
      </c>
      <c r="G12" s="29">
        <v>35.4</v>
      </c>
      <c r="H12" s="2">
        <f>G12/B12</f>
        <v>1.4159999999999999</v>
      </c>
    </row>
    <row r="13" spans="1:8" x14ac:dyDescent="0.35">
      <c r="A13" s="54"/>
      <c r="B13" s="2">
        <f>-B12</f>
        <v>-25</v>
      </c>
      <c r="C13" s="2">
        <f>C12</f>
        <v>0.1</v>
      </c>
      <c r="D13" s="2">
        <f>-B13*C13</f>
        <v>2.5</v>
      </c>
      <c r="E13" s="2"/>
      <c r="F13" s="2">
        <f>(B13*1.41)+1.2</f>
        <v>-34.049999999999997</v>
      </c>
      <c r="G13" s="29">
        <v>-35.4</v>
      </c>
      <c r="H13" s="2">
        <f t="shared" ref="H13:H16" si="2">G13/B13</f>
        <v>1.4159999999999999</v>
      </c>
    </row>
    <row r="14" spans="1:8" x14ac:dyDescent="0.35">
      <c r="A14" s="54"/>
      <c r="B14" s="2">
        <v>15</v>
      </c>
      <c r="C14" s="2">
        <v>0.25</v>
      </c>
      <c r="D14" s="2">
        <f>B14*C14</f>
        <v>3.75</v>
      </c>
      <c r="E14" s="2"/>
      <c r="F14" s="2">
        <f>(B14*1.41)-1.2</f>
        <v>19.95</v>
      </c>
      <c r="G14" s="29">
        <v>19.739999999999998</v>
      </c>
      <c r="H14" s="2">
        <f t="shared" si="2"/>
        <v>1.3159999999999998</v>
      </c>
    </row>
    <row r="15" spans="1:8" x14ac:dyDescent="0.35">
      <c r="A15" s="54"/>
      <c r="B15" s="2">
        <f>-B14</f>
        <v>-15</v>
      </c>
      <c r="C15" s="2">
        <f>C14</f>
        <v>0.25</v>
      </c>
      <c r="D15" s="2">
        <f>-B15*C15</f>
        <v>3.75</v>
      </c>
      <c r="E15" s="2"/>
      <c r="F15" s="2">
        <f>(B15*1.41)+1.2</f>
        <v>-19.95</v>
      </c>
      <c r="G15" s="29">
        <v>-19.739999999999998</v>
      </c>
      <c r="H15" s="2">
        <f t="shared" si="2"/>
        <v>1.3159999999999998</v>
      </c>
    </row>
    <row r="16" spans="1:8" x14ac:dyDescent="0.35">
      <c r="A16" s="54"/>
      <c r="B16" s="2">
        <v>5</v>
      </c>
      <c r="C16" s="2">
        <v>2.5</v>
      </c>
      <c r="D16" s="2">
        <f>B16*C16</f>
        <v>12.5</v>
      </c>
      <c r="E16" s="2"/>
      <c r="F16" s="2">
        <f>(B16*1.41)-0.6</f>
        <v>6.45</v>
      </c>
      <c r="G16" s="29">
        <f t="shared" ref="G16" si="3">F16*1.1</f>
        <v>7.0950000000000006</v>
      </c>
      <c r="H16" s="2">
        <f t="shared" si="2"/>
        <v>1.419</v>
      </c>
    </row>
    <row r="17" spans="4:4" x14ac:dyDescent="0.35">
      <c r="D17">
        <f>SUM(D12:D16)</f>
        <v>25</v>
      </c>
    </row>
  </sheetData>
  <mergeCells count="2">
    <mergeCell ref="A1:A6"/>
    <mergeCell ref="A11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s="2" t="s">
        <v>51</v>
      </c>
      <c r="B1" s="2">
        <f>B3*(1+(B5/B4))+(B2*B5)</f>
        <v>15.006363636363634</v>
      </c>
      <c r="C1" s="2" t="s">
        <v>47</v>
      </c>
      <c r="E1" s="2" t="s">
        <v>51</v>
      </c>
      <c r="F1" s="2">
        <f>-F3*(1+(F5/F4))+(-F2*F5)</f>
        <v>-15.042363636363635</v>
      </c>
      <c r="G1" s="2" t="s">
        <v>47</v>
      </c>
    </row>
    <row r="2" spans="1:9" x14ac:dyDescent="0.35">
      <c r="A2" s="2" t="s">
        <v>50</v>
      </c>
      <c r="B2" s="2">
        <v>5.0000000000000002E-5</v>
      </c>
      <c r="C2" s="2" t="s">
        <v>49</v>
      </c>
      <c r="E2" s="2" t="s">
        <v>50</v>
      </c>
      <c r="F2" s="2">
        <v>6.4999999999999994E-5</v>
      </c>
      <c r="G2" s="2" t="s">
        <v>49</v>
      </c>
    </row>
    <row r="3" spans="1:9" x14ac:dyDescent="0.35">
      <c r="A3" s="2" t="s">
        <v>48</v>
      </c>
      <c r="B3" s="2">
        <v>1.25</v>
      </c>
      <c r="C3" s="2" t="s">
        <v>47</v>
      </c>
      <c r="E3" s="2" t="s">
        <v>48</v>
      </c>
      <c r="F3" s="2">
        <f>B3</f>
        <v>1.25</v>
      </c>
      <c r="G3" s="2" t="s">
        <v>47</v>
      </c>
    </row>
    <row r="4" spans="1:9" x14ac:dyDescent="0.35">
      <c r="A4" s="2" t="s">
        <v>46</v>
      </c>
      <c r="B4" s="2">
        <v>220</v>
      </c>
      <c r="C4" s="2" t="s">
        <v>44</v>
      </c>
      <c r="E4" s="2" t="s">
        <v>46</v>
      </c>
      <c r="F4" s="2">
        <f>B4</f>
        <v>220</v>
      </c>
      <c r="G4" s="2" t="s">
        <v>44</v>
      </c>
      <c r="H4" s="6">
        <f>(F$19/F4)*F$19</f>
        <v>7.1022727272727279E-3</v>
      </c>
      <c r="I4" t="s">
        <v>11</v>
      </c>
    </row>
    <row r="5" spans="1:9" x14ac:dyDescent="0.35">
      <c r="A5" s="2" t="s">
        <v>45</v>
      </c>
      <c r="B5" s="2">
        <v>2400</v>
      </c>
      <c r="C5" s="2" t="s">
        <v>44</v>
      </c>
      <c r="E5" s="2" t="s">
        <v>45</v>
      </c>
      <c r="F5" s="2">
        <f>B5</f>
        <v>2400</v>
      </c>
      <c r="G5" s="2" t="s">
        <v>44</v>
      </c>
      <c r="H5" s="6">
        <f>((F$19+F1)/F5)*(F$19+F1)</f>
        <v>7.9262206115702463E-2</v>
      </c>
      <c r="I5" t="s">
        <v>11</v>
      </c>
    </row>
    <row r="9" spans="1:9" x14ac:dyDescent="0.35">
      <c r="A9" s="2" t="s">
        <v>51</v>
      </c>
      <c r="B9" s="2">
        <f>B11*(1+(B13/B12))+(B10*B13)</f>
        <v>29.923333333333336</v>
      </c>
      <c r="C9" s="2" t="s">
        <v>47</v>
      </c>
      <c r="E9" s="2" t="s">
        <v>51</v>
      </c>
      <c r="F9" s="2">
        <f>-F11*(1+(F13/F12))+(-F10*F13)</f>
        <v>-30.025333333333336</v>
      </c>
      <c r="G9" s="2" t="s">
        <v>47</v>
      </c>
    </row>
    <row r="10" spans="1:9" x14ac:dyDescent="0.35">
      <c r="A10" s="2" t="s">
        <v>50</v>
      </c>
      <c r="B10" s="2">
        <v>5.0000000000000002E-5</v>
      </c>
      <c r="C10" s="2" t="s">
        <v>49</v>
      </c>
      <c r="E10" s="2" t="s">
        <v>50</v>
      </c>
      <c r="F10" s="2">
        <v>6.4999999999999994E-5</v>
      </c>
      <c r="G10" s="2" t="s">
        <v>49</v>
      </c>
    </row>
    <row r="11" spans="1:9" x14ac:dyDescent="0.35">
      <c r="A11" s="2" t="s">
        <v>48</v>
      </c>
      <c r="B11" s="2">
        <v>1.25</v>
      </c>
      <c r="C11" s="2" t="s">
        <v>47</v>
      </c>
      <c r="E11" s="2" t="s">
        <v>48</v>
      </c>
      <c r="F11" s="2">
        <f>B11</f>
        <v>1.25</v>
      </c>
      <c r="G11" s="2" t="s">
        <v>47</v>
      </c>
    </row>
    <row r="12" spans="1:9" x14ac:dyDescent="0.35">
      <c r="A12" s="2" t="s">
        <v>46</v>
      </c>
      <c r="B12" s="2">
        <v>300</v>
      </c>
      <c r="C12" s="2" t="s">
        <v>44</v>
      </c>
      <c r="E12" s="2" t="s">
        <v>46</v>
      </c>
      <c r="F12" s="2">
        <f>B12</f>
        <v>300</v>
      </c>
      <c r="G12" s="2" t="s">
        <v>44</v>
      </c>
      <c r="H12" s="6">
        <f>(F$19/F12)*F$19</f>
        <v>5.208333333333333E-3</v>
      </c>
      <c r="I12" t="s">
        <v>11</v>
      </c>
    </row>
    <row r="13" spans="1:9" x14ac:dyDescent="0.35">
      <c r="A13" s="2" t="s">
        <v>45</v>
      </c>
      <c r="B13" s="2">
        <v>6800</v>
      </c>
      <c r="C13" s="2" t="s">
        <v>44</v>
      </c>
      <c r="E13" s="2" t="s">
        <v>45</v>
      </c>
      <c r="F13" s="2">
        <f>B13</f>
        <v>6800</v>
      </c>
      <c r="G13" s="2" t="s">
        <v>44</v>
      </c>
      <c r="H13" s="6">
        <f>((F$19+F9)/F13)*(F$19+F9)</f>
        <v>0.12176761888888891</v>
      </c>
      <c r="I13" t="s">
        <v>11</v>
      </c>
    </row>
    <row r="17" spans="1:9" x14ac:dyDescent="0.35">
      <c r="A17" s="2" t="s">
        <v>51</v>
      </c>
      <c r="B17" s="2">
        <f>B19*(1+(B21/B20))+(B18*B21)</f>
        <v>7.5549999999999997</v>
      </c>
      <c r="C17" s="2" t="s">
        <v>47</v>
      </c>
      <c r="E17" s="2" t="s">
        <v>51</v>
      </c>
      <c r="F17" s="2">
        <f>-F19*(1+(F21/F20))+(-F18*F21)</f>
        <v>-7.5715000000000003</v>
      </c>
      <c r="G17" s="2" t="s">
        <v>47</v>
      </c>
    </row>
    <row r="18" spans="1:9" x14ac:dyDescent="0.35">
      <c r="A18" s="2" t="s">
        <v>50</v>
      </c>
      <c r="B18" s="2">
        <v>5.0000000000000002E-5</v>
      </c>
      <c r="C18" s="2" t="s">
        <v>49</v>
      </c>
      <c r="E18" s="2" t="s">
        <v>50</v>
      </c>
      <c r="F18" s="2">
        <v>6.4999999999999994E-5</v>
      </c>
      <c r="G18" s="2" t="s">
        <v>49</v>
      </c>
    </row>
    <row r="19" spans="1:9" x14ac:dyDescent="0.35">
      <c r="A19" s="2" t="s">
        <v>48</v>
      </c>
      <c r="B19" s="2">
        <v>1.25</v>
      </c>
      <c r="C19" s="2" t="s">
        <v>47</v>
      </c>
      <c r="E19" s="2" t="s">
        <v>48</v>
      </c>
      <c r="F19" s="2">
        <f>B19</f>
        <v>1.25</v>
      </c>
      <c r="G19" s="2" t="s">
        <v>47</v>
      </c>
    </row>
    <row r="20" spans="1:9" x14ac:dyDescent="0.35">
      <c r="A20" s="2" t="s">
        <v>46</v>
      </c>
      <c r="B20" s="2">
        <v>220</v>
      </c>
      <c r="C20" s="2" t="s">
        <v>44</v>
      </c>
      <c r="E20" s="2" t="s">
        <v>46</v>
      </c>
      <c r="F20" s="2">
        <f>B20</f>
        <v>220</v>
      </c>
      <c r="G20" s="2" t="s">
        <v>44</v>
      </c>
      <c r="H20" s="6">
        <f>(F$19/F20)*F$19</f>
        <v>7.1022727272727279E-3</v>
      </c>
      <c r="I20" t="s">
        <v>11</v>
      </c>
    </row>
    <row r="21" spans="1:9" x14ac:dyDescent="0.35">
      <c r="A21" s="2" t="s">
        <v>45</v>
      </c>
      <c r="B21" s="2">
        <v>1100</v>
      </c>
      <c r="C21" s="2" t="s">
        <v>44</v>
      </c>
      <c r="E21" s="2" t="s">
        <v>45</v>
      </c>
      <c r="F21" s="2">
        <f>B21</f>
        <v>1100</v>
      </c>
      <c r="G21" s="2" t="s">
        <v>44</v>
      </c>
      <c r="H21" s="6">
        <f>((F$19+F17)/F21)*(F$19+F17)</f>
        <v>3.6328511136363636E-2</v>
      </c>
      <c r="I21" t="s">
        <v>11</v>
      </c>
    </row>
    <row r="26" spans="1:9" x14ac:dyDescent="0.35">
      <c r="C26" t="s">
        <v>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Рассчет трансформатора</vt:lpstr>
      <vt:lpstr>ldo resistors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2021-01-22T00:42:15Z</dcterms:created>
  <dcterms:modified xsi:type="dcterms:W3CDTF">2022-07-08T05:31:25Z</dcterms:modified>
</cp:coreProperties>
</file>