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ATCH 1" sheetId="2" r:id="rId5"/>
    <sheet state="visible" name="MATCH 2" sheetId="3" r:id="rId6"/>
    <sheet state="visible" name="MATCH 3" sheetId="4" r:id="rId7"/>
    <sheet state="visible" name="MATCH 4" sheetId="5" r:id="rId8"/>
    <sheet state="visible" name="MATCH 5" sheetId="6" r:id="rId9"/>
    <sheet state="visible" name="MATCH 6" sheetId="7" r:id="rId10"/>
    <sheet state="visible" name="Sheet45" sheetId="8" r:id="rId11"/>
    <sheet state="visible" name="DATA" sheetId="9" r:id="rId12"/>
    <sheet state="hidden" name="CHARTS" sheetId="10" r:id="rId13"/>
    <sheet state="visible" name="RESULTS" sheetId="11" r:id="rId14"/>
    <sheet state="visible" name="hidden" sheetId="12" r:id="rId15"/>
  </sheets>
  <definedNames>
    <definedName name="TEAM8">DATA!$A$81:$B$90</definedName>
    <definedName name="RAWRESULTS">RESULTS!$A$1:$E$61</definedName>
    <definedName name="TEAM6">DATA!$A$58:$B$67</definedName>
    <definedName name="TEAM4">DATA!$A$34:$B$43</definedName>
    <definedName name="TEAM2">DATA!$A$12:$B$21</definedName>
    <definedName name="TEAM5">DATA!$A$46:$B$55</definedName>
    <definedName name="TEAM7">DATA!$A$70:$B$78</definedName>
    <definedName name="TEAM1">DATA!$A$1:$B$10</definedName>
    <definedName name="TEAM3">DATA!$A$23:$B$32</definedName>
    <definedName name="TEAM9">DATA!$A$93:$B$102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30">
      <text>
        <t xml:space="preserve">Win
	-Gynn Dickerson</t>
      </text>
    </comment>
  </commentList>
</comments>
</file>

<file path=xl/sharedStrings.xml><?xml version="1.0" encoding="utf-8"?>
<sst xmlns="http://schemas.openxmlformats.org/spreadsheetml/2006/main" count="705" uniqueCount="121">
  <si>
    <t>EAST PASCO CASH POOL LEAGUE</t>
  </si>
  <si>
    <t>TUESDAY 8-BALL 7:00 PM</t>
  </si>
  <si>
    <t>LEAGUE OPERATOR</t>
  </si>
  <si>
    <t>SPRING SEASON</t>
  </si>
  <si>
    <t>ELISEO SANDOVAL</t>
  </si>
  <si>
    <t>813.526.9897</t>
  </si>
  <si>
    <t>WEEK</t>
  </si>
  <si>
    <t>MATCHES</t>
  </si>
  <si>
    <t>TEAM #</t>
  </si>
  <si>
    <t>TEAM</t>
  </si>
  <si>
    <t xml:space="preserve">TEAM # </t>
  </si>
  <si>
    <t>LOCATION</t>
  </si>
  <si>
    <t>vs</t>
  </si>
  <si>
    <t>MATCH 1</t>
  </si>
  <si>
    <t xml:space="preserve">WEEK </t>
  </si>
  <si>
    <t>@</t>
  </si>
  <si>
    <t>HOME TEAM</t>
  </si>
  <si>
    <t>AWAY TEAM</t>
  </si>
  <si>
    <t>#</t>
  </si>
  <si>
    <t>NAME</t>
  </si>
  <si>
    <t>WIN</t>
  </si>
  <si>
    <t>LOSS</t>
  </si>
  <si>
    <t>POINTS</t>
  </si>
  <si>
    <t>TO WIN</t>
  </si>
  <si>
    <t>/</t>
  </si>
  <si>
    <t>FOR 1.5</t>
  </si>
  <si>
    <t>B/R</t>
  </si>
  <si>
    <t>PLAYER NAME</t>
  </si>
  <si>
    <t>T/O 1</t>
  </si>
  <si>
    <t>T/O 2</t>
  </si>
  <si>
    <t>H/C</t>
  </si>
  <si>
    <t>B&amp;R</t>
  </si>
  <si>
    <t>8OB</t>
  </si>
  <si>
    <t>W/L</t>
  </si>
  <si>
    <t>SCORE</t>
  </si>
  <si>
    <t>B</t>
  </si>
  <si>
    <t>Kurt Geddes</t>
  </si>
  <si>
    <t>Litos Davila</t>
  </si>
  <si>
    <t>Larry Griffin</t>
  </si>
  <si>
    <t>Mark Karppe</t>
  </si>
  <si>
    <t>Ron Moffett</t>
  </si>
  <si>
    <t>Carlos Davila</t>
  </si>
  <si>
    <t>Bill Steen</t>
  </si>
  <si>
    <t>JL Smith</t>
  </si>
  <si>
    <t>Larry Walls</t>
  </si>
  <si>
    <t>Michael Gonzalez</t>
  </si>
  <si>
    <t>HIGHER H/C</t>
  </si>
  <si>
    <t>LOWER H/C</t>
  </si>
  <si>
    <t>DIFFERENCE</t>
  </si>
  <si>
    <t>5.0 WINS TOTAL</t>
  </si>
  <si>
    <t>BREAK &amp; RUN TOTAL</t>
  </si>
  <si>
    <t>8 ON THE BREAK</t>
  </si>
  <si>
    <t>WINS NEEDED</t>
  </si>
  <si>
    <t>70% FOR 1.5</t>
  </si>
  <si>
    <t>GAMES WON</t>
  </si>
  <si>
    <t>Crystalized</t>
  </si>
  <si>
    <t>Familia</t>
  </si>
  <si>
    <t>Desarae Davila</t>
  </si>
  <si>
    <t>Anthony Sherman</t>
  </si>
  <si>
    <t>Paul Miller</t>
  </si>
  <si>
    <t>Garrett Foxworth</t>
  </si>
  <si>
    <t>MATCH 2</t>
  </si>
  <si>
    <t>BYE</t>
  </si>
  <si>
    <t>Q-Tips</t>
  </si>
  <si>
    <t>Quiahja Croson</t>
  </si>
  <si>
    <t>Q Croson 'Captain'</t>
  </si>
  <si>
    <t>Bill Henry</t>
  </si>
  <si>
    <t>Heath Horsely</t>
  </si>
  <si>
    <t>Morgan Skip Evans</t>
  </si>
  <si>
    <t>David Nunez</t>
  </si>
  <si>
    <t>Randy Fox</t>
  </si>
  <si>
    <t>Airetta Fox</t>
  </si>
  <si>
    <t>MATCH 3</t>
  </si>
  <si>
    <t>MATCH 4</t>
  </si>
  <si>
    <t>MATCH 5</t>
  </si>
  <si>
    <t>John Finley</t>
  </si>
  <si>
    <t>Mike Stepp</t>
  </si>
  <si>
    <t>Margie Sandoval</t>
  </si>
  <si>
    <t>Kelvin Singleton</t>
  </si>
  <si>
    <t>Jose Sanabria</t>
  </si>
  <si>
    <t>Justin Whidden</t>
  </si>
  <si>
    <t>David Grimes</t>
  </si>
  <si>
    <t>Eliseo Sandoval</t>
  </si>
  <si>
    <t>Glenn 'Shane' Lewis</t>
  </si>
  <si>
    <t>Misfitz</t>
  </si>
  <si>
    <t>Felt Up</t>
  </si>
  <si>
    <t>Ed Poplet</t>
  </si>
  <si>
    <t>Paul Runyan</t>
  </si>
  <si>
    <t>Derek Samuels</t>
  </si>
  <si>
    <t>Kristine Guzman</t>
  </si>
  <si>
    <t>Craig Pickard</t>
  </si>
  <si>
    <t>Donnie Sandoval</t>
  </si>
  <si>
    <t>JB Almond</t>
  </si>
  <si>
    <t>MATCH 6</t>
  </si>
  <si>
    <t>Johnny Braxton</t>
  </si>
  <si>
    <t>Hot Rod Zalewski</t>
  </si>
  <si>
    <t>Ed Carle</t>
  </si>
  <si>
    <t>Trent Bailey</t>
  </si>
  <si>
    <t>Jimmy Newsome</t>
  </si>
  <si>
    <t>Rick Bergevin Sr.</t>
  </si>
  <si>
    <t>Ed Phillips</t>
  </si>
  <si>
    <t>Tim Carpenter</t>
  </si>
  <si>
    <t>Bill Holly</t>
  </si>
  <si>
    <t>Gerald Knierim</t>
  </si>
  <si>
    <t>The Undertakers</t>
  </si>
  <si>
    <t>8-Ball Gangster</t>
  </si>
  <si>
    <t>Gynn Hathaway</t>
  </si>
  <si>
    <t>Melinda Newsome</t>
  </si>
  <si>
    <t>Rick Bergevin Jr.</t>
  </si>
  <si>
    <t>Derrick</t>
  </si>
  <si>
    <t>Mike Patten</t>
  </si>
  <si>
    <t>Sherie Grayling</t>
  </si>
  <si>
    <t>Name</t>
  </si>
  <si>
    <t>Wins</t>
  </si>
  <si>
    <t>Losses</t>
  </si>
  <si>
    <t>5-0</t>
  </si>
  <si>
    <t>data sheet url</t>
  </si>
  <si>
    <t>https://docs.google.com/spreadsheets/d/1ED6rYTqo_aZo5kEVd8LxHCzETKsWKyMjWaq2EKJpqds/edit?gid=1949076530#gid=1949076530</t>
  </si>
  <si>
    <t>TEAMROSTER</t>
  </si>
  <si>
    <t>MATCHUPS</t>
  </si>
  <si>
    <t>TEAMSORDERED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</si>
</sst>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sz val="17.0"/>
      <color theme="1"/>
      <name val="Arial"/>
    </font>
    <font>
      <sz val="14.0"/>
      <color theme="1"/>
      <name val="Arial"/>
    </font>
    <font>
      <sz val="13.0"/>
      <color theme="1"/>
      <name val="Arial"/>
    </font>
    <font>
      <color theme="1"/>
      <name val="Arial"/>
      <scheme val="minor"/>
    </font>
    <font>
      <sz val="18.0"/>
      <color theme="1"/>
      <name val="Arial"/>
    </font>
    <font>
      <sz val="14.0"/>
      <color rgb="FFFFFFFF"/>
      <name val="Arial"/>
    </font>
    <font>
      <sz val="19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12" fillId="0" fontId="1" numFmtId="0" xfId="0" applyAlignment="1" applyBorder="1" applyFont="1">
      <alignment vertical="bottom"/>
    </xf>
    <xf borderId="12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7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horizontal="center" vertical="bottom"/>
    </xf>
    <xf borderId="15" fillId="0" fontId="1" numFmtId="0" xfId="0" applyAlignment="1" applyBorder="1" applyFont="1">
      <alignment vertical="bottom"/>
    </xf>
    <xf borderId="15" fillId="0" fontId="3" numFmtId="0" xfId="0" applyAlignment="1" applyBorder="1" applyFont="1">
      <alignment vertical="bottom"/>
    </xf>
    <xf borderId="15" fillId="0" fontId="3" numFmtId="0" xfId="0" applyAlignment="1" applyBorder="1" applyFont="1">
      <alignment horizontal="right" vertical="bottom"/>
    </xf>
    <xf borderId="16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19" fillId="0" fontId="1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20" fillId="0" fontId="1" numFmtId="0" xfId="0" applyAlignment="1" applyBorder="1" applyFont="1">
      <alignment horizontal="center" readingOrder="0" vertical="bottom"/>
    </xf>
    <xf borderId="20" fillId="0" fontId="1" numFmtId="0" xfId="0" applyAlignment="1" applyBorder="1" applyFont="1">
      <alignment horizontal="center" vertical="bottom"/>
    </xf>
    <xf borderId="21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center" vertical="bottom"/>
    </xf>
    <xf borderId="22" fillId="2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3" fillId="0" fontId="1" numFmtId="0" xfId="0" applyAlignment="1" applyBorder="1" applyFont="1">
      <alignment horizontal="right" vertical="bottom"/>
    </xf>
    <xf borderId="18" fillId="0" fontId="1" numFmtId="0" xfId="0" applyAlignment="1" applyBorder="1" applyFont="1">
      <alignment horizontal="right" vertical="bottom"/>
    </xf>
    <xf borderId="22" fillId="2" fontId="1" numFmtId="0" xfId="0" applyAlignment="1" applyBorder="1" applyFont="1">
      <alignment readingOrder="0" vertical="bottom"/>
    </xf>
    <xf borderId="24" fillId="2" fontId="1" numFmtId="0" xfId="0" applyAlignment="1" applyBorder="1" applyFont="1">
      <alignment readingOrder="0" vertical="bottom"/>
    </xf>
    <xf borderId="25" fillId="2" fontId="1" numFmtId="0" xfId="0" applyAlignment="1" applyBorder="1" applyFont="1">
      <alignment readingOrder="0" vertical="bottom"/>
    </xf>
    <xf borderId="26" fillId="0" fontId="1" numFmtId="0" xfId="0" applyAlignment="1" applyBorder="1" applyFont="1">
      <alignment vertical="bottom"/>
    </xf>
    <xf borderId="27" fillId="0" fontId="1" numFmtId="0" xfId="0" applyAlignment="1" applyBorder="1" applyFont="1">
      <alignment horizontal="center" vertical="bottom"/>
    </xf>
    <xf borderId="28" fillId="0" fontId="1" numFmtId="0" xfId="0" applyAlignment="1" applyBorder="1" applyFont="1">
      <alignment vertical="bottom"/>
    </xf>
    <xf borderId="28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right" vertical="bottom"/>
    </xf>
    <xf borderId="28" fillId="0" fontId="1" numFmtId="0" xfId="0" applyAlignment="1" applyBorder="1" applyFont="1">
      <alignment readingOrder="0" vertical="bottom"/>
    </xf>
    <xf borderId="15" fillId="2" fontId="1" numFmtId="0" xfId="0" applyAlignment="1" applyBorder="1" applyFont="1">
      <alignment vertical="bottom"/>
    </xf>
    <xf borderId="17" fillId="0" fontId="1" numFmtId="0" xfId="0" applyAlignment="1" applyBorder="1" applyFont="1">
      <alignment horizontal="center" readingOrder="0" vertical="bottom"/>
    </xf>
    <xf borderId="12" fillId="2" fontId="1" numFmtId="0" xfId="0" applyAlignment="1" applyBorder="1" applyFont="1">
      <alignment vertical="bottom"/>
    </xf>
    <xf borderId="0" fillId="0" fontId="10" numFmtId="0" xfId="0" applyAlignment="1" applyFont="1">
      <alignment readingOrder="0" vertical="bottom"/>
    </xf>
    <xf borderId="27" fillId="0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29" fillId="0" fontId="1" numFmtId="0" xfId="0" applyAlignment="1" applyBorder="1" applyFont="1">
      <alignment horizontal="right" vertical="bottom"/>
    </xf>
    <xf borderId="20" fillId="2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30" fillId="0" fontId="1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28" fillId="0" fontId="10" numFmtId="0" xfId="0" applyAlignment="1" applyBorder="1" applyFont="1">
      <alignment readingOrder="0" vertical="bottom"/>
    </xf>
    <xf borderId="22" fillId="2" fontId="1" numFmtId="0" xfId="0" applyAlignment="1" applyBorder="1" applyFont="1">
      <alignment horizontal="center" readingOrder="0" vertical="bottom"/>
    </xf>
    <xf borderId="22" fillId="2" fontId="11" numFmtId="0" xfId="0" applyAlignment="1" applyBorder="1" applyFont="1">
      <alignment horizontal="left" readingOrder="0" vertical="bottom"/>
    </xf>
    <xf borderId="0" fillId="0" fontId="5" numFmtId="0" xfId="0" applyAlignment="1" applyFont="1">
      <alignment readingOrder="0"/>
    </xf>
    <xf borderId="21" fillId="0" fontId="1" numFmtId="0" xfId="0" applyAlignment="1" applyBorder="1" applyFont="1">
      <alignment horizontal="center" vertical="bottom"/>
    </xf>
    <xf borderId="24" fillId="2" fontId="10" numFmtId="0" xfId="0" applyAlignment="1" applyBorder="1" applyFont="1">
      <alignment horizontal="left" readingOrder="0" vertical="bottom"/>
    </xf>
    <xf borderId="18" fillId="0" fontId="1" numFmtId="3" xfId="0" applyAlignment="1" applyBorder="1" applyFont="1" applyNumberFormat="1">
      <alignment horizontal="right" vertical="bottom"/>
    </xf>
    <xf borderId="31" fillId="0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5" fillId="0" fontId="1" numFmtId="0" xfId="0" applyAlignment="1" applyBorder="1" applyFont="1">
      <alignment horizontal="right" vertical="bottom"/>
    </xf>
    <xf borderId="36" fillId="0" fontId="1" numFmtId="0" xfId="0" applyAlignment="1" applyBorder="1" applyFont="1">
      <alignment horizontal="center" vertical="bottom"/>
    </xf>
    <xf borderId="13" fillId="0" fontId="1" numFmtId="0" xfId="0" applyAlignment="1" applyBorder="1" applyFont="1">
      <alignment horizontal="center" vertical="bottom"/>
    </xf>
    <xf borderId="36" fillId="0" fontId="1" numFmtId="0" xfId="0" applyAlignment="1" applyBorder="1" applyFont="1">
      <alignment vertical="bottom"/>
    </xf>
    <xf borderId="21" fillId="0" fontId="1" numFmtId="3" xfId="0" applyAlignment="1" applyBorder="1" applyFont="1" applyNumberFormat="1">
      <alignment vertical="bottom"/>
    </xf>
    <xf borderId="37" fillId="0" fontId="1" numFmtId="0" xfId="0" applyAlignment="1" applyBorder="1" applyFont="1">
      <alignment vertical="bottom"/>
    </xf>
    <xf borderId="21" fillId="0" fontId="1" numFmtId="3" xfId="0" applyAlignment="1" applyBorder="1" applyFont="1" applyNumberFormat="1">
      <alignment horizontal="right" vertical="bottom"/>
    </xf>
    <xf borderId="35" fillId="0" fontId="5" numFmtId="0" xfId="0" applyAlignment="1" applyBorder="1" applyFont="1">
      <alignment horizontal="center" readingOrder="0"/>
    </xf>
    <xf borderId="0" fillId="0" fontId="5" numFmtId="0" xfId="0" applyFont="1"/>
    <xf borderId="31" fillId="0" fontId="5" numFmtId="0" xfId="0" applyBorder="1" applyFont="1"/>
    <xf borderId="28" fillId="0" fontId="5" numFmtId="0" xfId="0" applyBorder="1" applyFont="1"/>
    <xf borderId="33" fillId="0" fontId="5" numFmtId="0" xfId="0" applyBorder="1" applyFont="1"/>
    <xf borderId="13" fillId="0" fontId="5" numFmtId="0" xfId="0" applyBorder="1" applyFont="1"/>
    <xf borderId="30" fillId="0" fontId="5" numFmtId="0" xfId="0" applyBorder="1" applyFont="1"/>
    <xf borderId="12" fillId="0" fontId="5" numFmtId="0" xfId="0" applyBorder="1" applyFont="1"/>
    <xf borderId="0" fillId="0" fontId="12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714375</xdr:colOff>
      <xdr:row>3</xdr:row>
      <xdr:rowOff>76200</xdr:rowOff>
    </xdr:from>
    <xdr:ext cx="1952625" cy="590550"/>
    <xdr:sp>
      <xdr:nvSpPr>
        <xdr:cNvPr id="3" name="Shape 3"/>
        <xdr:cNvSpPr/>
      </xdr:nvSpPr>
      <xdr:spPr>
        <a:xfrm>
          <a:off x="2600100" y="452725"/>
          <a:ext cx="1932600" cy="572700"/>
        </a:xfrm>
        <a:prstGeom prst="flowChartAlternate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 Sheets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D6rYTqo_aZo5kEVd8LxHCzETKsWKyMjWaq2EKJpqds/edit?gid=1949076530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75"/>
    <col customWidth="1" min="5" max="5" width="20.38"/>
    <col customWidth="1" min="6" max="6" width="6.0"/>
    <col customWidth="1" min="8" max="8" width="22.5"/>
  </cols>
  <sheetData>
    <row r="1">
      <c r="A1" s="1"/>
      <c r="B1" s="2"/>
      <c r="C1" s="2"/>
      <c r="D1" s="2"/>
      <c r="E1" s="3" t="s">
        <v>0</v>
      </c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D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5" t="s">
        <v>1</v>
      </c>
      <c r="C4" s="6"/>
      <c r="D4" s="7"/>
      <c r="E4" s="2"/>
      <c r="F4" s="4"/>
      <c r="G4" s="2"/>
      <c r="H4" s="8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9" t="s">
        <v>3</v>
      </c>
      <c r="C5" s="2"/>
      <c r="D5" s="10"/>
      <c r="E5" s="2"/>
      <c r="F5" s="4"/>
      <c r="G5" s="2"/>
      <c r="H5" s="11" t="s">
        <v>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2"/>
      <c r="C6" s="13"/>
      <c r="D6" s="14"/>
      <c r="E6" s="2"/>
      <c r="F6" s="4"/>
      <c r="G6" s="2"/>
      <c r="H6" s="15" t="s">
        <v>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6"/>
      <c r="C7" s="17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18" t="s">
        <v>6</v>
      </c>
      <c r="C8" s="19">
        <f>DATA!F1</f>
        <v>14</v>
      </c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0" t="s">
        <v>7</v>
      </c>
      <c r="C10" s="20"/>
      <c r="D10" s="20" t="s">
        <v>8</v>
      </c>
      <c r="E10" s="20" t="s">
        <v>9</v>
      </c>
      <c r="F10" s="21"/>
      <c r="G10" s="20" t="s">
        <v>10</v>
      </c>
      <c r="H10" s="20" t="s">
        <v>9</v>
      </c>
      <c r="I10" s="20" t="s">
        <v>11</v>
      </c>
      <c r="J10" s="2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16" t="str">
        <f>"MATCH " &amp; DATA!E5</f>
        <v>MATCH 1</v>
      </c>
      <c r="C11" s="2"/>
      <c r="D11" s="16" t="str">
        <f>"TEAM " &amp; DATA!F5</f>
        <v>TEAM 2</v>
      </c>
      <c r="E11" s="16" t="str">
        <f> DATA!G5</f>
        <v>Crystalized</v>
      </c>
      <c r="F11" s="22" t="s">
        <v>12</v>
      </c>
      <c r="G11" s="16" t="str">
        <f>"TEAM " &amp; DATA!I5</f>
        <v>TEAM 9</v>
      </c>
      <c r="H11" s="16" t="str">
        <f>DATA!J5</f>
        <v>Familia</v>
      </c>
      <c r="I11" s="16" t="str">
        <f>"@ " &amp; DATA!K5</f>
        <v>@ Crystal Bar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16" t="str">
        <f>"MATCH " &amp; DATA!E6</f>
        <v>MATCH 2</v>
      </c>
      <c r="C12" s="2"/>
      <c r="D12" s="16" t="str">
        <f>"TEAM " &amp; DATA!F6</f>
        <v>TEAM 3</v>
      </c>
      <c r="E12" s="16" t="str">
        <f> DATA!G6</f>
        <v>BYE</v>
      </c>
      <c r="F12" s="22" t="s">
        <v>12</v>
      </c>
      <c r="G12" s="16" t="str">
        <f>"TEAM " &amp; DATA!I6</f>
        <v>TEAM 8</v>
      </c>
      <c r="H12" s="16" t="str">
        <f>DATA!J6</f>
        <v>Q-Tips</v>
      </c>
      <c r="I12" s="16" t="str">
        <f>"@ " &amp; DATA!K6</f>
        <v>@ Crystal Bar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16" t="str">
        <f>"MATCH " &amp; DATA!E7</f>
        <v>MATCH 3</v>
      </c>
      <c r="C13" s="2"/>
      <c r="D13" s="16" t="str">
        <f>"TEAM " &amp; DATA!F7</f>
        <v>TEAM </v>
      </c>
      <c r="E13" s="16" t="str">
        <f> DATA!G7</f>
        <v/>
      </c>
      <c r="F13" s="22" t="s">
        <v>12</v>
      </c>
      <c r="G13" s="16" t="str">
        <f>"TEAM " &amp; DATA!I7</f>
        <v>TEAM </v>
      </c>
      <c r="H13" s="16" t="str">
        <f>DATA!J7</f>
        <v/>
      </c>
      <c r="I13" s="16" t="str">
        <f>"@ " &amp; DATA!K7</f>
        <v>@ 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16" t="str">
        <f>"MATCH " &amp; DATA!E8</f>
        <v>MATCH 4</v>
      </c>
      <c r="C14" s="2"/>
      <c r="D14" s="16" t="str">
        <f>"TEAM " &amp; DATA!F8</f>
        <v>TEAM </v>
      </c>
      <c r="E14" s="16" t="str">
        <f> DATA!G8</f>
        <v/>
      </c>
      <c r="F14" s="22" t="s">
        <v>12</v>
      </c>
      <c r="G14" s="16" t="str">
        <f>"TEAM " &amp; DATA!I8</f>
        <v>TEAM </v>
      </c>
      <c r="H14" s="16" t="str">
        <f>DATA!J8</f>
        <v/>
      </c>
      <c r="I14" s="16" t="str">
        <f>"@ " &amp; DATA!K8</f>
        <v>@ 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3" t="str">
        <f>"MATCH " &amp; DATA!E9</f>
        <v>MATCH 5</v>
      </c>
      <c r="C15" s="24"/>
      <c r="D15" s="23" t="str">
        <f>"TEAM " &amp; DATA!F9</f>
        <v>TEAM 4</v>
      </c>
      <c r="E15" s="24" t="str">
        <f> DATA!G9</f>
        <v>Misfitz</v>
      </c>
      <c r="F15" s="25" t="s">
        <v>12</v>
      </c>
      <c r="G15" s="23" t="str">
        <f>"TEAM " &amp; DATA!I9</f>
        <v>TEAM 6</v>
      </c>
      <c r="H15" s="24" t="str">
        <f>DATA!J9</f>
        <v>Felt Up</v>
      </c>
      <c r="I15" s="23" t="str">
        <f>"@ " &amp; DATA!K9</f>
        <v>@ Happy Dayz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3" t="str">
        <f>"MATCH " &amp; DATA!E10</f>
        <v>MATCH 6</v>
      </c>
      <c r="C16" s="24"/>
      <c r="D16" s="23" t="str">
        <f>"TEAM " &amp; DATA!F10</f>
        <v>TEAM 5</v>
      </c>
      <c r="E16" s="24" t="str">
        <f> DATA!G10</f>
        <v>The Undertakers</v>
      </c>
      <c r="F16" s="25" t="s">
        <v>12</v>
      </c>
      <c r="G16" s="23" t="str">
        <f>"TEAM " &amp; DATA!I10</f>
        <v>TEAM 1</v>
      </c>
      <c r="H16" s="24" t="str">
        <f>DATA!J10</f>
        <v>8-Ball Gangster</v>
      </c>
      <c r="I16" s="23" t="str">
        <f>"@ " &amp; DATA!K10</f>
        <v>@ Happy Dayz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4"/>
      <c r="C17" s="24"/>
      <c r="D17" s="24"/>
      <c r="E17" s="24"/>
      <c r="F17" s="26"/>
      <c r="G17" s="24"/>
      <c r="H17" s="24"/>
      <c r="I17" s="2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4"/>
      <c r="C18" s="24"/>
      <c r="D18" s="24"/>
      <c r="E18" s="24"/>
      <c r="F18" s="26"/>
      <c r="G18" s="24"/>
      <c r="H18" s="24"/>
      <c r="I18" s="2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4"/>
      <c r="C19" s="24"/>
      <c r="D19" s="24"/>
      <c r="E19" s="24"/>
      <c r="F19" s="26"/>
      <c r="G19" s="24"/>
      <c r="H19" s="24"/>
      <c r="I19" s="2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63"/>
    <col customWidth="1" min="3" max="3" width="22.63"/>
    <col customWidth="1" min="4" max="8" width="6.75"/>
    <col customWidth="1" min="9" max="9" width="8.25"/>
    <col customWidth="1" min="10" max="10" width="6.75"/>
    <col customWidth="1" min="11" max="11" width="5.75"/>
    <col customWidth="1" min="12" max="12" width="4.88"/>
    <col customWidth="1" min="13" max="13" width="22.63"/>
    <col customWidth="1" min="14" max="20" width="6.75"/>
  </cols>
  <sheetData>
    <row r="1">
      <c r="A1" s="27" t="b">
        <v>1</v>
      </c>
      <c r="B1" s="2"/>
      <c r="C1" s="18" t="s">
        <v>13</v>
      </c>
      <c r="D1" s="2"/>
      <c r="E1" s="2"/>
      <c r="F1" s="2"/>
      <c r="G1" s="2"/>
      <c r="H1" s="2"/>
      <c r="I1" s="2"/>
      <c r="J1" s="2"/>
      <c r="K1" s="2"/>
      <c r="L1" s="2"/>
      <c r="M1" s="28" t="s">
        <v>14</v>
      </c>
      <c r="N1" s="29">
        <f>DATA!F1</f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30" t="s">
        <v>15</v>
      </c>
      <c r="J2" s="18" t="str">
        <f>DATA!K5</f>
        <v>Crystal Bar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2">
        <f>DATA!F5</f>
        <v>2</v>
      </c>
      <c r="C4" s="31" t="str">
        <f>DATA!G5</f>
        <v>Crystalized</v>
      </c>
      <c r="I4" s="2"/>
      <c r="J4" s="32" t="s">
        <v>12</v>
      </c>
      <c r="K4" s="2"/>
      <c r="L4" s="22">
        <f>DATA!I5</f>
        <v>9</v>
      </c>
      <c r="M4" s="31" t="str">
        <f>DATA!J5</f>
        <v>Familia</v>
      </c>
      <c r="T4" s="2"/>
      <c r="U4" s="2"/>
      <c r="V4" s="2"/>
      <c r="W4" s="2"/>
      <c r="X4" s="2"/>
      <c r="Y4" s="2"/>
      <c r="Z4" s="2"/>
      <c r="AA4" s="2"/>
      <c r="AB4" s="2"/>
    </row>
    <row r="5">
      <c r="A5" s="3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3"/>
      <c r="B6" s="2"/>
      <c r="C6" s="16" t="s">
        <v>16</v>
      </c>
      <c r="D6" s="2"/>
      <c r="E6" s="2"/>
      <c r="F6" s="2"/>
      <c r="G6" s="2"/>
      <c r="H6" s="2"/>
      <c r="I6" s="2"/>
      <c r="J6" s="2"/>
      <c r="K6" s="2"/>
      <c r="L6" s="2"/>
      <c r="M6" s="16" t="s">
        <v>17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34" t="s">
        <v>9</v>
      </c>
      <c r="B7" s="35" t="s">
        <v>18</v>
      </c>
      <c r="C7" s="36" t="s">
        <v>19</v>
      </c>
      <c r="D7" s="36"/>
      <c r="E7" s="36"/>
      <c r="F7" s="36"/>
      <c r="G7" s="37" t="s">
        <v>20</v>
      </c>
      <c r="H7" s="36"/>
      <c r="I7" s="38">
        <f>COUNTIF(I14:I39,G7)</f>
        <v>8</v>
      </c>
      <c r="J7" s="39"/>
      <c r="K7" s="34" t="s">
        <v>9</v>
      </c>
      <c r="L7" s="35" t="s">
        <v>18</v>
      </c>
      <c r="M7" s="36" t="s">
        <v>19</v>
      </c>
      <c r="N7" s="36"/>
      <c r="O7" s="36"/>
      <c r="P7" s="36"/>
      <c r="Q7" s="37" t="s">
        <v>20</v>
      </c>
      <c r="R7" s="37"/>
      <c r="S7" s="38">
        <f>COUNTIF(S14:S39,Q7)</f>
        <v>17</v>
      </c>
      <c r="T7" s="39"/>
      <c r="U7" s="2"/>
      <c r="V7" s="2"/>
      <c r="W7" s="2"/>
      <c r="X7" s="2"/>
      <c r="Y7" s="2"/>
      <c r="Z7" s="2"/>
      <c r="AA7" s="2"/>
      <c r="AB7" s="2"/>
    </row>
    <row r="8" ht="21.75" customHeight="1">
      <c r="A8" s="40"/>
      <c r="B8" s="32">
        <f t="shared" ref="B8:C8" si="1">B4</f>
        <v>2</v>
      </c>
      <c r="C8" s="3" t="str">
        <f t="shared" si="1"/>
        <v>Crystalized</v>
      </c>
      <c r="D8" s="2"/>
      <c r="E8" s="2"/>
      <c r="F8" s="2"/>
      <c r="G8" s="16" t="s">
        <v>21</v>
      </c>
      <c r="H8" s="2"/>
      <c r="I8" s="17">
        <f>COUNTIF(I14:I39,G8)</f>
        <v>17</v>
      </c>
      <c r="J8" s="41"/>
      <c r="K8" s="40"/>
      <c r="L8" s="32">
        <f t="shared" ref="L8:M8" si="2">L4</f>
        <v>9</v>
      </c>
      <c r="M8" s="3" t="str">
        <f t="shared" si="2"/>
        <v>Familia</v>
      </c>
      <c r="N8" s="2"/>
      <c r="O8" s="2"/>
      <c r="P8" s="2"/>
      <c r="Q8" s="16" t="s">
        <v>21</v>
      </c>
      <c r="R8" s="16"/>
      <c r="S8" s="17">
        <f>COUNTIF(S14:S39,Q8)</f>
        <v>8</v>
      </c>
      <c r="T8" s="41"/>
      <c r="U8" s="2"/>
      <c r="V8" s="2"/>
      <c r="W8" s="2"/>
      <c r="X8" s="2"/>
      <c r="Y8" s="2"/>
      <c r="Z8" s="2"/>
      <c r="AA8" s="2"/>
      <c r="AB8" s="2"/>
    </row>
    <row r="9" ht="21.75" customHeight="1">
      <c r="A9" s="40"/>
      <c r="B9" s="2"/>
      <c r="C9" s="2"/>
      <c r="D9" s="2"/>
      <c r="E9" s="2"/>
      <c r="F9" s="2"/>
      <c r="G9" s="42" t="s">
        <v>22</v>
      </c>
      <c r="H9" s="2"/>
      <c r="I9" s="16">
        <f>if(I7&gt;=D10,3+((I7-D10)*0.1),if(I7&gt;=D11,1.5+((I7-D11)*0.1),I7*0.1))</f>
        <v>1.5</v>
      </c>
      <c r="J9" s="41"/>
      <c r="K9" s="40"/>
      <c r="L9" s="2"/>
      <c r="M9" s="2"/>
      <c r="N9" s="2"/>
      <c r="O9" s="2"/>
      <c r="P9" s="2"/>
      <c r="Q9" s="42" t="s">
        <v>22</v>
      </c>
      <c r="R9" s="16"/>
      <c r="S9" s="16">
        <f>if(S7&gt;=N10,3+((S7-N10)*0.1),if(S7&gt;=N11,1.5+((S7-N11)*0.1),S7*0.1))</f>
        <v>3.3</v>
      </c>
      <c r="T9" s="41"/>
      <c r="U9" s="2"/>
      <c r="V9" s="2"/>
      <c r="W9" s="2"/>
      <c r="X9" s="2"/>
      <c r="Y9" s="2"/>
      <c r="Z9" s="2"/>
      <c r="AA9" s="2"/>
      <c r="AB9" s="2"/>
    </row>
    <row r="10">
      <c r="A10" s="40"/>
      <c r="B10" s="2"/>
      <c r="C10" s="43" t="s">
        <v>23</v>
      </c>
      <c r="D10" s="44">
        <f t="shared" ref="D10:D11" si="3">J47</f>
        <v>12</v>
      </c>
      <c r="E10" s="44" t="s">
        <v>24</v>
      </c>
      <c r="F10" s="44">
        <f>D10-I7</f>
        <v>4</v>
      </c>
      <c r="G10" s="2"/>
      <c r="H10" s="2"/>
      <c r="I10" s="2"/>
      <c r="J10" s="41"/>
      <c r="K10" s="40"/>
      <c r="L10" s="2"/>
      <c r="M10" s="43" t="s">
        <v>23</v>
      </c>
      <c r="N10" s="44">
        <f t="shared" ref="N10:N11" si="4">T47</f>
        <v>14</v>
      </c>
      <c r="O10" s="44" t="s">
        <v>24</v>
      </c>
      <c r="P10" s="44">
        <f>N10-S7</f>
        <v>-3</v>
      </c>
      <c r="Q10" s="2"/>
      <c r="R10" s="2"/>
      <c r="S10" s="2"/>
      <c r="T10" s="41"/>
      <c r="U10" s="2"/>
      <c r="V10" s="2"/>
      <c r="W10" s="2"/>
      <c r="X10" s="2"/>
      <c r="Y10" s="2"/>
      <c r="Z10" s="2"/>
      <c r="AA10" s="2"/>
      <c r="AB10" s="2"/>
    </row>
    <row r="11">
      <c r="A11" s="40"/>
      <c r="B11" s="2"/>
      <c r="C11" s="43" t="s">
        <v>25</v>
      </c>
      <c r="D11" s="44">
        <f t="shared" si="3"/>
        <v>8</v>
      </c>
      <c r="E11" s="44" t="s">
        <v>24</v>
      </c>
      <c r="F11" s="44">
        <f>D11-I7</f>
        <v>0</v>
      </c>
      <c r="G11" s="2"/>
      <c r="H11" s="2"/>
      <c r="I11" s="2"/>
      <c r="J11" s="41"/>
      <c r="K11" s="40"/>
      <c r="L11" s="2"/>
      <c r="M11" s="43" t="s">
        <v>25</v>
      </c>
      <c r="N11" s="44">
        <f t="shared" si="4"/>
        <v>10</v>
      </c>
      <c r="O11" s="44" t="s">
        <v>24</v>
      </c>
      <c r="P11" s="44">
        <f>N11-S7</f>
        <v>-7</v>
      </c>
      <c r="Q11" s="2"/>
      <c r="R11" s="2"/>
      <c r="S11" s="2"/>
      <c r="T11" s="41"/>
      <c r="U11" s="2"/>
      <c r="V11" s="2"/>
      <c r="W11" s="2"/>
      <c r="X11" s="2"/>
      <c r="Y11" s="2"/>
      <c r="Z11" s="2"/>
      <c r="AA11" s="2"/>
      <c r="AB11" s="2"/>
    </row>
    <row r="12">
      <c r="A12" s="40"/>
      <c r="B12" s="2"/>
      <c r="C12" s="2"/>
      <c r="D12" s="2"/>
      <c r="E12" s="2"/>
      <c r="F12" s="2"/>
      <c r="G12" s="2"/>
      <c r="H12" s="2"/>
      <c r="I12" s="2"/>
      <c r="J12" s="41"/>
      <c r="K12" s="40"/>
      <c r="L12" s="2"/>
      <c r="M12" s="2"/>
      <c r="N12" s="2"/>
      <c r="O12" s="2"/>
      <c r="P12" s="2"/>
      <c r="Q12" s="2"/>
      <c r="R12" s="2"/>
      <c r="S12" s="2"/>
      <c r="T12" s="41"/>
      <c r="U12" s="2"/>
      <c r="V12" s="2"/>
      <c r="W12" s="2"/>
      <c r="X12" s="2"/>
      <c r="Y12" s="2"/>
      <c r="Z12" s="2"/>
      <c r="AA12" s="2"/>
      <c r="AB12" s="2"/>
    </row>
    <row r="13">
      <c r="A13" s="45"/>
      <c r="B13" s="46" t="s">
        <v>26</v>
      </c>
      <c r="C13" s="2" t="s">
        <v>27</v>
      </c>
      <c r="D13" s="47" t="s">
        <v>28</v>
      </c>
      <c r="E13" s="47" t="s">
        <v>29</v>
      </c>
      <c r="F13" s="48" t="s">
        <v>30</v>
      </c>
      <c r="G13" s="48" t="s">
        <v>31</v>
      </c>
      <c r="H13" s="48" t="s">
        <v>32</v>
      </c>
      <c r="I13" s="48" t="s">
        <v>33</v>
      </c>
      <c r="J13" s="49" t="s">
        <v>34</v>
      </c>
      <c r="K13" s="45"/>
      <c r="L13" s="46" t="s">
        <v>26</v>
      </c>
      <c r="M13" s="2" t="s">
        <v>27</v>
      </c>
      <c r="N13" s="47" t="s">
        <v>28</v>
      </c>
      <c r="O13" s="47" t="s">
        <v>29</v>
      </c>
      <c r="P13" s="48" t="s">
        <v>30</v>
      </c>
      <c r="Q13" s="48" t="s">
        <v>31</v>
      </c>
      <c r="R13" s="48" t="s">
        <v>32</v>
      </c>
      <c r="S13" s="48" t="s">
        <v>33</v>
      </c>
      <c r="T13" s="49" t="s">
        <v>34</v>
      </c>
      <c r="U13" s="2"/>
      <c r="V13" s="2"/>
      <c r="W13" s="2"/>
      <c r="X13" s="2"/>
      <c r="Y13" s="2"/>
      <c r="Z13" s="2"/>
      <c r="AA13" s="2"/>
      <c r="AB13" s="2"/>
    </row>
    <row r="14">
      <c r="A14" s="50">
        <v>1.0</v>
      </c>
      <c r="B14" s="2" t="s">
        <v>35</v>
      </c>
      <c r="C14" s="51" t="s">
        <v>36</v>
      </c>
      <c r="D14" s="52"/>
      <c r="E14" s="53"/>
      <c r="F14" s="54">
        <f t="shared" ref="F14:F18" si="5">IFERROR(VLOOKUP(C14,$C$57:$D$64,2,0), 0)</f>
        <v>69</v>
      </c>
      <c r="G14" s="52"/>
      <c r="H14" s="53"/>
      <c r="I14" s="27" t="s">
        <v>21</v>
      </c>
      <c r="J14" s="55">
        <f>COUNTIF(I14,"WIN")</f>
        <v>0</v>
      </c>
      <c r="K14" s="50">
        <v>1.0</v>
      </c>
      <c r="L14" s="2"/>
      <c r="M14" s="56" t="s">
        <v>37</v>
      </c>
      <c r="N14" s="53"/>
      <c r="O14" s="53"/>
      <c r="P14" s="54">
        <f t="shared" ref="P14:P18" si="6">IFERROR(VLOOKUP(M14,$M$57:$N$64,2,0), 0)</f>
        <v>90</v>
      </c>
      <c r="Q14" s="52"/>
      <c r="R14" s="52"/>
      <c r="S14" s="2" t="str">
        <f t="shared" ref="S14:S33" si="7">IF(I14="WIN","LOSS",IF(I14="LOSS","WIN",""))</f>
        <v>WIN</v>
      </c>
      <c r="T14" s="55">
        <f>COUNTIF(S14,"WIN")</f>
        <v>1</v>
      </c>
      <c r="U14" s="2"/>
      <c r="V14" s="2"/>
      <c r="W14" s="2"/>
      <c r="X14" s="2"/>
      <c r="Y14" s="2"/>
      <c r="Z14" s="2"/>
      <c r="AA14" s="2"/>
      <c r="AB14" s="2"/>
    </row>
    <row r="15">
      <c r="A15" s="50">
        <v>2.0</v>
      </c>
      <c r="B15" s="2" t="s">
        <v>35</v>
      </c>
      <c r="C15" s="57" t="s">
        <v>38</v>
      </c>
      <c r="D15" s="52"/>
      <c r="E15" s="53"/>
      <c r="F15" s="54">
        <f t="shared" si="5"/>
        <v>36</v>
      </c>
      <c r="G15" s="52"/>
      <c r="H15" s="53"/>
      <c r="I15" s="27" t="s">
        <v>21</v>
      </c>
      <c r="J15" s="41">
        <f t="shared" ref="J15:J33" si="8">IF(I15&lt;&gt;"", COUNTIF(I15,"WIN")+J14,"")</f>
        <v>0</v>
      </c>
      <c r="K15" s="50">
        <v>2.0</v>
      </c>
      <c r="L15" s="2"/>
      <c r="M15" s="57" t="s">
        <v>39</v>
      </c>
      <c r="N15" s="52"/>
      <c r="O15" s="53"/>
      <c r="P15" s="54">
        <f t="shared" si="6"/>
        <v>48</v>
      </c>
      <c r="Q15" s="52"/>
      <c r="R15" s="53"/>
      <c r="S15" s="2" t="str">
        <f t="shared" si="7"/>
        <v>WIN</v>
      </c>
      <c r="T15" s="41">
        <f t="shared" ref="T15:T33" si="9">IF(S15&lt;&gt;"", COUNTIF(S15,"WIN")+T14,"")</f>
        <v>2</v>
      </c>
      <c r="U15" s="2"/>
      <c r="V15" s="2"/>
      <c r="W15" s="2"/>
      <c r="X15" s="2"/>
      <c r="Y15" s="2"/>
      <c r="Z15" s="2"/>
      <c r="AA15" s="2"/>
      <c r="AB15" s="2"/>
    </row>
    <row r="16">
      <c r="A16" s="50">
        <v>3.0</v>
      </c>
      <c r="B16" s="2" t="s">
        <v>35</v>
      </c>
      <c r="C16" s="57" t="s">
        <v>40</v>
      </c>
      <c r="D16" s="53"/>
      <c r="E16" s="53"/>
      <c r="F16" s="54">
        <f t="shared" si="5"/>
        <v>52</v>
      </c>
      <c r="G16" s="53"/>
      <c r="H16" s="52"/>
      <c r="I16" s="27" t="s">
        <v>21</v>
      </c>
      <c r="J16" s="41">
        <f t="shared" si="8"/>
        <v>0</v>
      </c>
      <c r="K16" s="50">
        <v>3.0</v>
      </c>
      <c r="L16" s="2"/>
      <c r="M16" s="57" t="s">
        <v>41</v>
      </c>
      <c r="N16" s="52"/>
      <c r="O16" s="53"/>
      <c r="P16" s="54">
        <f t="shared" si="6"/>
        <v>54</v>
      </c>
      <c r="Q16" s="53"/>
      <c r="R16" s="53"/>
      <c r="S16" s="2" t="str">
        <f t="shared" si="7"/>
        <v>WIN</v>
      </c>
      <c r="T16" s="41">
        <f t="shared" si="9"/>
        <v>3</v>
      </c>
      <c r="U16" s="2"/>
      <c r="V16" s="2"/>
      <c r="W16" s="2"/>
      <c r="X16" s="2"/>
      <c r="Y16" s="2"/>
      <c r="Z16" s="2"/>
      <c r="AA16" s="2"/>
      <c r="AB16" s="2"/>
    </row>
    <row r="17">
      <c r="A17" s="50">
        <v>4.0</v>
      </c>
      <c r="B17" s="2" t="s">
        <v>35</v>
      </c>
      <c r="C17" s="57" t="s">
        <v>42</v>
      </c>
      <c r="D17" s="52" t="b">
        <v>1</v>
      </c>
      <c r="E17" s="53"/>
      <c r="F17" s="54">
        <f t="shared" si="5"/>
        <v>37</v>
      </c>
      <c r="G17" s="52"/>
      <c r="H17" s="53"/>
      <c r="I17" s="27" t="s">
        <v>20</v>
      </c>
      <c r="J17" s="41">
        <f t="shared" si="8"/>
        <v>1</v>
      </c>
      <c r="K17" s="50">
        <v>4.0</v>
      </c>
      <c r="L17" s="2"/>
      <c r="M17" s="57" t="s">
        <v>43</v>
      </c>
      <c r="N17" s="52" t="b">
        <v>1</v>
      </c>
      <c r="O17" s="53"/>
      <c r="P17" s="54">
        <f t="shared" si="6"/>
        <v>45</v>
      </c>
      <c r="Q17" s="52"/>
      <c r="R17" s="53"/>
      <c r="S17" s="2" t="str">
        <f t="shared" si="7"/>
        <v>LOSS</v>
      </c>
      <c r="T17" s="41">
        <f t="shared" si="9"/>
        <v>3</v>
      </c>
      <c r="U17" s="2"/>
      <c r="V17" s="2"/>
      <c r="W17" s="2"/>
      <c r="X17" s="2"/>
      <c r="Y17" s="2"/>
      <c r="Z17" s="2"/>
      <c r="AA17" s="2"/>
      <c r="AB17" s="2"/>
    </row>
    <row r="18">
      <c r="A18" s="50">
        <v>5.0</v>
      </c>
      <c r="B18" s="2" t="s">
        <v>35</v>
      </c>
      <c r="C18" s="58" t="s">
        <v>44</v>
      </c>
      <c r="D18" s="52"/>
      <c r="E18" s="53"/>
      <c r="F18" s="54">
        <f t="shared" si="5"/>
        <v>66</v>
      </c>
      <c r="G18" s="53"/>
      <c r="H18" s="52"/>
      <c r="I18" s="27" t="s">
        <v>20</v>
      </c>
      <c r="J18" s="59">
        <f t="shared" si="8"/>
        <v>2</v>
      </c>
      <c r="K18" s="50">
        <v>5.0</v>
      </c>
      <c r="L18" s="2"/>
      <c r="M18" s="58" t="s">
        <v>45</v>
      </c>
      <c r="N18" s="52" t="b">
        <v>1</v>
      </c>
      <c r="O18" s="53"/>
      <c r="P18" s="54">
        <f t="shared" si="6"/>
        <v>39</v>
      </c>
      <c r="Q18" s="53"/>
      <c r="R18" s="53"/>
      <c r="S18" s="2" t="str">
        <f t="shared" si="7"/>
        <v>LOSS</v>
      </c>
      <c r="T18" s="59">
        <f t="shared" si="9"/>
        <v>3</v>
      </c>
      <c r="U18" s="2"/>
      <c r="V18" s="2"/>
      <c r="W18" s="2"/>
      <c r="X18" s="2"/>
      <c r="Y18" s="2"/>
      <c r="Z18" s="2"/>
      <c r="AA18" s="2"/>
      <c r="AB18" s="2"/>
    </row>
    <row r="19">
      <c r="A19" s="60">
        <v>1.0</v>
      </c>
      <c r="B19" s="61"/>
      <c r="C19" s="2" t="str">
        <f t="shared" ref="C19:C23" si="10">C14</f>
        <v>Kurt Geddes</v>
      </c>
      <c r="D19" s="62"/>
      <c r="E19" s="63"/>
      <c r="F19" s="64">
        <f>SUM(F14:F18)</f>
        <v>260</v>
      </c>
      <c r="G19" s="63"/>
      <c r="H19" s="62"/>
      <c r="I19" s="65" t="s">
        <v>21</v>
      </c>
      <c r="J19" s="41">
        <f t="shared" si="8"/>
        <v>2</v>
      </c>
      <c r="K19" s="60">
        <v>2.0</v>
      </c>
      <c r="L19" s="61" t="s">
        <v>35</v>
      </c>
      <c r="M19" s="66" t="str">
        <f t="shared" ref="M19:M22" si="11">M15</f>
        <v>Mark Karppe</v>
      </c>
      <c r="N19" s="62"/>
      <c r="O19" s="63"/>
      <c r="P19" s="64">
        <f>SUM(P14:P18)</f>
        <v>276</v>
      </c>
      <c r="Q19" s="63"/>
      <c r="R19" s="63"/>
      <c r="S19" s="61" t="str">
        <f t="shared" si="7"/>
        <v>WIN</v>
      </c>
      <c r="T19" s="41">
        <f t="shared" si="9"/>
        <v>4</v>
      </c>
      <c r="U19" s="2"/>
      <c r="V19" s="2"/>
      <c r="W19" s="2"/>
      <c r="X19" s="2"/>
      <c r="Y19" s="2"/>
      <c r="Z19" s="2"/>
      <c r="AA19" s="2"/>
      <c r="AB19" s="2"/>
    </row>
    <row r="20">
      <c r="A20" s="50">
        <v>2.0</v>
      </c>
      <c r="B20" s="2"/>
      <c r="C20" s="2" t="str">
        <f t="shared" si="10"/>
        <v>Larry Griffin</v>
      </c>
      <c r="D20" s="52" t="b">
        <v>1</v>
      </c>
      <c r="E20" s="53"/>
      <c r="F20" s="2"/>
      <c r="G20" s="53"/>
      <c r="H20" s="53"/>
      <c r="I20" s="27" t="s">
        <v>21</v>
      </c>
      <c r="J20" s="41">
        <f t="shared" si="8"/>
        <v>2</v>
      </c>
      <c r="K20" s="50">
        <v>3.0</v>
      </c>
      <c r="L20" s="2" t="s">
        <v>35</v>
      </c>
      <c r="M20" s="24" t="str">
        <f t="shared" si="11"/>
        <v>Carlos Davila</v>
      </c>
      <c r="N20" s="52"/>
      <c r="O20" s="53"/>
      <c r="P20" s="2"/>
      <c r="Q20" s="52"/>
      <c r="R20" s="53"/>
      <c r="S20" s="2" t="str">
        <f t="shared" si="7"/>
        <v>WIN</v>
      </c>
      <c r="T20" s="41">
        <f t="shared" si="9"/>
        <v>5</v>
      </c>
      <c r="U20" s="2"/>
      <c r="V20" s="2"/>
      <c r="W20" s="2"/>
      <c r="X20" s="2"/>
      <c r="Y20" s="2"/>
      <c r="Z20" s="2"/>
      <c r="AA20" s="2"/>
      <c r="AB20" s="2"/>
    </row>
    <row r="21">
      <c r="A21" s="50">
        <v>3.0</v>
      </c>
      <c r="B21" s="2"/>
      <c r="C21" s="2" t="str">
        <f t="shared" si="10"/>
        <v>Ron Moffett</v>
      </c>
      <c r="D21" s="53"/>
      <c r="E21" s="53"/>
      <c r="F21" s="2"/>
      <c r="G21" s="52"/>
      <c r="H21" s="53"/>
      <c r="I21" s="27" t="s">
        <v>21</v>
      </c>
      <c r="J21" s="41">
        <f t="shared" si="8"/>
        <v>2</v>
      </c>
      <c r="K21" s="50">
        <v>4.0</v>
      </c>
      <c r="L21" s="2" t="s">
        <v>35</v>
      </c>
      <c r="M21" s="24" t="str">
        <f t="shared" si="11"/>
        <v>JL Smith</v>
      </c>
      <c r="N21" s="52" t="b">
        <v>1</v>
      </c>
      <c r="O21" s="53"/>
      <c r="P21" s="2"/>
      <c r="Q21" s="52"/>
      <c r="R21" s="53"/>
      <c r="S21" s="2" t="str">
        <f t="shared" si="7"/>
        <v>WIN</v>
      </c>
      <c r="T21" s="41">
        <f t="shared" si="9"/>
        <v>6</v>
      </c>
      <c r="U21" s="2"/>
      <c r="V21" s="2"/>
      <c r="W21" s="2"/>
      <c r="X21" s="2"/>
      <c r="Y21" s="2"/>
      <c r="Z21" s="2"/>
      <c r="AA21" s="2"/>
      <c r="AB21" s="2"/>
    </row>
    <row r="22">
      <c r="A22" s="50">
        <v>4.0</v>
      </c>
      <c r="B22" s="2"/>
      <c r="C22" s="2" t="str">
        <f t="shared" si="10"/>
        <v>Bill Steen</v>
      </c>
      <c r="D22" s="52"/>
      <c r="E22" s="53"/>
      <c r="F22" s="2"/>
      <c r="G22" s="53"/>
      <c r="H22" s="52"/>
      <c r="I22" s="27" t="s">
        <v>20</v>
      </c>
      <c r="J22" s="41">
        <f t="shared" si="8"/>
        <v>3</v>
      </c>
      <c r="K22" s="50">
        <v>5.0</v>
      </c>
      <c r="L22" s="2" t="s">
        <v>35</v>
      </c>
      <c r="M22" s="24" t="str">
        <f t="shared" si="11"/>
        <v>Michael Gonzalez</v>
      </c>
      <c r="N22" s="52" t="b">
        <v>1</v>
      </c>
      <c r="O22" s="53"/>
      <c r="P22" s="2"/>
      <c r="Q22" s="53"/>
      <c r="R22" s="53"/>
      <c r="S22" s="2" t="str">
        <f t="shared" si="7"/>
        <v>LOSS</v>
      </c>
      <c r="T22" s="41">
        <f t="shared" si="9"/>
        <v>6</v>
      </c>
      <c r="U22" s="2"/>
      <c r="V22" s="2"/>
      <c r="W22" s="2"/>
      <c r="X22" s="2"/>
      <c r="Y22" s="2"/>
      <c r="Z22" s="2"/>
      <c r="AA22" s="2"/>
      <c r="AB22" s="2"/>
    </row>
    <row r="23">
      <c r="A23" s="50">
        <v>5.0</v>
      </c>
      <c r="B23" s="2"/>
      <c r="C23" s="2" t="str">
        <f t="shared" si="10"/>
        <v>Larry Walls</v>
      </c>
      <c r="D23" s="52"/>
      <c r="E23" s="53"/>
      <c r="F23" s="2"/>
      <c r="G23" s="53"/>
      <c r="H23" s="53"/>
      <c r="I23" s="27" t="s">
        <v>21</v>
      </c>
      <c r="J23" s="59">
        <f t="shared" si="8"/>
        <v>3</v>
      </c>
      <c r="K23" s="67">
        <v>1.0</v>
      </c>
      <c r="L23" s="2" t="s">
        <v>35</v>
      </c>
      <c r="M23" s="68" t="str">
        <f>M14</f>
        <v>Litos Davila</v>
      </c>
      <c r="N23" s="52"/>
      <c r="O23" s="53"/>
      <c r="P23" s="2"/>
      <c r="Q23" s="53"/>
      <c r="R23" s="53"/>
      <c r="S23" s="2" t="str">
        <f t="shared" si="7"/>
        <v>WIN</v>
      </c>
      <c r="T23" s="59">
        <f t="shared" si="9"/>
        <v>7</v>
      </c>
      <c r="U23" s="2"/>
      <c r="V23" s="2"/>
      <c r="W23" s="2"/>
      <c r="X23" s="2"/>
      <c r="Y23" s="2"/>
      <c r="Z23" s="2"/>
      <c r="AA23" s="2"/>
      <c r="AB23" s="2"/>
    </row>
    <row r="24">
      <c r="A24" s="60">
        <v>1.0</v>
      </c>
      <c r="B24" s="61" t="s">
        <v>35</v>
      </c>
      <c r="C24" s="61" t="str">
        <f t="shared" ref="C24:C28" si="12">C14</f>
        <v>Kurt Geddes</v>
      </c>
      <c r="D24" s="62"/>
      <c r="E24" s="63"/>
      <c r="F24" s="61"/>
      <c r="G24" s="62"/>
      <c r="H24" s="62"/>
      <c r="I24" s="65" t="s">
        <v>21</v>
      </c>
      <c r="J24" s="41">
        <f t="shared" si="8"/>
        <v>3</v>
      </c>
      <c r="K24" s="60">
        <v>3.0</v>
      </c>
      <c r="L24" s="61"/>
      <c r="M24" s="24" t="str">
        <f t="shared" ref="M24:M26" si="13">M16</f>
        <v>Carlos Davila</v>
      </c>
      <c r="N24" s="62"/>
      <c r="O24" s="63"/>
      <c r="P24" s="61"/>
      <c r="Q24" s="63"/>
      <c r="R24" s="63"/>
      <c r="S24" s="61" t="str">
        <f t="shared" si="7"/>
        <v>WIN</v>
      </c>
      <c r="T24" s="41">
        <f t="shared" si="9"/>
        <v>8</v>
      </c>
      <c r="U24" s="2"/>
      <c r="V24" s="2"/>
      <c r="W24" s="2"/>
      <c r="X24" s="2"/>
      <c r="Y24" s="2"/>
      <c r="Z24" s="2"/>
      <c r="AA24" s="2"/>
      <c r="AB24" s="2"/>
    </row>
    <row r="25">
      <c r="A25" s="50">
        <v>2.0</v>
      </c>
      <c r="B25" s="2" t="s">
        <v>35</v>
      </c>
      <c r="C25" s="2" t="str">
        <f t="shared" si="12"/>
        <v>Larry Griffin</v>
      </c>
      <c r="D25" s="52"/>
      <c r="E25" s="53"/>
      <c r="F25" s="2"/>
      <c r="G25" s="52"/>
      <c r="H25" s="53"/>
      <c r="I25" s="69" t="s">
        <v>21</v>
      </c>
      <c r="J25" s="41">
        <f t="shared" si="8"/>
        <v>3</v>
      </c>
      <c r="K25" s="50">
        <v>4.0</v>
      </c>
      <c r="L25" s="2"/>
      <c r="M25" s="24" t="str">
        <f t="shared" si="13"/>
        <v>JL Smith</v>
      </c>
      <c r="N25" s="52"/>
      <c r="O25" s="53"/>
      <c r="P25" s="2"/>
      <c r="Q25" s="53"/>
      <c r="R25" s="53"/>
      <c r="S25" s="2" t="str">
        <f t="shared" si="7"/>
        <v>WIN</v>
      </c>
      <c r="T25" s="41">
        <f t="shared" si="9"/>
        <v>9</v>
      </c>
      <c r="U25" s="2"/>
      <c r="V25" s="2"/>
      <c r="W25" s="2"/>
      <c r="X25" s="2"/>
      <c r="Y25" s="2"/>
      <c r="Z25" s="2"/>
      <c r="AA25" s="2"/>
      <c r="AB25" s="2"/>
    </row>
    <row r="26">
      <c r="A26" s="50">
        <v>3.0</v>
      </c>
      <c r="B26" s="2" t="s">
        <v>35</v>
      </c>
      <c r="C26" s="2" t="str">
        <f t="shared" si="12"/>
        <v>Ron Moffett</v>
      </c>
      <c r="D26" s="52"/>
      <c r="E26" s="53"/>
      <c r="F26" s="2"/>
      <c r="G26" s="52"/>
      <c r="H26" s="53"/>
      <c r="I26" s="27" t="s">
        <v>20</v>
      </c>
      <c r="J26" s="41">
        <f t="shared" si="8"/>
        <v>4</v>
      </c>
      <c r="K26" s="50">
        <v>5.0</v>
      </c>
      <c r="L26" s="2"/>
      <c r="M26" s="24" t="str">
        <f t="shared" si="13"/>
        <v>Michael Gonzalez</v>
      </c>
      <c r="N26" s="52" t="b">
        <v>1</v>
      </c>
      <c r="O26" s="53"/>
      <c r="P26" s="2"/>
      <c r="Q26" s="53"/>
      <c r="R26" s="53"/>
      <c r="S26" s="2" t="str">
        <f t="shared" si="7"/>
        <v>LOSS</v>
      </c>
      <c r="T26" s="41">
        <f t="shared" si="9"/>
        <v>9</v>
      </c>
      <c r="U26" s="2"/>
      <c r="V26" s="2"/>
      <c r="W26" s="2"/>
      <c r="X26" s="2"/>
      <c r="Y26" s="2"/>
      <c r="Z26" s="2"/>
      <c r="AA26" s="2"/>
      <c r="AB26" s="2"/>
    </row>
    <row r="27">
      <c r="A27" s="50">
        <v>4.0</v>
      </c>
      <c r="B27" s="2" t="s">
        <v>35</v>
      </c>
      <c r="C27" s="2" t="str">
        <f t="shared" si="12"/>
        <v>Bill Steen</v>
      </c>
      <c r="D27" s="52"/>
      <c r="E27" s="53"/>
      <c r="F27" s="2"/>
      <c r="G27" s="53"/>
      <c r="H27" s="53"/>
      <c r="I27" s="27" t="s">
        <v>21</v>
      </c>
      <c r="J27" s="41">
        <f t="shared" si="8"/>
        <v>4</v>
      </c>
      <c r="K27" s="67">
        <v>1.0</v>
      </c>
      <c r="L27" s="2"/>
      <c r="M27" s="24" t="str">
        <f t="shared" ref="M27:M28" si="14">M14</f>
        <v>Litos Davila</v>
      </c>
      <c r="N27" s="52"/>
      <c r="O27" s="53"/>
      <c r="P27" s="2"/>
      <c r="Q27" s="53"/>
      <c r="R27" s="53"/>
      <c r="S27" s="2" t="str">
        <f t="shared" si="7"/>
        <v>WIN</v>
      </c>
      <c r="T27" s="41">
        <f t="shared" si="9"/>
        <v>10</v>
      </c>
      <c r="U27" s="2"/>
      <c r="V27" s="2"/>
      <c r="W27" s="2"/>
      <c r="X27" s="2"/>
      <c r="Y27" s="2"/>
      <c r="Z27" s="2"/>
      <c r="AA27" s="2"/>
      <c r="AB27" s="2"/>
    </row>
    <row r="28">
      <c r="A28" s="50">
        <v>5.0</v>
      </c>
      <c r="B28" s="2" t="s">
        <v>35</v>
      </c>
      <c r="C28" s="2" t="str">
        <f t="shared" si="12"/>
        <v>Larry Walls</v>
      </c>
      <c r="D28" s="52"/>
      <c r="E28" s="53"/>
      <c r="F28" s="2"/>
      <c r="G28" s="53"/>
      <c r="H28" s="53"/>
      <c r="I28" s="27" t="s">
        <v>21</v>
      </c>
      <c r="J28" s="59">
        <f t="shared" si="8"/>
        <v>4</v>
      </c>
      <c r="K28" s="67">
        <v>2.0</v>
      </c>
      <c r="L28" s="2"/>
      <c r="M28" s="68" t="str">
        <f t="shared" si="14"/>
        <v>Mark Karppe</v>
      </c>
      <c r="N28" s="53"/>
      <c r="O28" s="53"/>
      <c r="P28" s="2"/>
      <c r="Q28" s="53"/>
      <c r="R28" s="53"/>
      <c r="S28" s="2" t="str">
        <f t="shared" si="7"/>
        <v>WIN</v>
      </c>
      <c r="T28" s="59">
        <f t="shared" si="9"/>
        <v>11</v>
      </c>
      <c r="U28" s="2"/>
      <c r="V28" s="2"/>
      <c r="W28" s="2"/>
      <c r="X28" s="2"/>
      <c r="Y28" s="2"/>
      <c r="Z28" s="2"/>
      <c r="AA28" s="2"/>
      <c r="AB28" s="2"/>
    </row>
    <row r="29">
      <c r="A29" s="60">
        <v>1.0</v>
      </c>
      <c r="B29" s="61"/>
      <c r="C29" s="61" t="str">
        <f t="shared" ref="C29:C33" si="15">C14</f>
        <v>Kurt Geddes</v>
      </c>
      <c r="D29" s="62"/>
      <c r="E29" s="63"/>
      <c r="F29" s="61"/>
      <c r="G29" s="63"/>
      <c r="H29" s="63"/>
      <c r="I29" s="65" t="s">
        <v>20</v>
      </c>
      <c r="J29" s="41">
        <f t="shared" si="8"/>
        <v>5</v>
      </c>
      <c r="K29" s="60">
        <v>4.0</v>
      </c>
      <c r="L29" s="61" t="s">
        <v>35</v>
      </c>
      <c r="M29" s="24" t="str">
        <f t="shared" ref="M29:M30" si="16">M17</f>
        <v>JL Smith</v>
      </c>
      <c r="N29" s="62" t="b">
        <v>1</v>
      </c>
      <c r="O29" s="63"/>
      <c r="P29" s="61"/>
      <c r="Q29" s="63"/>
      <c r="R29" s="63"/>
      <c r="S29" s="61" t="str">
        <f t="shared" si="7"/>
        <v>LOSS</v>
      </c>
      <c r="T29" s="41">
        <f t="shared" si="9"/>
        <v>11</v>
      </c>
      <c r="U29" s="2"/>
      <c r="V29" s="2"/>
      <c r="W29" s="2"/>
      <c r="X29" s="2"/>
      <c r="Y29" s="2"/>
      <c r="Z29" s="2"/>
      <c r="AA29" s="2"/>
      <c r="AB29" s="2"/>
    </row>
    <row r="30">
      <c r="A30" s="50">
        <v>2.0</v>
      </c>
      <c r="B30" s="2"/>
      <c r="C30" s="2" t="str">
        <f t="shared" si="15"/>
        <v>Larry Griffin</v>
      </c>
      <c r="D30" s="52" t="b">
        <v>1</v>
      </c>
      <c r="E30" s="53"/>
      <c r="F30" s="2"/>
      <c r="G30" s="53"/>
      <c r="H30" s="52"/>
      <c r="I30" s="27" t="s">
        <v>20</v>
      </c>
      <c r="J30" s="41">
        <f t="shared" si="8"/>
        <v>6</v>
      </c>
      <c r="K30" s="50">
        <v>5.0</v>
      </c>
      <c r="L30" s="2" t="s">
        <v>35</v>
      </c>
      <c r="M30" s="24" t="str">
        <f t="shared" si="16"/>
        <v>Michael Gonzalez</v>
      </c>
      <c r="N30" s="53"/>
      <c r="O30" s="53"/>
      <c r="P30" s="2"/>
      <c r="Q30" s="53"/>
      <c r="R30" s="53"/>
      <c r="S30" s="2" t="str">
        <f t="shared" si="7"/>
        <v>LOSS</v>
      </c>
      <c r="T30" s="41">
        <f t="shared" si="9"/>
        <v>11</v>
      </c>
      <c r="U30" s="2"/>
      <c r="V30" s="2"/>
      <c r="W30" s="2"/>
      <c r="X30" s="2"/>
      <c r="Y30" s="2"/>
      <c r="Z30" s="2"/>
      <c r="AA30" s="2"/>
      <c r="AB30" s="2"/>
    </row>
    <row r="31">
      <c r="A31" s="50">
        <v>3.0</v>
      </c>
      <c r="B31" s="2"/>
      <c r="C31" s="2" t="str">
        <f t="shared" si="15"/>
        <v>Ron Moffett</v>
      </c>
      <c r="D31" s="53"/>
      <c r="E31" s="53"/>
      <c r="F31" s="2"/>
      <c r="G31" s="52"/>
      <c r="H31" s="53"/>
      <c r="I31" s="27" t="s">
        <v>21</v>
      </c>
      <c r="J31" s="41">
        <f t="shared" si="8"/>
        <v>6</v>
      </c>
      <c r="K31" s="67">
        <v>1.0</v>
      </c>
      <c r="L31" s="2" t="s">
        <v>35</v>
      </c>
      <c r="M31" s="24" t="str">
        <f t="shared" ref="M31:M33" si="17">M14</f>
        <v>Litos Davila</v>
      </c>
      <c r="N31" s="52"/>
      <c r="O31" s="53"/>
      <c r="P31" s="2"/>
      <c r="Q31" s="53"/>
      <c r="R31" s="52"/>
      <c r="S31" s="2" t="str">
        <f t="shared" si="7"/>
        <v>WIN</v>
      </c>
      <c r="T31" s="41">
        <f t="shared" si="9"/>
        <v>12</v>
      </c>
      <c r="U31" s="2"/>
      <c r="V31" s="2"/>
      <c r="W31" s="2"/>
      <c r="X31" s="2"/>
      <c r="Y31" s="2"/>
      <c r="Z31" s="2"/>
      <c r="AA31" s="2"/>
      <c r="AB31" s="2"/>
    </row>
    <row r="32">
      <c r="A32" s="50">
        <v>4.0</v>
      </c>
      <c r="B32" s="2"/>
      <c r="C32" s="2" t="str">
        <f t="shared" si="15"/>
        <v>Bill Steen</v>
      </c>
      <c r="D32" s="52"/>
      <c r="E32" s="53"/>
      <c r="F32" s="2"/>
      <c r="G32" s="52"/>
      <c r="H32" s="52"/>
      <c r="I32" s="27" t="s">
        <v>21</v>
      </c>
      <c r="J32" s="41">
        <f t="shared" si="8"/>
        <v>6</v>
      </c>
      <c r="K32" s="67">
        <v>2.0</v>
      </c>
      <c r="L32" s="2" t="s">
        <v>35</v>
      </c>
      <c r="M32" s="24" t="str">
        <f t="shared" si="17"/>
        <v>Mark Karppe</v>
      </c>
      <c r="N32" s="52"/>
      <c r="O32" s="53"/>
      <c r="P32" s="2"/>
      <c r="Q32" s="53"/>
      <c r="R32" s="52"/>
      <c r="S32" s="2" t="str">
        <f t="shared" si="7"/>
        <v>WIN</v>
      </c>
      <c r="T32" s="41">
        <f t="shared" si="9"/>
        <v>13</v>
      </c>
      <c r="U32" s="2"/>
      <c r="V32" s="2"/>
      <c r="W32" s="2"/>
      <c r="X32" s="2"/>
      <c r="Y32" s="2"/>
      <c r="Z32" s="2"/>
      <c r="AA32" s="2"/>
      <c r="AB32" s="2"/>
    </row>
    <row r="33">
      <c r="A33" s="50">
        <v>5.0</v>
      </c>
      <c r="B33" s="2"/>
      <c r="C33" s="2" t="str">
        <f t="shared" si="15"/>
        <v>Larry Walls</v>
      </c>
      <c r="D33" s="53"/>
      <c r="E33" s="53"/>
      <c r="F33" s="2"/>
      <c r="G33" s="53"/>
      <c r="H33" s="53"/>
      <c r="I33" s="27" t="s">
        <v>21</v>
      </c>
      <c r="J33" s="41">
        <f t="shared" si="8"/>
        <v>6</v>
      </c>
      <c r="K33" s="67">
        <v>3.0</v>
      </c>
      <c r="L33" s="2" t="s">
        <v>35</v>
      </c>
      <c r="M33" s="68" t="str">
        <f t="shared" si="17"/>
        <v>Carlos Davila</v>
      </c>
      <c r="N33" s="52" t="b">
        <v>1</v>
      </c>
      <c r="O33" s="53"/>
      <c r="P33" s="2"/>
      <c r="Q33" s="52" t="b">
        <v>1</v>
      </c>
      <c r="R33" s="52"/>
      <c r="S33" s="2" t="str">
        <f t="shared" si="7"/>
        <v>WIN</v>
      </c>
      <c r="T33" s="41">
        <f t="shared" si="9"/>
        <v>14</v>
      </c>
      <c r="U33" s="2"/>
      <c r="V33" s="2"/>
      <c r="W33" s="2"/>
      <c r="X33" s="2"/>
      <c r="Y33" s="2"/>
      <c r="Z33" s="2"/>
      <c r="AA33" s="2"/>
      <c r="AB33" s="2"/>
    </row>
    <row r="34">
      <c r="A34" s="70"/>
      <c r="B34" s="61"/>
      <c r="C34" s="61"/>
      <c r="D34" s="61"/>
      <c r="E34" s="61"/>
      <c r="F34" s="61"/>
      <c r="G34" s="61"/>
      <c r="H34" s="61"/>
      <c r="I34" s="61"/>
      <c r="J34" s="71"/>
      <c r="K34" s="70"/>
      <c r="L34" s="61"/>
      <c r="M34" s="68"/>
      <c r="N34" s="61"/>
      <c r="O34" s="61"/>
      <c r="P34" s="61"/>
      <c r="Q34" s="61"/>
      <c r="R34" s="61"/>
      <c r="S34" s="61"/>
      <c r="T34" s="71"/>
      <c r="U34" s="2"/>
      <c r="V34" s="2"/>
      <c r="W34" s="2"/>
      <c r="X34" s="2"/>
      <c r="Y34" s="2"/>
      <c r="Z34" s="2"/>
      <c r="AA34" s="2"/>
      <c r="AB34" s="2"/>
    </row>
    <row r="35">
      <c r="A35" s="60">
        <v>1.0</v>
      </c>
      <c r="B35" s="61" t="s">
        <v>35</v>
      </c>
      <c r="C35" s="61" t="str">
        <f t="shared" ref="C35:C39" si="18">C14</f>
        <v>Kurt Geddes</v>
      </c>
      <c r="D35" s="63"/>
      <c r="E35" s="63"/>
      <c r="F35" s="61"/>
      <c r="G35" s="63"/>
      <c r="H35" s="63"/>
      <c r="I35" s="65" t="s">
        <v>21</v>
      </c>
      <c r="J35" s="72">
        <f t="shared" ref="J35:J39" si="19">COUNTIFS($C$14:$C$39,C35,$I$14:$I$39,"WIN")</f>
        <v>1</v>
      </c>
      <c r="K35" s="60">
        <v>5.0</v>
      </c>
      <c r="L35" s="61"/>
      <c r="M35" s="24" t="str">
        <f>M18</f>
        <v>Michael Gonzalez</v>
      </c>
      <c r="N35" s="62"/>
      <c r="O35" s="63"/>
      <c r="P35" s="61"/>
      <c r="Q35" s="63"/>
      <c r="R35" s="63"/>
      <c r="S35" s="61" t="str">
        <f t="shared" ref="S35:S39" si="20">IF(I35="WIN","LOSS",IF(I35="LOSS","WIN",""))</f>
        <v>WIN</v>
      </c>
      <c r="T35" s="72">
        <f t="shared" ref="T35:T39" si="21">COUNTIFS($M$14:$M$39,M35,$S$14:$S$39,"WIN")</f>
        <v>1</v>
      </c>
      <c r="U35" s="2"/>
      <c r="V35" s="2"/>
      <c r="W35" s="2"/>
      <c r="X35" s="2"/>
      <c r="Y35" s="2"/>
      <c r="Z35" s="2"/>
      <c r="AA35" s="2"/>
      <c r="AB35" s="2"/>
    </row>
    <row r="36">
      <c r="A36" s="50">
        <v>2.0</v>
      </c>
      <c r="B36" s="2"/>
      <c r="C36" s="2" t="str">
        <f t="shared" si="18"/>
        <v>Larry Griffin</v>
      </c>
      <c r="D36" s="52"/>
      <c r="E36" s="53"/>
      <c r="F36" s="2"/>
      <c r="G36" s="53"/>
      <c r="H36" s="53"/>
      <c r="I36" s="27" t="s">
        <v>21</v>
      </c>
      <c r="J36" s="55">
        <f t="shared" si="19"/>
        <v>1</v>
      </c>
      <c r="K36" s="67">
        <v>1.0</v>
      </c>
      <c r="L36" s="2" t="s">
        <v>35</v>
      </c>
      <c r="M36" s="24" t="str">
        <f t="shared" ref="M36:M39" si="22">M14</f>
        <v>Litos Davila</v>
      </c>
      <c r="N36" s="52"/>
      <c r="O36" s="53"/>
      <c r="P36" s="2"/>
      <c r="Q36" s="53"/>
      <c r="R36" s="53"/>
      <c r="S36" s="2" t="str">
        <f t="shared" si="20"/>
        <v>WIN</v>
      </c>
      <c r="T36" s="55">
        <f t="shared" si="21"/>
        <v>5</v>
      </c>
      <c r="U36" s="2"/>
      <c r="V36" s="2"/>
      <c r="W36" s="2"/>
      <c r="X36" s="2"/>
      <c r="Y36" s="2"/>
      <c r="Z36" s="2"/>
      <c r="AA36" s="2"/>
      <c r="AB36" s="2"/>
    </row>
    <row r="37">
      <c r="A37" s="50">
        <v>3.0</v>
      </c>
      <c r="B37" s="2" t="s">
        <v>35</v>
      </c>
      <c r="C37" s="2" t="str">
        <f t="shared" si="18"/>
        <v>Ron Moffett</v>
      </c>
      <c r="D37" s="53"/>
      <c r="E37" s="53"/>
      <c r="F37" s="2"/>
      <c r="G37" s="53"/>
      <c r="H37" s="53"/>
      <c r="I37" s="27" t="s">
        <v>21</v>
      </c>
      <c r="J37" s="55">
        <f t="shared" si="19"/>
        <v>1</v>
      </c>
      <c r="K37" s="67">
        <v>2.0</v>
      </c>
      <c r="L37" s="2"/>
      <c r="M37" s="24" t="str">
        <f t="shared" si="22"/>
        <v>Mark Karppe</v>
      </c>
      <c r="N37" s="52"/>
      <c r="O37" s="53"/>
      <c r="P37" s="2"/>
      <c r="Q37" s="53"/>
      <c r="R37" s="53"/>
      <c r="S37" s="2" t="str">
        <f t="shared" si="20"/>
        <v>WIN</v>
      </c>
      <c r="T37" s="55">
        <f t="shared" si="21"/>
        <v>5</v>
      </c>
      <c r="U37" s="2"/>
      <c r="V37" s="2"/>
      <c r="W37" s="2"/>
      <c r="X37" s="2"/>
      <c r="Y37" s="2"/>
      <c r="Z37" s="2"/>
      <c r="AA37" s="2"/>
      <c r="AB37" s="2"/>
    </row>
    <row r="38">
      <c r="A38" s="50">
        <v>4.0</v>
      </c>
      <c r="B38" s="2"/>
      <c r="C38" s="2" t="str">
        <f t="shared" si="18"/>
        <v>Bill Steen</v>
      </c>
      <c r="D38" s="52"/>
      <c r="E38" s="53"/>
      <c r="F38" s="2"/>
      <c r="G38" s="53"/>
      <c r="H38" s="52"/>
      <c r="I38" s="27" t="s">
        <v>20</v>
      </c>
      <c r="J38" s="55">
        <f t="shared" si="19"/>
        <v>3</v>
      </c>
      <c r="K38" s="67">
        <v>3.0</v>
      </c>
      <c r="L38" s="2" t="s">
        <v>35</v>
      </c>
      <c r="M38" s="24" t="str">
        <f t="shared" si="22"/>
        <v>Carlos Davila</v>
      </c>
      <c r="N38" s="53"/>
      <c r="O38" s="53"/>
      <c r="P38" s="2"/>
      <c r="Q38" s="53"/>
      <c r="R38" s="53"/>
      <c r="S38" s="2" t="str">
        <f t="shared" si="20"/>
        <v>LOSS</v>
      </c>
      <c r="T38" s="55">
        <f t="shared" si="21"/>
        <v>4</v>
      </c>
      <c r="U38" s="2"/>
      <c r="V38" s="2"/>
      <c r="W38" s="2"/>
      <c r="X38" s="2"/>
      <c r="Y38" s="2"/>
      <c r="Z38" s="2"/>
      <c r="AA38" s="2"/>
      <c r="AB38" s="2"/>
    </row>
    <row r="39">
      <c r="A39" s="50">
        <v>5.0</v>
      </c>
      <c r="B39" s="2" t="s">
        <v>35</v>
      </c>
      <c r="C39" s="2" t="str">
        <f t="shared" si="18"/>
        <v>Larry Walls</v>
      </c>
      <c r="D39" s="52"/>
      <c r="E39" s="53"/>
      <c r="F39" s="2"/>
      <c r="G39" s="53"/>
      <c r="H39" s="52"/>
      <c r="I39" s="27" t="s">
        <v>20</v>
      </c>
      <c r="J39" s="55">
        <f t="shared" si="19"/>
        <v>2</v>
      </c>
      <c r="K39" s="67">
        <v>4.0</v>
      </c>
      <c r="L39" s="2"/>
      <c r="M39" s="73" t="str">
        <f t="shared" si="22"/>
        <v>JL Smith</v>
      </c>
      <c r="N39" s="53"/>
      <c r="O39" s="53"/>
      <c r="P39" s="2"/>
      <c r="Q39" s="52"/>
      <c r="R39" s="52"/>
      <c r="S39" s="2" t="str">
        <f t="shared" si="20"/>
        <v>LOSS</v>
      </c>
      <c r="T39" s="55">
        <f t="shared" si="21"/>
        <v>2</v>
      </c>
      <c r="U39" s="2"/>
      <c r="V39" s="2"/>
      <c r="W39" s="2"/>
      <c r="X39" s="2"/>
      <c r="Y39" s="2"/>
      <c r="Z39" s="2"/>
      <c r="AA39" s="2"/>
      <c r="AB39" s="2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2"/>
      <c r="V40" s="2"/>
      <c r="W40" s="2"/>
      <c r="X40" s="2"/>
      <c r="Y40" s="2"/>
      <c r="Z40" s="2"/>
      <c r="AA40" s="2"/>
      <c r="AB40" s="2"/>
    </row>
    <row r="41">
      <c r="A41" s="33"/>
      <c r="B41" s="2"/>
      <c r="C41" s="2"/>
      <c r="D41" s="2"/>
      <c r="E41" s="2"/>
      <c r="F41" s="2"/>
      <c r="G41" s="2"/>
      <c r="H41" s="2" t="s">
        <v>46</v>
      </c>
      <c r="I41" s="2"/>
      <c r="J41" s="74">
        <f>IF(F19&gt;P19,F19,P19)</f>
        <v>276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3"/>
      <c r="B42" s="2"/>
      <c r="C42" s="2"/>
      <c r="D42" s="2"/>
      <c r="E42" s="2"/>
      <c r="F42" s="2"/>
      <c r="G42" s="2"/>
      <c r="H42" s="2" t="s">
        <v>47</v>
      </c>
      <c r="I42" s="2"/>
      <c r="J42" s="74">
        <f>IF(F19&lt;P19,F19,P19)</f>
        <v>260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3"/>
      <c r="B43" s="2"/>
      <c r="C43" s="2"/>
      <c r="D43" s="2"/>
      <c r="E43" s="2"/>
      <c r="F43" s="2"/>
      <c r="G43" s="2"/>
      <c r="H43" s="2" t="s">
        <v>48</v>
      </c>
      <c r="I43" s="2"/>
      <c r="J43" s="74">
        <f>J41-J42</f>
        <v>16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 t="s">
        <v>49</v>
      </c>
      <c r="D44" s="2"/>
      <c r="E44" s="2"/>
      <c r="F44" s="2"/>
      <c r="G44" s="2"/>
      <c r="H44" s="2"/>
      <c r="I44" s="2"/>
      <c r="J44" s="74">
        <f>COUNTIF(J35:J39,5)</f>
        <v>0</v>
      </c>
      <c r="K44" s="2"/>
      <c r="L44" s="2"/>
      <c r="M44" s="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 t="s">
        <v>50</v>
      </c>
      <c r="D45" s="2"/>
      <c r="E45" s="2"/>
      <c r="F45" s="2"/>
      <c r="G45" s="2"/>
      <c r="H45" s="2"/>
      <c r="I45" s="2"/>
      <c r="J45" s="74">
        <f>COUNTIF($G$14:$G$39, TRUE)</f>
        <v>0</v>
      </c>
      <c r="K45" s="2"/>
      <c r="L45" s="2"/>
      <c r="M45" s="2" t="s">
        <v>50</v>
      </c>
      <c r="N45" s="2"/>
      <c r="O45" s="2"/>
      <c r="P45" s="2"/>
      <c r="Q45" s="2"/>
      <c r="R45" s="2"/>
      <c r="S45" s="2"/>
      <c r="T45" s="74">
        <f>COUNTIF(Q14:Q39, TRUE)</f>
        <v>1</v>
      </c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 t="s">
        <v>51</v>
      </c>
      <c r="D46" s="2"/>
      <c r="E46" s="2"/>
      <c r="F46" s="2"/>
      <c r="G46" s="2"/>
      <c r="H46" s="2"/>
      <c r="I46" s="2"/>
      <c r="J46" s="74">
        <f>COUNTIF(H14:H39, TRUE)</f>
        <v>0</v>
      </c>
      <c r="K46" s="2"/>
      <c r="L46" s="2"/>
      <c r="M46" s="2" t="s">
        <v>51</v>
      </c>
      <c r="N46" s="2"/>
      <c r="O46" s="2"/>
      <c r="P46" s="2"/>
      <c r="Q46" s="2"/>
      <c r="R46" s="2"/>
      <c r="S46" s="2"/>
      <c r="T46" s="74">
        <f>COUNTIF(R14:R39, TRUE)</f>
        <v>0</v>
      </c>
      <c r="U46" s="2"/>
      <c r="V46" s="2"/>
      <c r="W46" s="2"/>
      <c r="X46" s="2"/>
      <c r="Y46" s="2"/>
      <c r="Z46" s="2"/>
      <c r="AA46" s="2"/>
      <c r="AB46" s="2"/>
    </row>
    <row r="47">
      <c r="A47" s="2"/>
      <c r="B47" s="74">
        <f>IF(F19&gt;P19,2,3)</f>
        <v>3</v>
      </c>
      <c r="C47" s="2" t="s">
        <v>52</v>
      </c>
      <c r="D47" s="2"/>
      <c r="E47" s="2"/>
      <c r="F47" s="2"/>
      <c r="G47" s="2"/>
      <c r="H47" s="2"/>
      <c r="I47" s="2"/>
      <c r="J47" s="74">
        <f>VLOOKUP(J43,CHARTS!$A$1:$C$7,B47,TRUE)</f>
        <v>12</v>
      </c>
      <c r="K47" s="2"/>
      <c r="L47" s="74">
        <f>IF(P19&gt;F19,2,3)</f>
        <v>2</v>
      </c>
      <c r="M47" s="2" t="s">
        <v>52</v>
      </c>
      <c r="N47" s="2"/>
      <c r="O47" s="2"/>
      <c r="P47" s="2"/>
      <c r="Q47" s="2"/>
      <c r="R47" s="2"/>
      <c r="S47" s="2"/>
      <c r="T47" s="74">
        <f>VLOOKUP(J43,CHARTS!$A$1:$C$7,L47,TRUE)</f>
        <v>14</v>
      </c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 t="s">
        <v>53</v>
      </c>
      <c r="D48" s="2"/>
      <c r="E48" s="2"/>
      <c r="F48" s="2"/>
      <c r="G48" s="2"/>
      <c r="H48" s="2"/>
      <c r="I48" s="2"/>
      <c r="J48" s="74">
        <f>ROUND(J47*0.7,0)</f>
        <v>8</v>
      </c>
      <c r="K48" s="2"/>
      <c r="L48" s="2"/>
      <c r="M48" s="2" t="s">
        <v>53</v>
      </c>
      <c r="N48" s="2"/>
      <c r="O48" s="2"/>
      <c r="P48" s="2"/>
      <c r="Q48" s="2"/>
      <c r="R48" s="2"/>
      <c r="S48" s="2"/>
      <c r="T48" s="74">
        <f>ROUND(T47*0.7,0)</f>
        <v>10</v>
      </c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 t="s">
        <v>54</v>
      </c>
      <c r="D49" s="2"/>
      <c r="E49" s="2"/>
      <c r="F49" s="2"/>
      <c r="G49" s="2"/>
      <c r="H49" s="2"/>
      <c r="I49" s="2"/>
      <c r="J49" s="74">
        <f>COUNTIF($I$14:$I$39,"WIN")</f>
        <v>8</v>
      </c>
      <c r="K49" s="2"/>
      <c r="L49" s="2"/>
      <c r="M49" s="2" t="s">
        <v>54</v>
      </c>
      <c r="N49" s="2"/>
      <c r="O49" s="2"/>
      <c r="P49" s="2"/>
      <c r="Q49" s="2"/>
      <c r="R49" s="2"/>
      <c r="S49" s="2"/>
      <c r="T49" s="74">
        <f>COUNTIF($S$14:$S$39,"WIN")</f>
        <v>17</v>
      </c>
      <c r="U49" s="2"/>
      <c r="V49" s="2"/>
      <c r="W49" s="2"/>
      <c r="X49" s="2"/>
      <c r="Y49" s="2"/>
      <c r="Z49" s="2"/>
      <c r="AA49" s="2"/>
      <c r="AB49" s="2"/>
    </row>
    <row r="50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3"/>
      <c r="B55" s="2"/>
      <c r="C55" s="2" t="str">
        <f t="array" ref="C55:D64">INDIRECT("TEAM" &amp; B4)
</f>
        <v>Team 2</v>
      </c>
      <c r="D55" s="2"/>
      <c r="E55" s="2"/>
      <c r="F55" s="2"/>
      <c r="G55" s="2"/>
      <c r="H55" s="2"/>
      <c r="I55" s="2"/>
      <c r="J55" s="2"/>
      <c r="K55" s="2"/>
      <c r="L55" s="2"/>
      <c r="M55" s="2" t="str">
        <f t="array" ref="M55:N64">INDIRECT("TEAM" &amp; L4)
</f>
        <v>Team 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3"/>
      <c r="B56" s="2"/>
      <c r="C56" s="2" t="s">
        <v>55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56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3"/>
      <c r="B57" s="2"/>
      <c r="C57" s="2" t="s">
        <v>44</v>
      </c>
      <c r="D57" s="75">
        <v>66.0</v>
      </c>
      <c r="E57" s="2"/>
      <c r="F57" s="2"/>
      <c r="G57" s="2"/>
      <c r="H57" s="2"/>
      <c r="I57" s="2"/>
      <c r="J57" s="2"/>
      <c r="K57" s="2"/>
      <c r="L57" s="2"/>
      <c r="M57" s="2" t="s">
        <v>37</v>
      </c>
      <c r="N57" s="75">
        <v>90.0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3"/>
      <c r="B58" s="2"/>
      <c r="C58" s="2" t="s">
        <v>36</v>
      </c>
      <c r="D58" s="75">
        <v>69.0</v>
      </c>
      <c r="E58" s="2"/>
      <c r="F58" s="2"/>
      <c r="G58" s="2"/>
      <c r="H58" s="2"/>
      <c r="I58" s="2"/>
      <c r="J58" s="2"/>
      <c r="K58" s="2"/>
      <c r="L58" s="2"/>
      <c r="M58" s="2" t="s">
        <v>41</v>
      </c>
      <c r="N58" s="75">
        <v>54.0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3"/>
      <c r="B59" s="2"/>
      <c r="C59" s="2" t="s">
        <v>40</v>
      </c>
      <c r="D59" s="75">
        <v>52.0</v>
      </c>
      <c r="E59" s="2"/>
      <c r="F59" s="2"/>
      <c r="G59" s="2"/>
      <c r="H59" s="2"/>
      <c r="I59" s="2"/>
      <c r="J59" s="2"/>
      <c r="K59" s="2"/>
      <c r="L59" s="2"/>
      <c r="M59" s="2" t="s">
        <v>57</v>
      </c>
      <c r="N59" s="75">
        <v>20.0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3"/>
      <c r="B60" s="2"/>
      <c r="C60" s="2" t="s">
        <v>58</v>
      </c>
      <c r="D60" s="75">
        <v>67.0</v>
      </c>
      <c r="E60" s="2"/>
      <c r="F60" s="2"/>
      <c r="G60" s="2"/>
      <c r="H60" s="2"/>
      <c r="I60" s="2"/>
      <c r="J60" s="2"/>
      <c r="K60" s="2"/>
      <c r="L60" s="2"/>
      <c r="M60" s="2" t="s">
        <v>39</v>
      </c>
      <c r="N60" s="75">
        <v>48.0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3"/>
      <c r="B61" s="2"/>
      <c r="C61" s="2" t="s">
        <v>42</v>
      </c>
      <c r="D61" s="75">
        <v>37.0</v>
      </c>
      <c r="E61" s="2"/>
      <c r="F61" s="2"/>
      <c r="G61" s="2"/>
      <c r="H61" s="2"/>
      <c r="I61" s="2"/>
      <c r="J61" s="2"/>
      <c r="K61" s="2"/>
      <c r="L61" s="2"/>
      <c r="M61" s="2" t="s">
        <v>45</v>
      </c>
      <c r="N61" s="75">
        <v>39.0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3"/>
      <c r="B62" s="2"/>
      <c r="C62" s="2" t="s">
        <v>59</v>
      </c>
      <c r="D62" s="75">
        <v>52.0</v>
      </c>
      <c r="E62" s="2"/>
      <c r="F62" s="2"/>
      <c r="G62" s="2"/>
      <c r="H62" s="2"/>
      <c r="I62" s="2"/>
      <c r="J62" s="2"/>
      <c r="K62" s="2"/>
      <c r="L62" s="2"/>
      <c r="M62" s="2" t="s">
        <v>43</v>
      </c>
      <c r="N62" s="75">
        <v>45.0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3"/>
      <c r="B63" s="2"/>
      <c r="C63" s="2" t="s">
        <v>38</v>
      </c>
      <c r="D63" s="75">
        <v>36.0</v>
      </c>
      <c r="E63" s="2"/>
      <c r="F63" s="2"/>
      <c r="G63" s="2"/>
      <c r="H63" s="2"/>
      <c r="I63" s="2"/>
      <c r="J63" s="2"/>
      <c r="K63" s="2"/>
      <c r="L63" s="2"/>
      <c r="M63" s="2" t="s">
        <v>60</v>
      </c>
      <c r="N63" s="74">
        <v>40.0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3"/>
      <c r="B64" s="2"/>
      <c r="C64" s="2"/>
      <c r="D64" s="76">
        <v>0.0</v>
      </c>
      <c r="E64" s="2"/>
      <c r="F64" s="2"/>
      <c r="G64" s="2"/>
      <c r="H64" s="2"/>
      <c r="I64" s="2"/>
      <c r="J64" s="2"/>
      <c r="K64" s="2"/>
      <c r="L64" s="2"/>
      <c r="M64" s="2"/>
      <c r="N64" s="76">
        <v>0.0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7"/>
      <c r="B116" s="20"/>
      <c r="C116" s="20"/>
      <c r="D116" s="20"/>
      <c r="E116" s="20"/>
      <c r="F116" s="20"/>
      <c r="G116" s="20"/>
      <c r="H116" s="20"/>
      <c r="I116" s="20"/>
      <c r="J116" s="2"/>
      <c r="K116" s="2"/>
      <c r="L116" s="20"/>
      <c r="M116" s="2"/>
      <c r="N116" s="20"/>
      <c r="O116" s="20"/>
      <c r="P116" s="20"/>
      <c r="Q116" s="20"/>
      <c r="R116" s="20"/>
      <c r="S116" s="20"/>
      <c r="T116" s="20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C4:H4"/>
    <mergeCell ref="M4:S4"/>
  </mergeCells>
  <conditionalFormatting sqref="G14:I39">
    <cfRule type="expression" dxfId="0" priority="1">
      <formula>IF(AND($I14 &lt;&gt; "WIN", OR($G14=TRUE,$H14=TRUE)),TRUE,FALSE)</formula>
    </cfRule>
  </conditionalFormatting>
  <conditionalFormatting sqref="Q14:S39">
    <cfRule type="expression" dxfId="0" priority="2">
      <formula>IF(AND($S14 &lt;&gt; "WIN", OR($Q14=TRUE,$R14=TRUE)),TRUE,FALSE)</formula>
    </cfRule>
  </conditionalFormatting>
  <conditionalFormatting sqref="C14:C18 M14:M18">
    <cfRule type="containsBlanks" dxfId="0" priority="3">
      <formula>LEN(TRIM(C14))=0</formula>
    </cfRule>
  </conditionalFormatting>
  <conditionalFormatting sqref="M14:M18">
    <cfRule type="containsBlanks" dxfId="0" priority="4">
      <formula>LEN(TRIM(M14))=0</formula>
    </cfRule>
  </conditionalFormatting>
  <conditionalFormatting sqref="C14:C18 M14:M18">
    <cfRule type="expression" dxfId="1" priority="5">
      <formula>COUNTIF($C$14:$M$18, C14) &gt; 1</formula>
    </cfRule>
  </conditionalFormatting>
  <conditionalFormatting sqref="C14:C18 M14:M18">
    <cfRule type="notContainsBlanks" dxfId="2" priority="6">
      <formula>LEN(TRIM(C14))&gt;0</formula>
    </cfRule>
  </conditionalFormatting>
  <conditionalFormatting sqref="M14:M18">
    <cfRule type="notContainsBlanks" dxfId="2" priority="7">
      <formula>LEN(TRIM(M14))&gt;0</formula>
    </cfRule>
  </conditionalFormatting>
  <conditionalFormatting sqref="A19:T39">
    <cfRule type="expression" dxfId="3" priority="8">
      <formula>NOT(ISBLANK($I19))</formula>
    </cfRule>
  </conditionalFormatting>
  <dataValidations>
    <dataValidation type="list" allowBlank="1" showErrorMessage="1" sqref="C14:C18">
      <formula1>'MATCH 1'!$C$57:$C$64</formula1>
    </dataValidation>
    <dataValidation type="list" allowBlank="1" showErrorMessage="1" sqref="I14:I33 I35:I39">
      <formula1>"WIN,LOSS"</formula1>
    </dataValidation>
    <dataValidation type="list" allowBlank="1" showErrorMessage="1" sqref="M14:M18">
      <formula1>'MATCH 1'!$M$57:$M$64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63"/>
    <col customWidth="1" min="3" max="3" width="22.63"/>
    <col customWidth="1" min="4" max="8" width="6.75"/>
    <col customWidth="1" min="9" max="9" width="8.0"/>
    <col customWidth="1" min="10" max="10" width="6.75"/>
    <col customWidth="1" min="11" max="11" width="5.75"/>
    <col customWidth="1" min="12" max="12" width="4.88"/>
    <col customWidth="1" min="13" max="13" width="22.63"/>
    <col customWidth="1" min="14" max="20" width="6.75"/>
  </cols>
  <sheetData>
    <row r="1">
      <c r="A1" s="1"/>
      <c r="B1" s="2"/>
      <c r="C1" s="78" t="s">
        <v>61</v>
      </c>
      <c r="D1" s="2"/>
      <c r="E1" s="2"/>
      <c r="F1" s="2"/>
      <c r="G1" s="2"/>
      <c r="H1" s="2"/>
      <c r="I1" s="2"/>
      <c r="J1" s="2"/>
      <c r="K1" s="2"/>
      <c r="L1" s="2"/>
      <c r="M1" s="28" t="s">
        <v>14</v>
      </c>
      <c r="N1" s="29">
        <f>DATA!F1</f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30" t="s">
        <v>15</v>
      </c>
      <c r="J2" s="18" t="str">
        <f>DATA!K6</f>
        <v>Crystal Bar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2">
        <f>DATA!F6</f>
        <v>3</v>
      </c>
      <c r="C4" s="31" t="str">
        <f>DATA!G6</f>
        <v>BYE</v>
      </c>
      <c r="I4" s="2"/>
      <c r="J4" s="32" t="s">
        <v>12</v>
      </c>
      <c r="K4" s="2"/>
      <c r="L4" s="22">
        <f>DATA!I6</f>
        <v>8</v>
      </c>
      <c r="M4" s="31" t="str">
        <f>DATA!J6</f>
        <v>Q-Tips</v>
      </c>
      <c r="T4" s="2"/>
      <c r="U4" s="2"/>
      <c r="V4" s="2"/>
      <c r="W4" s="2"/>
      <c r="X4" s="2"/>
      <c r="Y4" s="2"/>
      <c r="Z4" s="2"/>
      <c r="AA4" s="2"/>
      <c r="AB4" s="2"/>
    </row>
    <row r="5">
      <c r="A5" s="3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3"/>
      <c r="B6" s="2"/>
      <c r="C6" s="16" t="s">
        <v>16</v>
      </c>
      <c r="D6" s="2"/>
      <c r="E6" s="2"/>
      <c r="F6" s="2"/>
      <c r="G6" s="2"/>
      <c r="H6" s="2"/>
      <c r="I6" s="2"/>
      <c r="J6" s="2"/>
      <c r="K6" s="2"/>
      <c r="L6" s="2"/>
      <c r="M6" s="16" t="s">
        <v>17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34" t="s">
        <v>9</v>
      </c>
      <c r="B7" s="35" t="s">
        <v>18</v>
      </c>
      <c r="C7" s="36" t="s">
        <v>19</v>
      </c>
      <c r="D7" s="36"/>
      <c r="E7" s="36"/>
      <c r="F7" s="36"/>
      <c r="G7" s="37" t="s">
        <v>20</v>
      </c>
      <c r="H7" s="36"/>
      <c r="I7" s="38">
        <f>COUNTIF(I14:I39,G7)</f>
        <v>0</v>
      </c>
      <c r="J7" s="39"/>
      <c r="K7" s="34" t="s">
        <v>9</v>
      </c>
      <c r="L7" s="35" t="s">
        <v>18</v>
      </c>
      <c r="M7" s="36" t="s">
        <v>19</v>
      </c>
      <c r="N7" s="36"/>
      <c r="O7" s="36"/>
      <c r="P7" s="36"/>
      <c r="Q7" s="37" t="s">
        <v>20</v>
      </c>
      <c r="R7" s="37"/>
      <c r="S7" s="38">
        <f>COUNTIF(S14:S39,Q7)</f>
        <v>0</v>
      </c>
      <c r="T7" s="39"/>
      <c r="U7" s="2"/>
      <c r="V7" s="2"/>
      <c r="W7" s="2"/>
      <c r="X7" s="2"/>
      <c r="Y7" s="2"/>
      <c r="Z7" s="2"/>
      <c r="AA7" s="2"/>
      <c r="AB7" s="2"/>
    </row>
    <row r="8" ht="21.75" customHeight="1">
      <c r="A8" s="40"/>
      <c r="B8" s="32">
        <f t="shared" ref="B8:C8" si="1">B4</f>
        <v>3</v>
      </c>
      <c r="C8" s="3" t="str">
        <f t="shared" si="1"/>
        <v>BYE</v>
      </c>
      <c r="D8" s="2"/>
      <c r="E8" s="2"/>
      <c r="F8" s="2"/>
      <c r="G8" s="16" t="s">
        <v>21</v>
      </c>
      <c r="H8" s="2"/>
      <c r="I8" s="17">
        <f>COUNTIF(I14:I39,G8)</f>
        <v>0</v>
      </c>
      <c r="J8" s="41"/>
      <c r="K8" s="40"/>
      <c r="L8" s="32">
        <f t="shared" ref="L8:M8" si="2">L4</f>
        <v>8</v>
      </c>
      <c r="M8" s="3" t="str">
        <f t="shared" si="2"/>
        <v>Q-Tips</v>
      </c>
      <c r="N8" s="2"/>
      <c r="O8" s="2"/>
      <c r="P8" s="2"/>
      <c r="Q8" s="16" t="s">
        <v>21</v>
      </c>
      <c r="R8" s="16"/>
      <c r="S8" s="17">
        <f>COUNTIF(S14:S39,Q8)</f>
        <v>0</v>
      </c>
      <c r="T8" s="41"/>
      <c r="U8" s="2"/>
      <c r="V8" s="2"/>
      <c r="W8" s="2"/>
      <c r="X8" s="2"/>
      <c r="Y8" s="2"/>
      <c r="Z8" s="2"/>
      <c r="AA8" s="2"/>
      <c r="AB8" s="2"/>
    </row>
    <row r="9" ht="21.75" customHeight="1">
      <c r="A9" s="40"/>
      <c r="B9" s="2"/>
      <c r="C9" s="2"/>
      <c r="D9" s="2"/>
      <c r="E9" s="2"/>
      <c r="F9" s="2"/>
      <c r="G9" s="42" t="s">
        <v>22</v>
      </c>
      <c r="H9" s="2"/>
      <c r="I9" s="16">
        <f>if(I7&gt;=D10,3+((I7-D10)*0.1),if(I7&gt;=D11,1.5+((I7-D11)*0.1),I7*0.1))</f>
        <v>0</v>
      </c>
      <c r="J9" s="41"/>
      <c r="K9" s="40"/>
      <c r="L9" s="2"/>
      <c r="M9" s="2"/>
      <c r="N9" s="2"/>
      <c r="O9" s="2"/>
      <c r="P9" s="2"/>
      <c r="Q9" s="42" t="s">
        <v>22</v>
      </c>
      <c r="R9" s="16"/>
      <c r="S9" s="16">
        <f>if(S7&gt;=N10,3+((S7-N10)*0.1),if(S7&gt;=N11,1.5+((S7-N11)*0.1),S7*0.1))</f>
        <v>0</v>
      </c>
      <c r="T9" s="41"/>
      <c r="U9" s="2"/>
      <c r="V9" s="2"/>
      <c r="W9" s="2"/>
      <c r="X9" s="2"/>
      <c r="Y9" s="2"/>
      <c r="Z9" s="2"/>
      <c r="AA9" s="2"/>
      <c r="AB9" s="2"/>
    </row>
    <row r="10">
      <c r="A10" s="40"/>
      <c r="B10" s="2"/>
      <c r="C10" s="43" t="s">
        <v>23</v>
      </c>
      <c r="D10" s="44">
        <f t="shared" ref="D10:D11" si="3">J47</f>
        <v>13</v>
      </c>
      <c r="E10" s="44" t="s">
        <v>24</v>
      </c>
      <c r="F10" s="44">
        <f>D10-I7</f>
        <v>13</v>
      </c>
      <c r="G10" s="2"/>
      <c r="H10" s="2"/>
      <c r="I10" s="2"/>
      <c r="J10" s="41"/>
      <c r="K10" s="40"/>
      <c r="L10" s="2"/>
      <c r="M10" s="43" t="s">
        <v>23</v>
      </c>
      <c r="N10" s="44">
        <f t="shared" ref="N10:N11" si="4">T47</f>
        <v>13</v>
      </c>
      <c r="O10" s="44" t="s">
        <v>24</v>
      </c>
      <c r="P10" s="44">
        <f>N10-S7</f>
        <v>13</v>
      </c>
      <c r="Q10" s="2"/>
      <c r="R10" s="2"/>
      <c r="S10" s="2"/>
      <c r="T10" s="41"/>
      <c r="U10" s="2"/>
      <c r="V10" s="2"/>
      <c r="W10" s="2"/>
      <c r="X10" s="2"/>
      <c r="Y10" s="2"/>
      <c r="Z10" s="2"/>
      <c r="AA10" s="2"/>
      <c r="AB10" s="2"/>
    </row>
    <row r="11">
      <c r="A11" s="40"/>
      <c r="B11" s="2"/>
      <c r="C11" s="43" t="s">
        <v>25</v>
      </c>
      <c r="D11" s="79">
        <f t="shared" si="3"/>
        <v>9</v>
      </c>
      <c r="E11" s="44" t="s">
        <v>24</v>
      </c>
      <c r="F11" s="44">
        <f>D11-I7</f>
        <v>9</v>
      </c>
      <c r="G11" s="2"/>
      <c r="H11" s="2"/>
      <c r="I11" s="2"/>
      <c r="J11" s="41"/>
      <c r="K11" s="40"/>
      <c r="L11" s="2"/>
      <c r="M11" s="43" t="s">
        <v>25</v>
      </c>
      <c r="N11" s="79">
        <f t="shared" si="4"/>
        <v>9</v>
      </c>
      <c r="O11" s="44" t="s">
        <v>24</v>
      </c>
      <c r="P11" s="44">
        <f>N11-S7</f>
        <v>9</v>
      </c>
      <c r="Q11" s="2"/>
      <c r="R11" s="2"/>
      <c r="S11" s="2"/>
      <c r="T11" s="41"/>
      <c r="U11" s="2"/>
      <c r="V11" s="2"/>
      <c r="W11" s="2"/>
      <c r="X11" s="2"/>
      <c r="Y11" s="2"/>
      <c r="Z11" s="2"/>
      <c r="AA11" s="2"/>
      <c r="AB11" s="2"/>
    </row>
    <row r="12">
      <c r="A12" s="40"/>
      <c r="B12" s="2"/>
      <c r="C12" s="2"/>
      <c r="D12" s="2"/>
      <c r="E12" s="2"/>
      <c r="F12" s="2"/>
      <c r="G12" s="2"/>
      <c r="H12" s="2"/>
      <c r="I12" s="2"/>
      <c r="J12" s="41"/>
      <c r="K12" s="40"/>
      <c r="L12" s="2"/>
      <c r="M12" s="2"/>
      <c r="N12" s="2"/>
      <c r="O12" s="2"/>
      <c r="P12" s="2"/>
      <c r="Q12" s="2"/>
      <c r="R12" s="2"/>
      <c r="S12" s="2"/>
      <c r="T12" s="41"/>
      <c r="U12" s="2"/>
      <c r="V12" s="2"/>
      <c r="W12" s="2"/>
      <c r="X12" s="2"/>
      <c r="Y12" s="2"/>
      <c r="Z12" s="2"/>
      <c r="AA12" s="2"/>
      <c r="AB12" s="2"/>
    </row>
    <row r="13">
      <c r="A13" s="45"/>
      <c r="B13" s="46" t="s">
        <v>26</v>
      </c>
      <c r="C13" s="2" t="s">
        <v>27</v>
      </c>
      <c r="D13" s="47" t="s">
        <v>28</v>
      </c>
      <c r="E13" s="47" t="s">
        <v>29</v>
      </c>
      <c r="F13" s="48" t="s">
        <v>30</v>
      </c>
      <c r="G13" s="48" t="s">
        <v>31</v>
      </c>
      <c r="H13" s="48" t="s">
        <v>32</v>
      </c>
      <c r="I13" s="48" t="s">
        <v>33</v>
      </c>
      <c r="J13" s="49" t="s">
        <v>34</v>
      </c>
      <c r="K13" s="45"/>
      <c r="L13" s="46" t="s">
        <v>26</v>
      </c>
      <c r="M13" s="2" t="s">
        <v>27</v>
      </c>
      <c r="N13" s="47" t="s">
        <v>28</v>
      </c>
      <c r="O13" s="47" t="s">
        <v>29</v>
      </c>
      <c r="P13" s="48" t="s">
        <v>30</v>
      </c>
      <c r="Q13" s="48" t="s">
        <v>31</v>
      </c>
      <c r="R13" s="48" t="s">
        <v>32</v>
      </c>
      <c r="S13" s="48" t="s">
        <v>33</v>
      </c>
      <c r="T13" s="49" t="s">
        <v>34</v>
      </c>
      <c r="U13" s="2"/>
      <c r="V13" s="2"/>
      <c r="W13" s="2"/>
      <c r="X13" s="2"/>
      <c r="Y13" s="2"/>
      <c r="Z13" s="2"/>
      <c r="AA13" s="2"/>
      <c r="AB13" s="2"/>
    </row>
    <row r="14">
      <c r="A14" s="50">
        <v>1.0</v>
      </c>
      <c r="B14" s="2" t="s">
        <v>35</v>
      </c>
      <c r="C14" s="56"/>
      <c r="D14" s="53"/>
      <c r="E14" s="53"/>
      <c r="F14" s="54">
        <f t="shared" ref="F14:F18" si="5">IFERROR(VLOOKUP(C14,$C$57:$D$64,2,0), 0)</f>
        <v>0</v>
      </c>
      <c r="G14" s="52"/>
      <c r="H14" s="52"/>
      <c r="I14" s="27"/>
      <c r="J14" s="55">
        <f>COUNTIF(I14,"WIN")</f>
        <v>0</v>
      </c>
      <c r="K14" s="50">
        <v>1.0</v>
      </c>
      <c r="L14" s="2"/>
      <c r="M14" s="56"/>
      <c r="N14" s="52"/>
      <c r="O14" s="53"/>
      <c r="P14" s="54">
        <f t="shared" ref="P14:P18" si="6">IFERROR(VLOOKUP(M14,$M$57:$N$64,2,0), 0)</f>
        <v>0</v>
      </c>
      <c r="Q14" s="52"/>
      <c r="R14" s="52"/>
      <c r="S14" s="2" t="str">
        <f t="shared" ref="S14:S33" si="7">IF(I14="WIN","LOSS",IF(I14="LOSS","WIN",""))</f>
        <v/>
      </c>
      <c r="T14" s="55">
        <f>COUNTIF(S14,"WIN")</f>
        <v>0</v>
      </c>
      <c r="U14" s="2"/>
      <c r="V14" s="2"/>
      <c r="W14" s="2"/>
      <c r="X14" s="2"/>
      <c r="Y14" s="2"/>
      <c r="Z14" s="2"/>
      <c r="AA14" s="2"/>
      <c r="AB14" s="2"/>
    </row>
    <row r="15">
      <c r="A15" s="50">
        <v>2.0</v>
      </c>
      <c r="B15" s="2" t="s">
        <v>35</v>
      </c>
      <c r="C15" s="57"/>
      <c r="D15" s="52"/>
      <c r="E15" s="53"/>
      <c r="F15" s="54">
        <f t="shared" si="5"/>
        <v>0</v>
      </c>
      <c r="G15" s="52"/>
      <c r="H15" s="52"/>
      <c r="I15" s="27"/>
      <c r="J15" s="41" t="str">
        <f t="shared" ref="J15:J33" si="8">IF(I15&lt;&gt;"", COUNTIF(I15,"WIN")+J14,"")</f>
        <v/>
      </c>
      <c r="K15" s="50">
        <v>2.0</v>
      </c>
      <c r="L15" s="2"/>
      <c r="M15" s="57"/>
      <c r="N15" s="52"/>
      <c r="O15" s="53"/>
      <c r="P15" s="54">
        <f t="shared" si="6"/>
        <v>0</v>
      </c>
      <c r="Q15" s="52"/>
      <c r="R15" s="53"/>
      <c r="S15" s="2" t="str">
        <f t="shared" si="7"/>
        <v/>
      </c>
      <c r="T15" s="41" t="str">
        <f t="shared" ref="T15:T33" si="9">IF(S15&lt;&gt;"", COUNTIF(S15,"WIN")+T14,"")</f>
        <v/>
      </c>
      <c r="U15" s="2"/>
      <c r="V15" s="2"/>
      <c r="W15" s="2"/>
      <c r="X15" s="2"/>
      <c r="Y15" s="2"/>
      <c r="Z15" s="2"/>
      <c r="AA15" s="2"/>
      <c r="AB15" s="2"/>
    </row>
    <row r="16">
      <c r="A16" s="50">
        <v>3.0</v>
      </c>
      <c r="B16" s="2" t="s">
        <v>35</v>
      </c>
      <c r="C16" s="57"/>
      <c r="D16" s="52"/>
      <c r="E16" s="53"/>
      <c r="F16" s="54">
        <f t="shared" si="5"/>
        <v>0</v>
      </c>
      <c r="G16" s="53"/>
      <c r="H16" s="52"/>
      <c r="I16" s="27"/>
      <c r="J16" s="41" t="str">
        <f t="shared" si="8"/>
        <v/>
      </c>
      <c r="K16" s="50">
        <v>3.0</v>
      </c>
      <c r="L16" s="2"/>
      <c r="M16" s="57"/>
      <c r="N16" s="52"/>
      <c r="O16" s="53"/>
      <c r="P16" s="54">
        <f t="shared" si="6"/>
        <v>0</v>
      </c>
      <c r="Q16" s="53"/>
      <c r="R16" s="53"/>
      <c r="S16" s="2" t="str">
        <f t="shared" si="7"/>
        <v/>
      </c>
      <c r="T16" s="41" t="str">
        <f t="shared" si="9"/>
        <v/>
      </c>
      <c r="U16" s="2"/>
      <c r="V16" s="2"/>
      <c r="W16" s="2"/>
      <c r="X16" s="2"/>
      <c r="Y16" s="2"/>
      <c r="Z16" s="2"/>
      <c r="AA16" s="2"/>
      <c r="AB16" s="2"/>
    </row>
    <row r="17">
      <c r="A17" s="50">
        <v>4.0</v>
      </c>
      <c r="B17" s="2" t="s">
        <v>35</v>
      </c>
      <c r="C17" s="57"/>
      <c r="D17" s="52"/>
      <c r="E17" s="53"/>
      <c r="F17" s="54">
        <f t="shared" si="5"/>
        <v>0</v>
      </c>
      <c r="G17" s="52"/>
      <c r="H17" s="53"/>
      <c r="I17" s="27"/>
      <c r="J17" s="41" t="str">
        <f t="shared" si="8"/>
        <v/>
      </c>
      <c r="K17" s="50">
        <v>4.0</v>
      </c>
      <c r="L17" s="2"/>
      <c r="M17" s="57"/>
      <c r="N17" s="52"/>
      <c r="O17" s="52"/>
      <c r="P17" s="54">
        <f t="shared" si="6"/>
        <v>0</v>
      </c>
      <c r="Q17" s="52"/>
      <c r="R17" s="53"/>
      <c r="S17" s="2" t="str">
        <f t="shared" si="7"/>
        <v/>
      </c>
      <c r="T17" s="41" t="str">
        <f t="shared" si="9"/>
        <v/>
      </c>
      <c r="U17" s="2"/>
      <c r="V17" s="2"/>
      <c r="W17" s="2"/>
      <c r="X17" s="2"/>
      <c r="Y17" s="2"/>
      <c r="Z17" s="2"/>
      <c r="AA17" s="2"/>
      <c r="AB17" s="2"/>
    </row>
    <row r="18">
      <c r="A18" s="50">
        <v>5.0</v>
      </c>
      <c r="B18" s="2" t="s">
        <v>35</v>
      </c>
      <c r="C18" s="58"/>
      <c r="D18" s="52"/>
      <c r="E18" s="53"/>
      <c r="F18" s="54">
        <f t="shared" si="5"/>
        <v>0</v>
      </c>
      <c r="G18" s="52"/>
      <c r="H18" s="53"/>
      <c r="I18" s="27"/>
      <c r="J18" s="59" t="str">
        <f t="shared" si="8"/>
        <v/>
      </c>
      <c r="K18" s="50">
        <v>5.0</v>
      </c>
      <c r="L18" s="2"/>
      <c r="M18" s="58"/>
      <c r="N18" s="52"/>
      <c r="O18" s="53"/>
      <c r="P18" s="54">
        <f t="shared" si="6"/>
        <v>0</v>
      </c>
      <c r="Q18" s="53"/>
      <c r="R18" s="53"/>
      <c r="S18" s="2" t="str">
        <f t="shared" si="7"/>
        <v/>
      </c>
      <c r="T18" s="59" t="str">
        <f t="shared" si="9"/>
        <v/>
      </c>
      <c r="U18" s="2"/>
      <c r="V18" s="2"/>
      <c r="W18" s="2"/>
      <c r="X18" s="2"/>
      <c r="Y18" s="2"/>
      <c r="Z18" s="2"/>
      <c r="AA18" s="2"/>
      <c r="AB18" s="2"/>
    </row>
    <row r="19">
      <c r="A19" s="60">
        <v>1.0</v>
      </c>
      <c r="B19" s="61"/>
      <c r="C19" s="2" t="str">
        <f t="shared" ref="C19:C23" si="10">C14</f>
        <v/>
      </c>
      <c r="D19" s="63"/>
      <c r="E19" s="63"/>
      <c r="F19" s="64">
        <f>SUM(F14:F18)</f>
        <v>0</v>
      </c>
      <c r="G19" s="63"/>
      <c r="H19" s="63"/>
      <c r="I19" s="65"/>
      <c r="J19" s="41" t="str">
        <f t="shared" si="8"/>
        <v/>
      </c>
      <c r="K19" s="60">
        <v>2.0</v>
      </c>
      <c r="L19" s="61" t="s">
        <v>35</v>
      </c>
      <c r="M19" s="66" t="str">
        <f t="shared" ref="M19:M22" si="11">M15</f>
        <v/>
      </c>
      <c r="N19" s="62"/>
      <c r="O19" s="63"/>
      <c r="P19" s="54">
        <f>sum(P14:P18)</f>
        <v>0</v>
      </c>
      <c r="Q19" s="63"/>
      <c r="R19" s="63"/>
      <c r="S19" s="61" t="str">
        <f t="shared" si="7"/>
        <v/>
      </c>
      <c r="T19" s="41" t="str">
        <f t="shared" si="9"/>
        <v/>
      </c>
      <c r="U19" s="2"/>
      <c r="V19" s="2"/>
      <c r="W19" s="2"/>
      <c r="X19" s="2"/>
      <c r="Y19" s="2"/>
      <c r="Z19" s="2"/>
      <c r="AA19" s="2"/>
      <c r="AB19" s="2"/>
    </row>
    <row r="20">
      <c r="A20" s="50">
        <v>2.0</v>
      </c>
      <c r="B20" s="2"/>
      <c r="C20" s="2" t="str">
        <f t="shared" si="10"/>
        <v/>
      </c>
      <c r="D20" s="52"/>
      <c r="E20" s="53"/>
      <c r="F20" s="2"/>
      <c r="G20" s="53"/>
      <c r="H20" s="53"/>
      <c r="I20" s="27"/>
      <c r="J20" s="41" t="str">
        <f t="shared" si="8"/>
        <v/>
      </c>
      <c r="K20" s="50">
        <v>3.0</v>
      </c>
      <c r="L20" s="2" t="s">
        <v>35</v>
      </c>
      <c r="M20" s="24" t="str">
        <f t="shared" si="11"/>
        <v/>
      </c>
      <c r="N20" s="52"/>
      <c r="O20" s="53"/>
      <c r="P20" s="2"/>
      <c r="Q20" s="53"/>
      <c r="R20" s="52"/>
      <c r="S20" s="2" t="str">
        <f t="shared" si="7"/>
        <v/>
      </c>
      <c r="T20" s="41" t="str">
        <f t="shared" si="9"/>
        <v/>
      </c>
      <c r="U20" s="2"/>
      <c r="V20" s="2"/>
      <c r="W20" s="2"/>
      <c r="X20" s="2"/>
      <c r="Y20" s="2"/>
      <c r="Z20" s="2"/>
      <c r="AA20" s="2"/>
      <c r="AB20" s="2"/>
    </row>
    <row r="21">
      <c r="A21" s="50">
        <v>3.0</v>
      </c>
      <c r="B21" s="2"/>
      <c r="C21" s="2" t="str">
        <f t="shared" si="10"/>
        <v/>
      </c>
      <c r="D21" s="53"/>
      <c r="E21" s="53"/>
      <c r="F21" s="2"/>
      <c r="G21" s="52"/>
      <c r="H21" s="52"/>
      <c r="I21" s="27"/>
      <c r="J21" s="41" t="str">
        <f t="shared" si="8"/>
        <v/>
      </c>
      <c r="K21" s="50">
        <v>4.0</v>
      </c>
      <c r="L21" s="2" t="s">
        <v>35</v>
      </c>
      <c r="M21" s="24" t="str">
        <f t="shared" si="11"/>
        <v/>
      </c>
      <c r="N21" s="52"/>
      <c r="O21" s="53"/>
      <c r="P21" s="2"/>
      <c r="Q21" s="52"/>
      <c r="R21" s="52"/>
      <c r="S21" s="2" t="str">
        <f t="shared" si="7"/>
        <v/>
      </c>
      <c r="T21" s="41" t="str">
        <f t="shared" si="9"/>
        <v/>
      </c>
      <c r="U21" s="2"/>
      <c r="V21" s="2"/>
      <c r="W21" s="2"/>
      <c r="X21" s="2"/>
      <c r="Y21" s="2"/>
      <c r="Z21" s="2"/>
      <c r="AA21" s="2"/>
      <c r="AB21" s="2"/>
    </row>
    <row r="22">
      <c r="A22" s="50">
        <v>4.0</v>
      </c>
      <c r="B22" s="2"/>
      <c r="C22" s="2" t="str">
        <f t="shared" si="10"/>
        <v/>
      </c>
      <c r="D22" s="53"/>
      <c r="E22" s="53"/>
      <c r="F22" s="2"/>
      <c r="G22" s="53"/>
      <c r="H22" s="53"/>
      <c r="I22" s="27"/>
      <c r="J22" s="41" t="str">
        <f t="shared" si="8"/>
        <v/>
      </c>
      <c r="K22" s="50">
        <v>5.0</v>
      </c>
      <c r="L22" s="2" t="s">
        <v>35</v>
      </c>
      <c r="M22" s="24" t="str">
        <f t="shared" si="11"/>
        <v/>
      </c>
      <c r="N22" s="52"/>
      <c r="O22" s="53"/>
      <c r="P22" s="2"/>
      <c r="Q22" s="52"/>
      <c r="R22" s="53"/>
      <c r="S22" s="2" t="str">
        <f t="shared" si="7"/>
        <v/>
      </c>
      <c r="T22" s="41" t="str">
        <f t="shared" si="9"/>
        <v/>
      </c>
      <c r="U22" s="2"/>
      <c r="V22" s="2"/>
      <c r="W22" s="2"/>
      <c r="X22" s="2"/>
      <c r="Y22" s="2"/>
      <c r="Z22" s="2"/>
      <c r="AA22" s="2"/>
      <c r="AB22" s="2"/>
    </row>
    <row r="23">
      <c r="A23" s="50">
        <v>5.0</v>
      </c>
      <c r="B23" s="2"/>
      <c r="C23" s="2" t="str">
        <f t="shared" si="10"/>
        <v/>
      </c>
      <c r="D23" s="52"/>
      <c r="E23" s="52"/>
      <c r="F23" s="2"/>
      <c r="G23" s="53"/>
      <c r="H23" s="53"/>
      <c r="I23" s="27"/>
      <c r="J23" s="59" t="str">
        <f t="shared" si="8"/>
        <v/>
      </c>
      <c r="K23" s="67">
        <v>1.0</v>
      </c>
      <c r="L23" s="2" t="s">
        <v>35</v>
      </c>
      <c r="M23" s="68" t="str">
        <f>M14</f>
        <v/>
      </c>
      <c r="N23" s="52"/>
      <c r="O23" s="53"/>
      <c r="P23" s="2"/>
      <c r="Q23" s="53"/>
      <c r="R23" s="53"/>
      <c r="S23" s="2" t="str">
        <f t="shared" si="7"/>
        <v/>
      </c>
      <c r="T23" s="59" t="str">
        <f t="shared" si="9"/>
        <v/>
      </c>
      <c r="U23" s="2"/>
      <c r="V23" s="2"/>
      <c r="W23" s="2"/>
      <c r="X23" s="2"/>
      <c r="Y23" s="2"/>
      <c r="Z23" s="2"/>
      <c r="AA23" s="2"/>
      <c r="AB23" s="2"/>
    </row>
    <row r="24">
      <c r="A24" s="60">
        <v>1.0</v>
      </c>
      <c r="B24" s="61" t="s">
        <v>35</v>
      </c>
      <c r="C24" s="61" t="str">
        <f t="shared" ref="C24:C28" si="12">C14</f>
        <v/>
      </c>
      <c r="D24" s="63"/>
      <c r="E24" s="62"/>
      <c r="F24" s="61"/>
      <c r="G24" s="62"/>
      <c r="H24" s="62"/>
      <c r="I24" s="65"/>
      <c r="J24" s="41" t="str">
        <f t="shared" si="8"/>
        <v/>
      </c>
      <c r="K24" s="60">
        <v>3.0</v>
      </c>
      <c r="L24" s="61"/>
      <c r="M24" s="24" t="str">
        <f t="shared" ref="M24:M26" si="13">M16</f>
        <v/>
      </c>
      <c r="N24" s="62"/>
      <c r="O24" s="63"/>
      <c r="P24" s="61"/>
      <c r="Q24" s="63"/>
      <c r="R24" s="63"/>
      <c r="S24" s="61" t="str">
        <f t="shared" si="7"/>
        <v/>
      </c>
      <c r="T24" s="41" t="str">
        <f t="shared" si="9"/>
        <v/>
      </c>
      <c r="U24" s="2"/>
      <c r="V24" s="2"/>
      <c r="W24" s="2"/>
      <c r="X24" s="2"/>
      <c r="Y24" s="2"/>
      <c r="Z24" s="2"/>
      <c r="AA24" s="2"/>
      <c r="AB24" s="2"/>
    </row>
    <row r="25">
      <c r="A25" s="50">
        <v>2.0</v>
      </c>
      <c r="B25" s="2" t="s">
        <v>35</v>
      </c>
      <c r="C25" s="2" t="str">
        <f t="shared" si="12"/>
        <v/>
      </c>
      <c r="D25" s="52"/>
      <c r="E25" s="53"/>
      <c r="F25" s="2"/>
      <c r="G25" s="53"/>
      <c r="H25" s="53"/>
      <c r="I25" s="27"/>
      <c r="J25" s="41" t="str">
        <f t="shared" si="8"/>
        <v/>
      </c>
      <c r="K25" s="50">
        <v>4.0</v>
      </c>
      <c r="L25" s="2"/>
      <c r="M25" s="24" t="str">
        <f t="shared" si="13"/>
        <v/>
      </c>
      <c r="N25" s="52"/>
      <c r="O25" s="53"/>
      <c r="P25" s="2"/>
      <c r="Q25" s="53"/>
      <c r="R25" s="53"/>
      <c r="S25" s="2" t="str">
        <f t="shared" si="7"/>
        <v/>
      </c>
      <c r="T25" s="41" t="str">
        <f t="shared" si="9"/>
        <v/>
      </c>
      <c r="U25" s="2"/>
      <c r="V25" s="2"/>
      <c r="W25" s="2"/>
      <c r="X25" s="2"/>
      <c r="Y25" s="2"/>
      <c r="Z25" s="2"/>
      <c r="AA25" s="2"/>
      <c r="AB25" s="2"/>
    </row>
    <row r="26">
      <c r="A26" s="50">
        <v>3.0</v>
      </c>
      <c r="B26" s="2" t="s">
        <v>35</v>
      </c>
      <c r="C26" s="2" t="str">
        <f t="shared" si="12"/>
        <v/>
      </c>
      <c r="D26" s="52"/>
      <c r="E26" s="52"/>
      <c r="F26" s="2"/>
      <c r="G26" s="53"/>
      <c r="H26" s="53"/>
      <c r="I26" s="27"/>
      <c r="J26" s="41" t="str">
        <f t="shared" si="8"/>
        <v/>
      </c>
      <c r="K26" s="50">
        <v>5.0</v>
      </c>
      <c r="L26" s="2"/>
      <c r="M26" s="24" t="str">
        <f t="shared" si="13"/>
        <v/>
      </c>
      <c r="N26" s="52"/>
      <c r="O26" s="53"/>
      <c r="P26" s="2"/>
      <c r="Q26" s="53"/>
      <c r="R26" s="52"/>
      <c r="S26" s="2" t="str">
        <f t="shared" si="7"/>
        <v/>
      </c>
      <c r="T26" s="41" t="str">
        <f t="shared" si="9"/>
        <v/>
      </c>
      <c r="U26" s="2"/>
      <c r="V26" s="2"/>
      <c r="W26" s="2"/>
      <c r="X26" s="2"/>
      <c r="Y26" s="2"/>
      <c r="Z26" s="2"/>
      <c r="AA26" s="2"/>
      <c r="AB26" s="2"/>
    </row>
    <row r="27">
      <c r="A27" s="50">
        <v>4.0</v>
      </c>
      <c r="B27" s="2" t="s">
        <v>35</v>
      </c>
      <c r="C27" s="2" t="str">
        <f t="shared" si="12"/>
        <v/>
      </c>
      <c r="D27" s="52"/>
      <c r="E27" s="53"/>
      <c r="F27" s="2"/>
      <c r="G27" s="52"/>
      <c r="H27" s="53"/>
      <c r="I27" s="27"/>
      <c r="J27" s="41" t="str">
        <f t="shared" si="8"/>
        <v/>
      </c>
      <c r="K27" s="67">
        <v>1.0</v>
      </c>
      <c r="L27" s="2"/>
      <c r="M27" s="24" t="str">
        <f t="shared" ref="M27:M28" si="14">M14</f>
        <v/>
      </c>
      <c r="N27" s="52"/>
      <c r="O27" s="53"/>
      <c r="P27" s="2"/>
      <c r="Q27" s="53"/>
      <c r="R27" s="53"/>
      <c r="S27" s="2" t="str">
        <f t="shared" si="7"/>
        <v/>
      </c>
      <c r="T27" s="41" t="str">
        <f t="shared" si="9"/>
        <v/>
      </c>
      <c r="U27" s="2"/>
      <c r="V27" s="2"/>
      <c r="W27" s="2"/>
      <c r="X27" s="2"/>
      <c r="Y27" s="2"/>
      <c r="Z27" s="2"/>
      <c r="AA27" s="2"/>
      <c r="AB27" s="2"/>
    </row>
    <row r="28">
      <c r="A28" s="50">
        <v>5.0</v>
      </c>
      <c r="B28" s="2" t="s">
        <v>35</v>
      </c>
      <c r="C28" s="2" t="str">
        <f t="shared" si="12"/>
        <v/>
      </c>
      <c r="D28" s="53"/>
      <c r="E28" s="53"/>
      <c r="F28" s="2"/>
      <c r="G28" s="52"/>
      <c r="H28" s="52"/>
      <c r="I28" s="27"/>
      <c r="J28" s="59" t="str">
        <f t="shared" si="8"/>
        <v/>
      </c>
      <c r="K28" s="67">
        <v>2.0</v>
      </c>
      <c r="L28" s="2"/>
      <c r="M28" s="68" t="str">
        <f t="shared" si="14"/>
        <v/>
      </c>
      <c r="N28" s="52"/>
      <c r="O28" s="53"/>
      <c r="P28" s="2"/>
      <c r="Q28" s="52"/>
      <c r="R28" s="53"/>
      <c r="S28" s="2" t="str">
        <f t="shared" si="7"/>
        <v/>
      </c>
      <c r="T28" s="59" t="str">
        <f t="shared" si="9"/>
        <v/>
      </c>
      <c r="U28" s="2"/>
      <c r="V28" s="2"/>
      <c r="W28" s="2"/>
      <c r="X28" s="2"/>
      <c r="Y28" s="2"/>
      <c r="Z28" s="2"/>
      <c r="AA28" s="2"/>
      <c r="AB28" s="2"/>
    </row>
    <row r="29">
      <c r="A29" s="60">
        <v>1.0</v>
      </c>
      <c r="B29" s="61"/>
      <c r="C29" s="61" t="str">
        <f t="shared" ref="C29:C33" si="15">C14</f>
        <v/>
      </c>
      <c r="D29" s="63"/>
      <c r="E29" s="63"/>
      <c r="F29" s="61"/>
      <c r="G29" s="63"/>
      <c r="H29" s="63"/>
      <c r="I29" s="80"/>
      <c r="J29" s="41" t="str">
        <f t="shared" si="8"/>
        <v/>
      </c>
      <c r="K29" s="60">
        <v>4.0</v>
      </c>
      <c r="L29" s="61" t="s">
        <v>35</v>
      </c>
      <c r="M29" s="24" t="str">
        <f t="shared" ref="M29:M30" si="16">M17</f>
        <v/>
      </c>
      <c r="N29" s="62"/>
      <c r="O29" s="63"/>
      <c r="P29" s="61"/>
      <c r="Q29" s="63"/>
      <c r="R29" s="63"/>
      <c r="S29" s="61" t="str">
        <f t="shared" si="7"/>
        <v/>
      </c>
      <c r="T29" s="41" t="str">
        <f t="shared" si="9"/>
        <v/>
      </c>
      <c r="U29" s="2"/>
      <c r="V29" s="2"/>
      <c r="W29" s="2"/>
      <c r="X29" s="2"/>
      <c r="Y29" s="2"/>
      <c r="Z29" s="2"/>
      <c r="AA29" s="2"/>
      <c r="AB29" s="2"/>
    </row>
    <row r="30">
      <c r="A30" s="50">
        <v>2.0</v>
      </c>
      <c r="B30" s="2"/>
      <c r="C30" s="2" t="str">
        <f t="shared" si="15"/>
        <v/>
      </c>
      <c r="D30" s="52"/>
      <c r="E30" s="53"/>
      <c r="F30" s="2"/>
      <c r="G30" s="53"/>
      <c r="H30" s="53"/>
      <c r="I30" s="27"/>
      <c r="J30" s="41" t="str">
        <f t="shared" si="8"/>
        <v/>
      </c>
      <c r="K30" s="50">
        <v>5.0</v>
      </c>
      <c r="L30" s="2" t="s">
        <v>35</v>
      </c>
      <c r="M30" s="24" t="str">
        <f t="shared" si="16"/>
        <v/>
      </c>
      <c r="N30" s="52"/>
      <c r="O30" s="53"/>
      <c r="P30" s="2"/>
      <c r="Q30" s="53"/>
      <c r="R30" s="53"/>
      <c r="S30" s="2" t="str">
        <f t="shared" si="7"/>
        <v/>
      </c>
      <c r="T30" s="41" t="str">
        <f t="shared" si="9"/>
        <v/>
      </c>
      <c r="U30" s="2"/>
      <c r="V30" s="2"/>
      <c r="W30" s="2"/>
      <c r="X30" s="2"/>
      <c r="Y30" s="2"/>
      <c r="Z30" s="2"/>
      <c r="AA30" s="2"/>
      <c r="AB30" s="2"/>
    </row>
    <row r="31">
      <c r="A31" s="50">
        <v>3.0</v>
      </c>
      <c r="B31" s="2"/>
      <c r="C31" s="2" t="str">
        <f t="shared" si="15"/>
        <v/>
      </c>
      <c r="D31" s="52"/>
      <c r="E31" s="53"/>
      <c r="F31" s="2"/>
      <c r="G31" s="53"/>
      <c r="H31" s="52"/>
      <c r="I31" s="27"/>
      <c r="J31" s="41" t="str">
        <f t="shared" si="8"/>
        <v/>
      </c>
      <c r="K31" s="67">
        <v>1.0</v>
      </c>
      <c r="L31" s="2" t="s">
        <v>35</v>
      </c>
      <c r="M31" s="24" t="str">
        <f t="shared" ref="M31:M33" si="17">M14</f>
        <v/>
      </c>
      <c r="N31" s="52"/>
      <c r="O31" s="53"/>
      <c r="P31" s="2"/>
      <c r="Q31" s="53"/>
      <c r="R31" s="52"/>
      <c r="S31" s="2" t="str">
        <f t="shared" si="7"/>
        <v/>
      </c>
      <c r="T31" s="41" t="str">
        <f t="shared" si="9"/>
        <v/>
      </c>
      <c r="U31" s="2"/>
      <c r="V31" s="2"/>
      <c r="W31" s="2"/>
      <c r="X31" s="2"/>
      <c r="Y31" s="2"/>
      <c r="Z31" s="2"/>
      <c r="AA31" s="2"/>
      <c r="AB31" s="2"/>
    </row>
    <row r="32">
      <c r="A32" s="50">
        <v>4.0</v>
      </c>
      <c r="B32" s="2"/>
      <c r="C32" s="2" t="str">
        <f t="shared" si="15"/>
        <v/>
      </c>
      <c r="D32" s="52"/>
      <c r="E32" s="53"/>
      <c r="F32" s="2"/>
      <c r="G32" s="53"/>
      <c r="H32" s="53"/>
      <c r="I32" s="27"/>
      <c r="J32" s="41" t="str">
        <f t="shared" si="8"/>
        <v/>
      </c>
      <c r="K32" s="67">
        <v>2.0</v>
      </c>
      <c r="L32" s="2" t="s">
        <v>35</v>
      </c>
      <c r="M32" s="24" t="str">
        <f t="shared" si="17"/>
        <v/>
      </c>
      <c r="N32" s="52"/>
      <c r="O32" s="53"/>
      <c r="P32" s="2"/>
      <c r="Q32" s="53"/>
      <c r="R32" s="53"/>
      <c r="S32" s="2" t="str">
        <f t="shared" si="7"/>
        <v/>
      </c>
      <c r="T32" s="41" t="str">
        <f t="shared" si="9"/>
        <v/>
      </c>
      <c r="U32" s="2"/>
      <c r="V32" s="2"/>
      <c r="W32" s="2"/>
      <c r="X32" s="2"/>
      <c r="Y32" s="2"/>
      <c r="Z32" s="2"/>
      <c r="AA32" s="2"/>
      <c r="AB32" s="2"/>
    </row>
    <row r="33">
      <c r="A33" s="50">
        <v>5.0</v>
      </c>
      <c r="B33" s="2"/>
      <c r="C33" s="2" t="str">
        <f t="shared" si="15"/>
        <v/>
      </c>
      <c r="D33" s="53"/>
      <c r="E33" s="53"/>
      <c r="F33" s="2"/>
      <c r="G33" s="53"/>
      <c r="H33" s="53"/>
      <c r="I33" s="27"/>
      <c r="J33" s="41" t="str">
        <f t="shared" si="8"/>
        <v/>
      </c>
      <c r="K33" s="67">
        <v>3.0</v>
      </c>
      <c r="L33" s="2" t="s">
        <v>35</v>
      </c>
      <c r="M33" s="68" t="str">
        <f t="shared" si="17"/>
        <v/>
      </c>
      <c r="N33" s="52"/>
      <c r="O33" s="53"/>
      <c r="P33" s="2"/>
      <c r="Q33" s="52"/>
      <c r="R33" s="53"/>
      <c r="S33" s="2" t="str">
        <f t="shared" si="7"/>
        <v/>
      </c>
      <c r="T33" s="41" t="str">
        <f t="shared" si="9"/>
        <v/>
      </c>
      <c r="U33" s="2"/>
      <c r="V33" s="2"/>
      <c r="W33" s="2"/>
      <c r="X33" s="2"/>
      <c r="Y33" s="2"/>
      <c r="Z33" s="2"/>
      <c r="AA33" s="2"/>
      <c r="AB33" s="2"/>
    </row>
    <row r="34">
      <c r="A34" s="70"/>
      <c r="B34" s="61"/>
      <c r="C34" s="61"/>
      <c r="D34" s="61"/>
      <c r="E34" s="61"/>
      <c r="F34" s="61"/>
      <c r="G34" s="61"/>
      <c r="H34" s="61"/>
      <c r="I34" s="61"/>
      <c r="J34" s="71"/>
      <c r="K34" s="70"/>
      <c r="L34" s="61"/>
      <c r="M34" s="68"/>
      <c r="N34" s="61"/>
      <c r="O34" s="61"/>
      <c r="P34" s="61"/>
      <c r="Q34" s="61"/>
      <c r="R34" s="61"/>
      <c r="S34" s="61"/>
      <c r="T34" s="71"/>
      <c r="U34" s="2"/>
      <c r="V34" s="2"/>
      <c r="W34" s="2"/>
      <c r="X34" s="2"/>
      <c r="Y34" s="2"/>
      <c r="Z34" s="2"/>
      <c r="AA34" s="2"/>
      <c r="AB34" s="2"/>
    </row>
    <row r="35">
      <c r="A35" s="60">
        <v>1.0</v>
      </c>
      <c r="B35" s="61" t="s">
        <v>35</v>
      </c>
      <c r="C35" s="61" t="str">
        <f t="shared" ref="C35:C39" si="18">C14</f>
        <v/>
      </c>
      <c r="D35" s="63"/>
      <c r="E35" s="63"/>
      <c r="F35" s="61"/>
      <c r="G35" s="63"/>
      <c r="H35" s="63"/>
      <c r="I35" s="65"/>
      <c r="J35" s="72">
        <f t="shared" ref="J35:J39" si="19">COUNTIFS($C$14:$C$39,C35,$I$14:$I$39,"WIN")</f>
        <v>0</v>
      </c>
      <c r="K35" s="60">
        <v>5.0</v>
      </c>
      <c r="L35" s="61"/>
      <c r="M35" s="24" t="str">
        <f>M18</f>
        <v/>
      </c>
      <c r="N35" s="62"/>
      <c r="O35" s="63"/>
      <c r="P35" s="61"/>
      <c r="Q35" s="63"/>
      <c r="R35" s="63"/>
      <c r="S35" s="61" t="str">
        <f t="shared" ref="S35:S39" si="20">IF(I35="WIN","LOSS",IF(I35="LOSS","WIN",""))</f>
        <v/>
      </c>
      <c r="T35" s="72">
        <f t="shared" ref="T35:T39" si="21">COUNTIFS($M$14:$M$39,M35,$S$14:$S$39,"WIN")</f>
        <v>0</v>
      </c>
      <c r="U35" s="2"/>
      <c r="V35" s="2"/>
      <c r="W35" s="2"/>
      <c r="X35" s="2"/>
      <c r="Y35" s="2"/>
      <c r="Z35" s="2"/>
      <c r="AA35" s="2"/>
      <c r="AB35" s="2"/>
    </row>
    <row r="36">
      <c r="A36" s="50">
        <v>2.0</v>
      </c>
      <c r="B36" s="2"/>
      <c r="C36" s="2" t="str">
        <f t="shared" si="18"/>
        <v/>
      </c>
      <c r="D36" s="52"/>
      <c r="E36" s="53"/>
      <c r="F36" s="2"/>
      <c r="G36" s="53"/>
      <c r="H36" s="53"/>
      <c r="I36" s="27"/>
      <c r="J36" s="55">
        <f t="shared" si="19"/>
        <v>0</v>
      </c>
      <c r="K36" s="67">
        <v>1.0</v>
      </c>
      <c r="L36" s="2" t="s">
        <v>35</v>
      </c>
      <c r="M36" s="24" t="str">
        <f t="shared" ref="M36:M39" si="22">M14</f>
        <v/>
      </c>
      <c r="N36" s="52"/>
      <c r="O36" s="53"/>
      <c r="P36" s="2"/>
      <c r="Q36" s="52"/>
      <c r="R36" s="53"/>
      <c r="S36" s="2" t="str">
        <f t="shared" si="20"/>
        <v/>
      </c>
      <c r="T36" s="55">
        <f t="shared" si="21"/>
        <v>0</v>
      </c>
      <c r="U36" s="2"/>
      <c r="V36" s="2"/>
      <c r="W36" s="2"/>
      <c r="X36" s="2"/>
      <c r="Y36" s="2"/>
      <c r="Z36" s="2"/>
      <c r="AA36" s="2"/>
      <c r="AB36" s="2"/>
    </row>
    <row r="37">
      <c r="A37" s="50">
        <v>3.0</v>
      </c>
      <c r="B37" s="2" t="s">
        <v>35</v>
      </c>
      <c r="C37" s="2" t="str">
        <f t="shared" si="18"/>
        <v/>
      </c>
      <c r="D37" s="52"/>
      <c r="E37" s="53"/>
      <c r="F37" s="2"/>
      <c r="G37" s="53"/>
      <c r="H37" s="52"/>
      <c r="I37" s="27"/>
      <c r="J37" s="55">
        <f t="shared" si="19"/>
        <v>0</v>
      </c>
      <c r="K37" s="67">
        <v>2.0</v>
      </c>
      <c r="L37" s="2"/>
      <c r="M37" s="24" t="str">
        <f t="shared" si="22"/>
        <v/>
      </c>
      <c r="N37" s="52"/>
      <c r="O37" s="53"/>
      <c r="P37" s="2"/>
      <c r="Q37" s="53"/>
      <c r="R37" s="53"/>
      <c r="S37" s="2" t="str">
        <f t="shared" si="20"/>
        <v/>
      </c>
      <c r="T37" s="55">
        <f t="shared" si="21"/>
        <v>0</v>
      </c>
      <c r="U37" s="2"/>
      <c r="V37" s="2"/>
      <c r="W37" s="2"/>
      <c r="X37" s="2"/>
      <c r="Y37" s="2"/>
      <c r="Z37" s="2"/>
      <c r="AA37" s="2"/>
      <c r="AB37" s="2"/>
    </row>
    <row r="38">
      <c r="A38" s="50">
        <v>4.0</v>
      </c>
      <c r="B38" s="2"/>
      <c r="C38" s="2" t="str">
        <f t="shared" si="18"/>
        <v/>
      </c>
      <c r="D38" s="52"/>
      <c r="E38" s="53"/>
      <c r="F38" s="2"/>
      <c r="G38" s="53"/>
      <c r="H38" s="53"/>
      <c r="I38" s="27"/>
      <c r="J38" s="55">
        <f t="shared" si="19"/>
        <v>0</v>
      </c>
      <c r="K38" s="67">
        <v>3.0</v>
      </c>
      <c r="L38" s="2" t="s">
        <v>35</v>
      </c>
      <c r="M38" s="24" t="str">
        <f t="shared" si="22"/>
        <v/>
      </c>
      <c r="N38" s="52"/>
      <c r="O38" s="53"/>
      <c r="P38" s="2"/>
      <c r="Q38" s="53"/>
      <c r="R38" s="53"/>
      <c r="S38" s="2" t="str">
        <f t="shared" si="20"/>
        <v/>
      </c>
      <c r="T38" s="55">
        <f t="shared" si="21"/>
        <v>0</v>
      </c>
      <c r="U38" s="2"/>
      <c r="V38" s="2"/>
      <c r="W38" s="2"/>
      <c r="X38" s="2"/>
      <c r="Y38" s="2"/>
      <c r="Z38" s="2"/>
      <c r="AA38" s="2"/>
      <c r="AB38" s="2"/>
    </row>
    <row r="39">
      <c r="A39" s="50">
        <v>5.0</v>
      </c>
      <c r="B39" s="2" t="s">
        <v>35</v>
      </c>
      <c r="C39" s="2" t="str">
        <f t="shared" si="18"/>
        <v/>
      </c>
      <c r="D39" s="52"/>
      <c r="E39" s="53"/>
      <c r="F39" s="2"/>
      <c r="G39" s="53"/>
      <c r="H39" s="52"/>
      <c r="I39" s="27"/>
      <c r="J39" s="55">
        <f t="shared" si="19"/>
        <v>0</v>
      </c>
      <c r="K39" s="67">
        <v>4.0</v>
      </c>
      <c r="L39" s="2"/>
      <c r="M39" s="73" t="str">
        <f t="shared" si="22"/>
        <v/>
      </c>
      <c r="N39" s="52"/>
      <c r="O39" s="53"/>
      <c r="P39" s="2"/>
      <c r="Q39" s="52"/>
      <c r="R39" s="52"/>
      <c r="S39" s="2" t="str">
        <f t="shared" si="20"/>
        <v/>
      </c>
      <c r="T39" s="55">
        <f t="shared" si="21"/>
        <v>0</v>
      </c>
      <c r="U39" s="2"/>
      <c r="V39" s="2"/>
      <c r="W39" s="2"/>
      <c r="X39" s="2"/>
      <c r="Y39" s="2"/>
      <c r="Z39" s="2"/>
      <c r="AA39" s="2"/>
      <c r="AB39" s="2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2"/>
      <c r="V40" s="2"/>
      <c r="W40" s="2"/>
      <c r="X40" s="2"/>
      <c r="Y40" s="2"/>
      <c r="Z40" s="2"/>
      <c r="AA40" s="2"/>
      <c r="AB40" s="2"/>
    </row>
    <row r="41">
      <c r="A41" s="33"/>
      <c r="B41" s="2"/>
      <c r="C41" s="2"/>
      <c r="D41" s="2"/>
      <c r="E41" s="2"/>
      <c r="F41" s="2"/>
      <c r="G41" s="2"/>
      <c r="H41" s="2" t="s">
        <v>46</v>
      </c>
      <c r="I41" s="2"/>
      <c r="J41" s="74">
        <f>IF(F19&gt;P19,F19,P19)</f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3"/>
      <c r="B42" s="2"/>
      <c r="C42" s="2"/>
      <c r="D42" s="2"/>
      <c r="E42" s="2"/>
      <c r="F42" s="2"/>
      <c r="G42" s="2"/>
      <c r="H42" s="2" t="s">
        <v>47</v>
      </c>
      <c r="I42" s="2"/>
      <c r="J42" s="74">
        <f>IF(F19&lt;P19,F19,P19)</f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3"/>
      <c r="B43" s="2"/>
      <c r="C43" s="2"/>
      <c r="D43" s="2"/>
      <c r="E43" s="2"/>
      <c r="F43" s="2"/>
      <c r="G43" s="2"/>
      <c r="H43" s="2" t="s">
        <v>48</v>
      </c>
      <c r="I43" s="2"/>
      <c r="J43" s="74">
        <f>J41-J42</f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 t="s">
        <v>49</v>
      </c>
      <c r="D44" s="2"/>
      <c r="E44" s="2"/>
      <c r="F44" s="2"/>
      <c r="G44" s="2"/>
      <c r="H44" s="2"/>
      <c r="I44" s="2"/>
      <c r="J44" s="74">
        <f>COUNTIF(J35:J39,5)</f>
        <v>0</v>
      </c>
      <c r="K44" s="2"/>
      <c r="L44" s="2"/>
      <c r="M44" s="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 t="s">
        <v>50</v>
      </c>
      <c r="D45" s="2"/>
      <c r="E45" s="2"/>
      <c r="F45" s="2"/>
      <c r="G45" s="2"/>
      <c r="H45" s="2"/>
      <c r="I45" s="2"/>
      <c r="J45" s="74">
        <f>COUNTIF($G$14:$G$39, TRUE)</f>
        <v>0</v>
      </c>
      <c r="K45" s="2"/>
      <c r="L45" s="2"/>
      <c r="M45" s="2" t="s">
        <v>50</v>
      </c>
      <c r="N45" s="2"/>
      <c r="O45" s="2"/>
      <c r="P45" s="2"/>
      <c r="Q45" s="2"/>
      <c r="R45" s="2"/>
      <c r="S45" s="2"/>
      <c r="T45" s="74">
        <f>COUNTIF(Q14:Q39, TRUE)</f>
        <v>0</v>
      </c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 t="s">
        <v>51</v>
      </c>
      <c r="D46" s="2"/>
      <c r="E46" s="2"/>
      <c r="F46" s="2"/>
      <c r="G46" s="2"/>
      <c r="H46" s="2"/>
      <c r="I46" s="2"/>
      <c r="J46" s="74">
        <f>COUNTIF(H14:H39, TRUE)</f>
        <v>0</v>
      </c>
      <c r="K46" s="2"/>
      <c r="L46" s="2"/>
      <c r="M46" s="2" t="s">
        <v>51</v>
      </c>
      <c r="N46" s="2"/>
      <c r="O46" s="2"/>
      <c r="P46" s="2"/>
      <c r="Q46" s="2"/>
      <c r="R46" s="2"/>
      <c r="S46" s="2"/>
      <c r="T46" s="74">
        <f>COUNTIF(R14:R39, TRUE)</f>
        <v>0</v>
      </c>
      <c r="U46" s="2"/>
      <c r="V46" s="2"/>
      <c r="W46" s="2"/>
      <c r="X46" s="2"/>
      <c r="Y46" s="2"/>
      <c r="Z46" s="2"/>
      <c r="AA46" s="2"/>
      <c r="AB46" s="2"/>
    </row>
    <row r="47">
      <c r="A47" s="2"/>
      <c r="B47" s="74">
        <f>IF(F19&gt;P19,2,3)</f>
        <v>3</v>
      </c>
      <c r="C47" s="2" t="s">
        <v>52</v>
      </c>
      <c r="D47" s="2"/>
      <c r="E47" s="2"/>
      <c r="F47" s="2"/>
      <c r="G47" s="2"/>
      <c r="H47" s="2"/>
      <c r="I47" s="2"/>
      <c r="J47" s="74">
        <f>VLOOKUP(J43,CHARTS!$A$1:$C$7,B47,TRUE)</f>
        <v>13</v>
      </c>
      <c r="K47" s="2"/>
      <c r="L47" s="74">
        <f>IF(P19&gt;F19,2,3)</f>
        <v>3</v>
      </c>
      <c r="M47" s="2" t="s">
        <v>52</v>
      </c>
      <c r="N47" s="2"/>
      <c r="O47" s="2"/>
      <c r="P47" s="2"/>
      <c r="Q47" s="2"/>
      <c r="R47" s="2"/>
      <c r="S47" s="2"/>
      <c r="T47" s="74">
        <f>VLOOKUP(J43,CHARTS!$A$1:$C$7,L47,TRUE)</f>
        <v>13</v>
      </c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 t="s">
        <v>53</v>
      </c>
      <c r="D48" s="2"/>
      <c r="E48" s="2"/>
      <c r="F48" s="2"/>
      <c r="G48" s="2"/>
      <c r="H48" s="2"/>
      <c r="I48" s="2"/>
      <c r="J48" s="74">
        <f>ROUND(J47*0.7,0)</f>
        <v>9</v>
      </c>
      <c r="K48" s="2"/>
      <c r="L48" s="2"/>
      <c r="M48" s="2" t="s">
        <v>53</v>
      </c>
      <c r="N48" s="2"/>
      <c r="O48" s="2"/>
      <c r="P48" s="2"/>
      <c r="Q48" s="2"/>
      <c r="R48" s="2"/>
      <c r="S48" s="2"/>
      <c r="T48" s="74">
        <f>ROUND(T47*0.7,0)</f>
        <v>9</v>
      </c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 t="s">
        <v>54</v>
      </c>
      <c r="D49" s="2"/>
      <c r="E49" s="2"/>
      <c r="F49" s="2"/>
      <c r="G49" s="2"/>
      <c r="H49" s="2"/>
      <c r="I49" s="2"/>
      <c r="J49" s="74">
        <f>COUNTIF($I$14:$I$39,"WIN")</f>
        <v>0</v>
      </c>
      <c r="K49" s="2"/>
      <c r="L49" s="2"/>
      <c r="M49" s="2" t="s">
        <v>54</v>
      </c>
      <c r="N49" s="2"/>
      <c r="O49" s="2"/>
      <c r="P49" s="2"/>
      <c r="Q49" s="2"/>
      <c r="R49" s="2"/>
      <c r="S49" s="2"/>
      <c r="T49" s="74">
        <f>COUNTIF($S$14:$S$39,"WIN")</f>
        <v>0</v>
      </c>
      <c r="U49" s="2"/>
      <c r="V49" s="2"/>
      <c r="W49" s="2"/>
      <c r="X49" s="2"/>
      <c r="Y49" s="2"/>
      <c r="Z49" s="2"/>
      <c r="AA49" s="2"/>
      <c r="AB49" s="2"/>
    </row>
    <row r="50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3"/>
      <c r="B55" s="2"/>
      <c r="C55" s="2" t="str">
        <f t="array" ref="C55:D64">INDIRECT("TEAM" &amp; B4)
</f>
        <v>Team 3</v>
      </c>
      <c r="D55" s="2"/>
      <c r="E55" s="2"/>
      <c r="F55" s="2"/>
      <c r="G55" s="2"/>
      <c r="H55" s="2"/>
      <c r="I55" s="2"/>
      <c r="J55" s="2"/>
      <c r="K55" s="2"/>
      <c r="L55" s="2"/>
      <c r="M55" s="2" t="str">
        <f t="array" ref="M55:N64">INDIRECT("TEAM" &amp; L4)
</f>
        <v>Team 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3"/>
      <c r="B56" s="2"/>
      <c r="C56" s="2" t="s">
        <v>62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63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3"/>
      <c r="B57" s="2"/>
      <c r="C57" s="2"/>
      <c r="D57" s="75">
        <v>0.0</v>
      </c>
      <c r="E57" s="2"/>
      <c r="F57" s="2"/>
      <c r="G57" s="2"/>
      <c r="H57" s="2"/>
      <c r="I57" s="2"/>
      <c r="J57" s="2"/>
      <c r="K57" s="2"/>
      <c r="L57" s="2"/>
      <c r="M57" s="2" t="s">
        <v>64</v>
      </c>
      <c r="N57" s="75">
        <v>35.0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3"/>
      <c r="B58" s="2"/>
      <c r="C58" s="2"/>
      <c r="D58" s="75">
        <v>0.0</v>
      </c>
      <c r="E58" s="2"/>
      <c r="F58" s="2"/>
      <c r="G58" s="2"/>
      <c r="H58" s="2"/>
      <c r="I58" s="2"/>
      <c r="J58" s="2"/>
      <c r="K58" s="2"/>
      <c r="L58" s="2"/>
      <c r="M58" s="2" t="s">
        <v>65</v>
      </c>
      <c r="N58" s="75">
        <v>32.0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3"/>
      <c r="B59" s="2"/>
      <c r="C59" s="2"/>
      <c r="D59" s="75">
        <v>0.0</v>
      </c>
      <c r="E59" s="2"/>
      <c r="F59" s="2"/>
      <c r="G59" s="2"/>
      <c r="H59" s="2"/>
      <c r="I59" s="2"/>
      <c r="J59" s="2"/>
      <c r="K59" s="2"/>
      <c r="L59" s="2"/>
      <c r="M59" s="2" t="s">
        <v>66</v>
      </c>
      <c r="N59" s="75">
        <v>36.0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3"/>
      <c r="B60" s="2"/>
      <c r="C60" s="2"/>
      <c r="D60" s="75">
        <v>0.0</v>
      </c>
      <c r="E60" s="2"/>
      <c r="F60" s="2"/>
      <c r="G60" s="2"/>
      <c r="H60" s="2"/>
      <c r="I60" s="2"/>
      <c r="J60" s="2"/>
      <c r="K60" s="2"/>
      <c r="L60" s="2"/>
      <c r="M60" s="2" t="s">
        <v>67</v>
      </c>
      <c r="N60" s="75">
        <v>38.0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3"/>
      <c r="B61" s="2"/>
      <c r="C61" s="2"/>
      <c r="D61" s="75">
        <v>0.0</v>
      </c>
      <c r="E61" s="2"/>
      <c r="F61" s="2"/>
      <c r="G61" s="2"/>
      <c r="H61" s="2"/>
      <c r="I61" s="2"/>
      <c r="J61" s="2"/>
      <c r="K61" s="2"/>
      <c r="L61" s="2"/>
      <c r="M61" s="2" t="s">
        <v>68</v>
      </c>
      <c r="N61" s="75">
        <v>50.0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3"/>
      <c r="B62" s="2"/>
      <c r="C62" s="2"/>
      <c r="D62" s="75">
        <v>0.0</v>
      </c>
      <c r="E62" s="2"/>
      <c r="F62" s="2"/>
      <c r="G62" s="2"/>
      <c r="H62" s="2"/>
      <c r="I62" s="2"/>
      <c r="J62" s="2"/>
      <c r="K62" s="2"/>
      <c r="L62" s="2"/>
      <c r="M62" s="2" t="s">
        <v>69</v>
      </c>
      <c r="N62" s="75">
        <v>59.0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3"/>
      <c r="B63" s="2"/>
      <c r="C63" s="2"/>
      <c r="D63" s="75">
        <v>0.0</v>
      </c>
      <c r="E63" s="2"/>
      <c r="F63" s="2"/>
      <c r="G63" s="2"/>
      <c r="H63" s="2"/>
      <c r="I63" s="2"/>
      <c r="J63" s="2"/>
      <c r="K63" s="2"/>
      <c r="L63" s="2"/>
      <c r="M63" s="2" t="s">
        <v>70</v>
      </c>
      <c r="N63" s="75">
        <v>47.0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3"/>
      <c r="B64" s="2"/>
      <c r="C64" s="2"/>
      <c r="D64" s="76">
        <v>0.0</v>
      </c>
      <c r="E64" s="2"/>
      <c r="F64" s="2"/>
      <c r="G64" s="2"/>
      <c r="H64" s="2"/>
      <c r="I64" s="2"/>
      <c r="J64" s="2"/>
      <c r="K64" s="2"/>
      <c r="L64" s="2"/>
      <c r="M64" s="2" t="s">
        <v>71</v>
      </c>
      <c r="N64" s="76">
        <v>31.0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7"/>
      <c r="B116" s="20"/>
      <c r="C116" s="20"/>
      <c r="D116" s="20"/>
      <c r="E116" s="20"/>
      <c r="F116" s="20"/>
      <c r="G116" s="20"/>
      <c r="H116" s="20"/>
      <c r="I116" s="20"/>
      <c r="J116" s="2"/>
      <c r="K116" s="2"/>
      <c r="L116" s="20"/>
      <c r="M116" s="2"/>
      <c r="N116" s="20"/>
      <c r="O116" s="20"/>
      <c r="P116" s="20"/>
      <c r="Q116" s="20"/>
      <c r="R116" s="20"/>
      <c r="S116" s="20"/>
      <c r="T116" s="20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C4:H4"/>
    <mergeCell ref="M4:S4"/>
  </mergeCells>
  <conditionalFormatting sqref="A19:O39 Q19:T39 P20:P39">
    <cfRule type="expression" dxfId="3" priority="1">
      <formula>NOT(ISBLANK($I19))</formula>
    </cfRule>
  </conditionalFormatting>
  <conditionalFormatting sqref="G14:I39">
    <cfRule type="expression" dxfId="0" priority="2">
      <formula>IF(AND($I14 &lt;&gt; "WIN", OR($G14=TRUE,$H14=TRUE)),TRUE,FALSE)</formula>
    </cfRule>
  </conditionalFormatting>
  <conditionalFormatting sqref="Q14:S39">
    <cfRule type="expression" dxfId="0" priority="3">
      <formula>IF(AND($S14 &lt;&gt; "WIN", OR($Q14=TRUE,$R14=TRUE)),TRUE,FALSE)</formula>
    </cfRule>
  </conditionalFormatting>
  <conditionalFormatting sqref="C14:C18 M14:M18">
    <cfRule type="containsBlanks" dxfId="0" priority="4">
      <formula>LEN(TRIM(C14))=0</formula>
    </cfRule>
  </conditionalFormatting>
  <conditionalFormatting sqref="M14:M18">
    <cfRule type="containsBlanks" dxfId="0" priority="5">
      <formula>LEN(TRIM(M14))=0</formula>
    </cfRule>
  </conditionalFormatting>
  <conditionalFormatting sqref="C14:C18 M14:M18">
    <cfRule type="expression" dxfId="4" priority="6">
      <formula>COUNTIF($C$14:$M$18, C14) &gt; 1</formula>
    </cfRule>
  </conditionalFormatting>
  <conditionalFormatting sqref="C14:C18 M14:M18">
    <cfRule type="notContainsBlanks" dxfId="2" priority="7">
      <formula>LEN(TRIM(C14))&gt;0</formula>
    </cfRule>
  </conditionalFormatting>
  <conditionalFormatting sqref="M14:M18">
    <cfRule type="notContainsBlanks" dxfId="2" priority="8">
      <formula>LEN(TRIM(M14))&gt;0</formula>
    </cfRule>
  </conditionalFormatting>
  <dataValidations>
    <dataValidation type="list" allowBlank="1" showErrorMessage="1" sqref="I14:I33 I35:I39">
      <formula1>"WIN,LOSS"</formula1>
    </dataValidation>
    <dataValidation type="list" allowBlank="1" showErrorMessage="1" sqref="C14:C18">
      <formula1>'MATCH 2'!$C$57:$C$64</formula1>
    </dataValidation>
    <dataValidation type="list" allowBlank="1" showErrorMessage="1" sqref="M14:M18">
      <formula1>'MATCH 2'!$M$57:$M$64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63"/>
    <col customWidth="1" min="3" max="3" width="22.63"/>
    <col customWidth="1" min="4" max="8" width="6.75"/>
    <col customWidth="1" min="9" max="9" width="7.75"/>
    <col customWidth="1" min="10" max="10" width="6.75"/>
    <col customWidth="1" min="11" max="11" width="5.75"/>
    <col customWidth="1" min="12" max="12" width="4.88"/>
    <col customWidth="1" min="13" max="13" width="22.63"/>
    <col customWidth="1" min="14" max="20" width="6.75"/>
  </cols>
  <sheetData>
    <row r="1">
      <c r="A1" s="1"/>
      <c r="B1" s="2"/>
      <c r="C1" s="78" t="s">
        <v>72</v>
      </c>
      <c r="D1" s="2"/>
      <c r="E1" s="2"/>
      <c r="F1" s="2"/>
      <c r="G1" s="2"/>
      <c r="H1" s="2"/>
      <c r="I1" s="2"/>
      <c r="J1" s="2"/>
      <c r="K1" s="2"/>
      <c r="L1" s="2"/>
      <c r="M1" s="28" t="s">
        <v>14</v>
      </c>
      <c r="N1" s="29">
        <f>DATA!F1</f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30" t="s">
        <v>15</v>
      </c>
      <c r="J2" s="18" t="str">
        <f>DATA!K7</f>
        <v/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2" t="str">
        <f>DATA!F7</f>
        <v/>
      </c>
      <c r="C4" s="31" t="str">
        <f>DATA!G7</f>
        <v/>
      </c>
      <c r="I4" s="2"/>
      <c r="J4" s="32" t="s">
        <v>12</v>
      </c>
      <c r="K4" s="2"/>
      <c r="L4" s="22" t="str">
        <f>DATA!I7</f>
        <v/>
      </c>
      <c r="M4" s="31" t="str">
        <f>DATA!J7</f>
        <v/>
      </c>
      <c r="T4" s="2"/>
      <c r="U4" s="2"/>
      <c r="V4" s="2"/>
      <c r="W4" s="2"/>
      <c r="X4" s="2"/>
      <c r="Y4" s="2"/>
      <c r="Z4" s="2"/>
      <c r="AA4" s="2"/>
      <c r="AB4" s="2"/>
    </row>
    <row r="5">
      <c r="A5" s="3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3"/>
      <c r="B6" s="2"/>
      <c r="C6" s="16" t="s">
        <v>16</v>
      </c>
      <c r="D6" s="2"/>
      <c r="E6" s="2"/>
      <c r="F6" s="2"/>
      <c r="G6" s="2"/>
      <c r="H6" s="2"/>
      <c r="I6" s="2"/>
      <c r="J6" s="2"/>
      <c r="K6" s="2"/>
      <c r="L6" s="2"/>
      <c r="M6" s="16" t="s">
        <v>17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34" t="s">
        <v>9</v>
      </c>
      <c r="B7" s="35" t="s">
        <v>18</v>
      </c>
      <c r="C7" s="36" t="s">
        <v>19</v>
      </c>
      <c r="D7" s="36"/>
      <c r="E7" s="36"/>
      <c r="F7" s="36"/>
      <c r="G7" s="37" t="s">
        <v>20</v>
      </c>
      <c r="H7" s="36"/>
      <c r="I7" s="38">
        <f>COUNTIF(I14:I39,G7)</f>
        <v>0</v>
      </c>
      <c r="J7" s="39"/>
      <c r="K7" s="34" t="s">
        <v>9</v>
      </c>
      <c r="L7" s="35" t="s">
        <v>18</v>
      </c>
      <c r="M7" s="36" t="s">
        <v>19</v>
      </c>
      <c r="N7" s="36"/>
      <c r="O7" s="36"/>
      <c r="P7" s="36"/>
      <c r="Q7" s="37" t="s">
        <v>20</v>
      </c>
      <c r="R7" s="37"/>
      <c r="S7" s="38">
        <f>COUNTIF(S14:S39,Q7)</f>
        <v>0</v>
      </c>
      <c r="T7" s="39"/>
      <c r="U7" s="2"/>
      <c r="V7" s="2"/>
      <c r="W7" s="2"/>
      <c r="X7" s="2"/>
      <c r="Y7" s="2"/>
      <c r="Z7" s="2"/>
      <c r="AA7" s="2"/>
      <c r="AB7" s="2"/>
    </row>
    <row r="8" ht="21.75" customHeight="1">
      <c r="A8" s="40"/>
      <c r="B8" s="32" t="str">
        <f t="shared" ref="B8:C8" si="1">B4</f>
        <v/>
      </c>
      <c r="C8" s="3" t="str">
        <f t="shared" si="1"/>
        <v/>
      </c>
      <c r="D8" s="2"/>
      <c r="E8" s="2"/>
      <c r="F8" s="2"/>
      <c r="G8" s="16" t="s">
        <v>21</v>
      </c>
      <c r="H8" s="2"/>
      <c r="I8" s="17">
        <f>COUNTIF(I14:I39,G8)</f>
        <v>0</v>
      </c>
      <c r="J8" s="41"/>
      <c r="K8" s="40"/>
      <c r="L8" s="32" t="str">
        <f t="shared" ref="L8:M8" si="2">L4</f>
        <v/>
      </c>
      <c r="M8" s="3" t="str">
        <f t="shared" si="2"/>
        <v/>
      </c>
      <c r="N8" s="2"/>
      <c r="O8" s="2"/>
      <c r="P8" s="2"/>
      <c r="Q8" s="16" t="s">
        <v>21</v>
      </c>
      <c r="R8" s="16"/>
      <c r="S8" s="17">
        <f>COUNTIF(S14:S39,Q8)</f>
        <v>0</v>
      </c>
      <c r="T8" s="41"/>
      <c r="U8" s="2"/>
      <c r="V8" s="2"/>
      <c r="W8" s="2"/>
      <c r="X8" s="2"/>
      <c r="Y8" s="2"/>
      <c r="Z8" s="2"/>
      <c r="AA8" s="2"/>
      <c r="AB8" s="2"/>
    </row>
    <row r="9" ht="21.75" customHeight="1">
      <c r="A9" s="40"/>
      <c r="B9" s="2"/>
      <c r="C9" s="2"/>
      <c r="D9" s="2"/>
      <c r="E9" s="2"/>
      <c r="F9" s="2"/>
      <c r="G9" s="42" t="s">
        <v>22</v>
      </c>
      <c r="H9" s="2"/>
      <c r="I9" s="16">
        <f>if(I7&gt;=D10,3+((I7-D10)*0.1),if(I7&gt;=D11,1.5+((I7-D11)*0.1),I7*0.1))</f>
        <v>0</v>
      </c>
      <c r="J9" s="41"/>
      <c r="K9" s="40"/>
      <c r="L9" s="2"/>
      <c r="M9" s="2"/>
      <c r="N9" s="2"/>
      <c r="O9" s="2"/>
      <c r="P9" s="2"/>
      <c r="Q9" s="42" t="s">
        <v>22</v>
      </c>
      <c r="R9" s="16"/>
      <c r="S9" s="16">
        <f>if(S7&gt;=N10,3+((S7-N10)*0.1),if(S7&gt;=N11,1.5+((S7-N11)*0.1),S7*0.1))</f>
        <v>0</v>
      </c>
      <c r="T9" s="41"/>
      <c r="U9" s="2"/>
      <c r="V9" s="2"/>
      <c r="W9" s="2"/>
      <c r="X9" s="2"/>
      <c r="Y9" s="2"/>
      <c r="Z9" s="2"/>
      <c r="AA9" s="2"/>
      <c r="AB9" s="2"/>
    </row>
    <row r="10">
      <c r="A10" s="40"/>
      <c r="B10" s="2"/>
      <c r="C10" s="43" t="s">
        <v>23</v>
      </c>
      <c r="D10" s="44">
        <f t="shared" ref="D10:D11" si="3">J47</f>
        <v>13</v>
      </c>
      <c r="E10" s="44" t="s">
        <v>24</v>
      </c>
      <c r="F10" s="44">
        <f>D10-I7</f>
        <v>13</v>
      </c>
      <c r="G10" s="2"/>
      <c r="H10" s="2"/>
      <c r="I10" s="2"/>
      <c r="J10" s="41"/>
      <c r="K10" s="40"/>
      <c r="L10" s="2"/>
      <c r="M10" s="43" t="s">
        <v>23</v>
      </c>
      <c r="N10" s="44">
        <f t="shared" ref="N10:N11" si="4">T47</f>
        <v>13</v>
      </c>
      <c r="O10" s="44" t="s">
        <v>24</v>
      </c>
      <c r="P10" s="44">
        <f>N10-S7</f>
        <v>13</v>
      </c>
      <c r="Q10" s="2"/>
      <c r="R10" s="2"/>
      <c r="S10" s="2"/>
      <c r="T10" s="41"/>
      <c r="U10" s="2"/>
      <c r="V10" s="2"/>
      <c r="W10" s="2"/>
      <c r="X10" s="2"/>
      <c r="Y10" s="2"/>
      <c r="Z10" s="2"/>
      <c r="AA10" s="2"/>
      <c r="AB10" s="2"/>
    </row>
    <row r="11">
      <c r="A11" s="40"/>
      <c r="B11" s="2"/>
      <c r="C11" s="43" t="s">
        <v>25</v>
      </c>
      <c r="D11" s="79">
        <f t="shared" si="3"/>
        <v>9</v>
      </c>
      <c r="E11" s="44" t="s">
        <v>24</v>
      </c>
      <c r="F11" s="44">
        <f>D11-I7</f>
        <v>9</v>
      </c>
      <c r="G11" s="2"/>
      <c r="H11" s="2"/>
      <c r="I11" s="2"/>
      <c r="J11" s="41"/>
      <c r="K11" s="40"/>
      <c r="L11" s="2"/>
      <c r="M11" s="43" t="s">
        <v>25</v>
      </c>
      <c r="N11" s="79">
        <f t="shared" si="4"/>
        <v>9</v>
      </c>
      <c r="O11" s="44" t="s">
        <v>24</v>
      </c>
      <c r="P11" s="44">
        <f>N11-S7</f>
        <v>9</v>
      </c>
      <c r="Q11" s="2"/>
      <c r="R11" s="2"/>
      <c r="S11" s="2"/>
      <c r="T11" s="41"/>
      <c r="U11" s="2"/>
      <c r="V11" s="2"/>
      <c r="W11" s="2"/>
      <c r="X11" s="2"/>
      <c r="Y11" s="2"/>
      <c r="Z11" s="2"/>
      <c r="AA11" s="2"/>
      <c r="AB11" s="2"/>
    </row>
    <row r="12">
      <c r="A12" s="40"/>
      <c r="B12" s="2"/>
      <c r="C12" s="2"/>
      <c r="D12" s="2"/>
      <c r="E12" s="2"/>
      <c r="F12" s="2"/>
      <c r="G12" s="2"/>
      <c r="H12" s="2"/>
      <c r="I12" s="2"/>
      <c r="J12" s="41"/>
      <c r="K12" s="40"/>
      <c r="L12" s="2"/>
      <c r="M12" s="2"/>
      <c r="N12" s="2"/>
      <c r="O12" s="2"/>
      <c r="P12" s="2"/>
      <c r="Q12" s="2"/>
      <c r="R12" s="2"/>
      <c r="S12" s="2"/>
      <c r="T12" s="41"/>
      <c r="U12" s="2"/>
      <c r="V12" s="2"/>
      <c r="W12" s="2"/>
      <c r="X12" s="2"/>
      <c r="Y12" s="2"/>
      <c r="Z12" s="2"/>
      <c r="AA12" s="2"/>
      <c r="AB12" s="2"/>
    </row>
    <row r="13">
      <c r="A13" s="45"/>
      <c r="B13" s="46" t="s">
        <v>26</v>
      </c>
      <c r="C13" s="2" t="s">
        <v>27</v>
      </c>
      <c r="D13" s="47" t="s">
        <v>28</v>
      </c>
      <c r="E13" s="47" t="s">
        <v>29</v>
      </c>
      <c r="F13" s="48" t="s">
        <v>30</v>
      </c>
      <c r="G13" s="48" t="s">
        <v>31</v>
      </c>
      <c r="H13" s="48" t="s">
        <v>32</v>
      </c>
      <c r="I13" s="48" t="s">
        <v>33</v>
      </c>
      <c r="J13" s="49" t="s">
        <v>34</v>
      </c>
      <c r="K13" s="45"/>
      <c r="L13" s="46" t="s">
        <v>26</v>
      </c>
      <c r="M13" s="2" t="s">
        <v>27</v>
      </c>
      <c r="N13" s="47" t="s">
        <v>28</v>
      </c>
      <c r="O13" s="47" t="s">
        <v>29</v>
      </c>
      <c r="P13" s="48" t="s">
        <v>30</v>
      </c>
      <c r="Q13" s="48" t="s">
        <v>31</v>
      </c>
      <c r="R13" s="48" t="s">
        <v>32</v>
      </c>
      <c r="S13" s="48" t="s">
        <v>33</v>
      </c>
      <c r="T13" s="49" t="s">
        <v>34</v>
      </c>
      <c r="U13" s="2"/>
      <c r="V13" s="2"/>
      <c r="W13" s="2"/>
      <c r="X13" s="2"/>
      <c r="Y13" s="2"/>
      <c r="Z13" s="2"/>
      <c r="AA13" s="2"/>
      <c r="AB13" s="2"/>
    </row>
    <row r="14">
      <c r="A14" s="50">
        <v>1.0</v>
      </c>
      <c r="B14" s="2" t="s">
        <v>35</v>
      </c>
      <c r="C14" s="81"/>
      <c r="D14" s="52"/>
      <c r="E14" s="53"/>
      <c r="F14" s="54">
        <f t="shared" ref="F14:F18" si="5">IFERROR(VLOOKUP(C14,$C$57:$D$64,2,0), 0)</f>
        <v>0</v>
      </c>
      <c r="G14" s="52"/>
      <c r="H14" s="53"/>
      <c r="I14" s="27"/>
      <c r="J14" s="55">
        <f>COUNTIF(I14,"WIN")</f>
        <v>0</v>
      </c>
      <c r="K14" s="50">
        <v>1.0</v>
      </c>
      <c r="L14" s="2"/>
      <c r="M14" s="82"/>
      <c r="N14" s="52"/>
      <c r="O14" s="53"/>
      <c r="P14" s="54">
        <f t="shared" ref="P14:P18" si="6">IFERROR(VLOOKUP(M14,$M$57:$N$64,2,0), 0)</f>
        <v>0</v>
      </c>
      <c r="Q14" s="52"/>
      <c r="R14" s="52"/>
      <c r="S14" s="2" t="str">
        <f t="shared" ref="S14:S28" si="7">IF(I14="WIN","LOSS",IF(I14="LOSS","WIN",""))</f>
        <v/>
      </c>
      <c r="T14" s="55">
        <f>COUNTIF(S14,"WIN")</f>
        <v>0</v>
      </c>
      <c r="U14" s="2"/>
      <c r="V14" s="2"/>
      <c r="W14" s="2"/>
      <c r="X14" s="2"/>
      <c r="Y14" s="2"/>
      <c r="Z14" s="2"/>
      <c r="AA14" s="2"/>
      <c r="AB14" s="2"/>
    </row>
    <row r="15">
      <c r="A15" s="50">
        <v>2.0</v>
      </c>
      <c r="B15" s="2" t="s">
        <v>35</v>
      </c>
      <c r="C15" s="57"/>
      <c r="D15" s="53"/>
      <c r="E15" s="53"/>
      <c r="F15" s="54">
        <f t="shared" si="5"/>
        <v>0</v>
      </c>
      <c r="G15" s="52"/>
      <c r="H15" s="53"/>
      <c r="I15" s="27"/>
      <c r="J15" s="41" t="str">
        <f t="shared" ref="J15:J28" si="8">IF(I15&lt;&gt;"", COUNTIF(I15,"WIN")+J14,"")</f>
        <v/>
      </c>
      <c r="K15" s="50">
        <v>2.0</v>
      </c>
      <c r="L15" s="2"/>
      <c r="M15" s="57"/>
      <c r="N15" s="52"/>
      <c r="O15" s="53"/>
      <c r="P15" s="54">
        <f t="shared" si="6"/>
        <v>0</v>
      </c>
      <c r="Q15" s="52"/>
      <c r="R15" s="53"/>
      <c r="S15" s="2" t="str">
        <f t="shared" si="7"/>
        <v/>
      </c>
      <c r="T15" s="41" t="str">
        <f t="shared" ref="T15:T33" si="9">IF(S15&lt;&gt;"", COUNTIF(S15,"WIN")+T14,"")</f>
        <v/>
      </c>
      <c r="U15" s="2"/>
      <c r="V15" s="2"/>
      <c r="W15" s="2"/>
      <c r="X15" s="2"/>
      <c r="Y15" s="2"/>
      <c r="Z15" s="2"/>
      <c r="AA15" s="2"/>
      <c r="AB15" s="2"/>
    </row>
    <row r="16">
      <c r="A16" s="50">
        <v>3.0</v>
      </c>
      <c r="B16" s="2" t="s">
        <v>35</v>
      </c>
      <c r="C16" s="57"/>
      <c r="D16" s="52"/>
      <c r="E16" s="53"/>
      <c r="F16" s="54">
        <f t="shared" si="5"/>
        <v>0</v>
      </c>
      <c r="G16" s="53"/>
      <c r="H16" s="52"/>
      <c r="I16" s="27"/>
      <c r="J16" s="41" t="str">
        <f t="shared" si="8"/>
        <v/>
      </c>
      <c r="K16" s="50">
        <v>3.0</v>
      </c>
      <c r="L16" s="2"/>
      <c r="M16" s="57"/>
      <c r="N16" s="52"/>
      <c r="O16" s="53"/>
      <c r="P16" s="54">
        <f t="shared" si="6"/>
        <v>0</v>
      </c>
      <c r="Q16" s="53"/>
      <c r="R16" s="53"/>
      <c r="S16" s="2" t="str">
        <f t="shared" si="7"/>
        <v/>
      </c>
      <c r="T16" s="41" t="str">
        <f t="shared" si="9"/>
        <v/>
      </c>
      <c r="U16" s="2"/>
      <c r="V16" s="2"/>
      <c r="W16" s="2"/>
      <c r="X16" s="2"/>
      <c r="Y16" s="2"/>
      <c r="Z16" s="2"/>
      <c r="AA16" s="2"/>
      <c r="AB16" s="2"/>
    </row>
    <row r="17">
      <c r="A17" s="50">
        <v>4.0</v>
      </c>
      <c r="B17" s="2" t="s">
        <v>35</v>
      </c>
      <c r="C17" s="57"/>
      <c r="D17" s="52"/>
      <c r="E17" s="53"/>
      <c r="F17" s="54">
        <f t="shared" si="5"/>
        <v>0</v>
      </c>
      <c r="G17" s="52"/>
      <c r="H17" s="53"/>
      <c r="I17" s="27"/>
      <c r="J17" s="41" t="str">
        <f t="shared" si="8"/>
        <v/>
      </c>
      <c r="K17" s="50">
        <v>4.0</v>
      </c>
      <c r="L17" s="2"/>
      <c r="M17" s="57"/>
      <c r="N17" s="52"/>
      <c r="O17" s="53"/>
      <c r="P17" s="54">
        <f t="shared" si="6"/>
        <v>0</v>
      </c>
      <c r="Q17" s="52"/>
      <c r="R17" s="53"/>
      <c r="S17" s="2" t="str">
        <f t="shared" si="7"/>
        <v/>
      </c>
      <c r="T17" s="41" t="str">
        <f t="shared" si="9"/>
        <v/>
      </c>
      <c r="U17" s="2"/>
      <c r="V17" s="2"/>
      <c r="W17" s="2"/>
      <c r="X17" s="2"/>
      <c r="Y17" s="2"/>
      <c r="Z17" s="2"/>
      <c r="AA17" s="2"/>
      <c r="AB17" s="2"/>
    </row>
    <row r="18">
      <c r="A18" s="50">
        <v>5.0</v>
      </c>
      <c r="B18" s="2" t="s">
        <v>35</v>
      </c>
      <c r="C18" s="58"/>
      <c r="D18" s="53"/>
      <c r="E18" s="53"/>
      <c r="F18" s="54">
        <f t="shared" si="5"/>
        <v>0</v>
      </c>
      <c r="G18" s="53"/>
      <c r="H18" s="53"/>
      <c r="I18" s="27"/>
      <c r="J18" s="59" t="str">
        <f t="shared" si="8"/>
        <v/>
      </c>
      <c r="K18" s="50">
        <v>5.0</v>
      </c>
      <c r="L18" s="2"/>
      <c r="M18" s="58"/>
      <c r="N18" s="53"/>
      <c r="O18" s="53"/>
      <c r="P18" s="54">
        <f t="shared" si="6"/>
        <v>0</v>
      </c>
      <c r="Q18" s="53"/>
      <c r="R18" s="53"/>
      <c r="S18" s="2" t="str">
        <f t="shared" si="7"/>
        <v/>
      </c>
      <c r="T18" s="59" t="str">
        <f t="shared" si="9"/>
        <v/>
      </c>
      <c r="U18" s="2"/>
      <c r="V18" s="2"/>
      <c r="W18" s="2"/>
      <c r="X18" s="2"/>
      <c r="Y18" s="2"/>
      <c r="Z18" s="2"/>
      <c r="AA18" s="2"/>
      <c r="AB18" s="2"/>
    </row>
    <row r="19">
      <c r="A19" s="60">
        <v>1.0</v>
      </c>
      <c r="B19" s="61"/>
      <c r="C19" s="2" t="str">
        <f t="shared" ref="C19:C23" si="10">C14</f>
        <v/>
      </c>
      <c r="D19" s="63"/>
      <c r="E19" s="63"/>
      <c r="F19" s="64">
        <f>SUM(F14:F18)</f>
        <v>0</v>
      </c>
      <c r="G19" s="63"/>
      <c r="H19" s="63"/>
      <c r="I19" s="65"/>
      <c r="J19" s="41" t="str">
        <f t="shared" si="8"/>
        <v/>
      </c>
      <c r="K19" s="60">
        <v>2.0</v>
      </c>
      <c r="L19" s="61" t="s">
        <v>35</v>
      </c>
      <c r="M19" s="66" t="str">
        <f t="shared" ref="M19:M22" si="11">M15</f>
        <v/>
      </c>
      <c r="N19" s="63"/>
      <c r="O19" s="63"/>
      <c r="P19" s="64">
        <f>SUM(P14:P18)</f>
        <v>0</v>
      </c>
      <c r="Q19" s="63"/>
      <c r="R19" s="63"/>
      <c r="S19" s="61" t="str">
        <f t="shared" si="7"/>
        <v/>
      </c>
      <c r="T19" s="41" t="str">
        <f t="shared" si="9"/>
        <v/>
      </c>
      <c r="U19" s="2"/>
      <c r="V19" s="2"/>
      <c r="W19" s="2"/>
      <c r="X19" s="2"/>
      <c r="Y19" s="2"/>
      <c r="Z19" s="2"/>
      <c r="AA19" s="2"/>
      <c r="AB19" s="2"/>
    </row>
    <row r="20">
      <c r="A20" s="50">
        <v>2.0</v>
      </c>
      <c r="B20" s="2"/>
      <c r="C20" s="2" t="str">
        <f t="shared" si="10"/>
        <v/>
      </c>
      <c r="D20" s="52"/>
      <c r="E20" s="53"/>
      <c r="F20" s="2"/>
      <c r="G20" s="53"/>
      <c r="H20" s="53"/>
      <c r="I20" s="27"/>
      <c r="J20" s="41" t="str">
        <f t="shared" si="8"/>
        <v/>
      </c>
      <c r="K20" s="50">
        <v>3.0</v>
      </c>
      <c r="L20" s="2" t="s">
        <v>35</v>
      </c>
      <c r="M20" s="24" t="str">
        <f t="shared" si="11"/>
        <v/>
      </c>
      <c r="N20" s="53"/>
      <c r="O20" s="53"/>
      <c r="P20" s="2"/>
      <c r="Q20" s="53"/>
      <c r="R20" s="53"/>
      <c r="S20" s="2" t="str">
        <f t="shared" si="7"/>
        <v/>
      </c>
      <c r="T20" s="41" t="str">
        <f t="shared" si="9"/>
        <v/>
      </c>
      <c r="U20" s="2"/>
      <c r="V20" s="2"/>
      <c r="W20" s="2"/>
      <c r="X20" s="2"/>
      <c r="Y20" s="2"/>
      <c r="Z20" s="2"/>
      <c r="AA20" s="2"/>
      <c r="AB20" s="2"/>
    </row>
    <row r="21">
      <c r="A21" s="50">
        <v>3.0</v>
      </c>
      <c r="B21" s="2"/>
      <c r="C21" s="2" t="str">
        <f t="shared" si="10"/>
        <v/>
      </c>
      <c r="D21" s="53"/>
      <c r="E21" s="53"/>
      <c r="F21" s="2"/>
      <c r="G21" s="52"/>
      <c r="H21" s="53"/>
      <c r="I21" s="27"/>
      <c r="J21" s="41" t="str">
        <f t="shared" si="8"/>
        <v/>
      </c>
      <c r="K21" s="50">
        <v>4.0</v>
      </c>
      <c r="L21" s="2" t="s">
        <v>35</v>
      </c>
      <c r="M21" s="24" t="str">
        <f t="shared" si="11"/>
        <v/>
      </c>
      <c r="N21" s="53"/>
      <c r="O21" s="53"/>
      <c r="P21" s="2"/>
      <c r="Q21" s="52"/>
      <c r="R21" s="52"/>
      <c r="S21" s="2" t="str">
        <f t="shared" si="7"/>
        <v/>
      </c>
      <c r="T21" s="41" t="str">
        <f t="shared" si="9"/>
        <v/>
      </c>
      <c r="U21" s="2"/>
      <c r="V21" s="2"/>
      <c r="W21" s="2"/>
      <c r="X21" s="2"/>
      <c r="Y21" s="2"/>
      <c r="Z21" s="2"/>
      <c r="AA21" s="2"/>
      <c r="AB21" s="2"/>
    </row>
    <row r="22">
      <c r="A22" s="50">
        <v>4.0</v>
      </c>
      <c r="B22" s="2"/>
      <c r="C22" s="2" t="str">
        <f t="shared" si="10"/>
        <v/>
      </c>
      <c r="D22" s="52"/>
      <c r="E22" s="53"/>
      <c r="F22" s="2"/>
      <c r="G22" s="52"/>
      <c r="H22" s="53"/>
      <c r="I22" s="27"/>
      <c r="J22" s="41" t="str">
        <f t="shared" si="8"/>
        <v/>
      </c>
      <c r="K22" s="50">
        <v>5.0</v>
      </c>
      <c r="L22" s="2" t="s">
        <v>35</v>
      </c>
      <c r="M22" s="24" t="str">
        <f t="shared" si="11"/>
        <v/>
      </c>
      <c r="N22" s="52"/>
      <c r="O22" s="53"/>
      <c r="P22" s="2"/>
      <c r="Q22" s="53"/>
      <c r="R22" s="52"/>
      <c r="S22" s="2" t="str">
        <f t="shared" si="7"/>
        <v/>
      </c>
      <c r="T22" s="41" t="str">
        <f t="shared" si="9"/>
        <v/>
      </c>
      <c r="U22" s="2"/>
      <c r="V22" s="2"/>
      <c r="W22" s="2"/>
      <c r="X22" s="2"/>
      <c r="Y22" s="2"/>
      <c r="Z22" s="2"/>
      <c r="AA22" s="2"/>
      <c r="AB22" s="2"/>
    </row>
    <row r="23">
      <c r="A23" s="50">
        <v>5.0</v>
      </c>
      <c r="B23" s="2"/>
      <c r="C23" s="2" t="str">
        <f t="shared" si="10"/>
        <v/>
      </c>
      <c r="D23" s="53"/>
      <c r="E23" s="53"/>
      <c r="F23" s="2"/>
      <c r="G23" s="52"/>
      <c r="H23" s="53"/>
      <c r="I23" s="27"/>
      <c r="J23" s="59" t="str">
        <f t="shared" si="8"/>
        <v/>
      </c>
      <c r="K23" s="67">
        <v>1.0</v>
      </c>
      <c r="L23" s="2" t="s">
        <v>35</v>
      </c>
      <c r="M23" s="68" t="str">
        <f>M14</f>
        <v/>
      </c>
      <c r="N23" s="53"/>
      <c r="O23" s="53"/>
      <c r="P23" s="2"/>
      <c r="Q23" s="52"/>
      <c r="R23" s="52"/>
      <c r="S23" s="2" t="str">
        <f t="shared" si="7"/>
        <v/>
      </c>
      <c r="T23" s="59" t="str">
        <f t="shared" si="9"/>
        <v/>
      </c>
      <c r="U23" s="2"/>
      <c r="V23" s="2"/>
      <c r="W23" s="2"/>
      <c r="X23" s="2"/>
      <c r="Y23" s="2"/>
      <c r="Z23" s="2"/>
      <c r="AA23" s="2"/>
      <c r="AB23" s="2"/>
    </row>
    <row r="24">
      <c r="A24" s="60">
        <v>1.0</v>
      </c>
      <c r="B24" s="61" t="s">
        <v>35</v>
      </c>
      <c r="C24" s="61" t="str">
        <f t="shared" ref="C24:C28" si="12">C14</f>
        <v/>
      </c>
      <c r="D24" s="62"/>
      <c r="E24" s="63"/>
      <c r="F24" s="61"/>
      <c r="G24" s="62"/>
      <c r="H24" s="62"/>
      <c r="I24" s="65"/>
      <c r="J24" s="41" t="str">
        <f t="shared" si="8"/>
        <v/>
      </c>
      <c r="K24" s="60">
        <v>3.0</v>
      </c>
      <c r="L24" s="61"/>
      <c r="M24" s="24" t="str">
        <f t="shared" ref="M24:M26" si="13">M16</f>
        <v/>
      </c>
      <c r="N24" s="62"/>
      <c r="O24" s="63"/>
      <c r="P24" s="61"/>
      <c r="Q24" s="63"/>
      <c r="R24" s="63"/>
      <c r="S24" s="61" t="str">
        <f t="shared" si="7"/>
        <v/>
      </c>
      <c r="T24" s="41" t="str">
        <f t="shared" si="9"/>
        <v/>
      </c>
      <c r="U24" s="2"/>
      <c r="V24" s="2"/>
      <c r="W24" s="2"/>
      <c r="X24" s="2"/>
      <c r="Y24" s="2"/>
      <c r="Z24" s="2"/>
      <c r="AA24" s="2"/>
      <c r="AB24" s="2"/>
    </row>
    <row r="25">
      <c r="A25" s="50">
        <v>2.0</v>
      </c>
      <c r="B25" s="2" t="s">
        <v>35</v>
      </c>
      <c r="C25" s="2" t="str">
        <f t="shared" si="12"/>
        <v/>
      </c>
      <c r="D25" s="52"/>
      <c r="E25" s="53"/>
      <c r="F25" s="2"/>
      <c r="G25" s="52"/>
      <c r="H25" s="53"/>
      <c r="I25" s="27"/>
      <c r="J25" s="41" t="str">
        <f t="shared" si="8"/>
        <v/>
      </c>
      <c r="K25" s="50">
        <v>4.0</v>
      </c>
      <c r="L25" s="2"/>
      <c r="M25" s="24" t="str">
        <f t="shared" si="13"/>
        <v/>
      </c>
      <c r="N25" s="52"/>
      <c r="O25" s="53"/>
      <c r="P25" s="2"/>
      <c r="Q25" s="53"/>
      <c r="R25" s="53"/>
      <c r="S25" s="2" t="str">
        <f t="shared" si="7"/>
        <v/>
      </c>
      <c r="T25" s="41" t="str">
        <f t="shared" si="9"/>
        <v/>
      </c>
      <c r="U25" s="2"/>
      <c r="V25" s="2"/>
      <c r="W25" s="2"/>
      <c r="X25" s="2"/>
      <c r="Y25" s="2"/>
      <c r="Z25" s="2"/>
      <c r="AA25" s="2"/>
      <c r="AB25" s="2"/>
    </row>
    <row r="26">
      <c r="A26" s="50">
        <v>3.0</v>
      </c>
      <c r="B26" s="2" t="s">
        <v>35</v>
      </c>
      <c r="C26" s="2" t="str">
        <f t="shared" si="12"/>
        <v/>
      </c>
      <c r="D26" s="53"/>
      <c r="E26" s="53"/>
      <c r="F26" s="2"/>
      <c r="G26" s="53"/>
      <c r="H26" s="53"/>
      <c r="I26" s="27"/>
      <c r="J26" s="41" t="str">
        <f t="shared" si="8"/>
        <v/>
      </c>
      <c r="K26" s="50">
        <v>5.0</v>
      </c>
      <c r="L26" s="2"/>
      <c r="M26" s="24" t="str">
        <f t="shared" si="13"/>
        <v/>
      </c>
      <c r="N26" s="53"/>
      <c r="O26" s="53"/>
      <c r="P26" s="2"/>
      <c r="Q26" s="53"/>
      <c r="R26" s="53"/>
      <c r="S26" s="2" t="str">
        <f t="shared" si="7"/>
        <v/>
      </c>
      <c r="T26" s="41" t="str">
        <f t="shared" si="9"/>
        <v/>
      </c>
      <c r="U26" s="2"/>
      <c r="V26" s="2"/>
      <c r="W26" s="2"/>
      <c r="X26" s="2"/>
      <c r="Y26" s="2"/>
      <c r="Z26" s="2"/>
      <c r="AA26" s="2"/>
      <c r="AB26" s="2"/>
    </row>
    <row r="27">
      <c r="A27" s="50">
        <v>4.0</v>
      </c>
      <c r="B27" s="2" t="s">
        <v>35</v>
      </c>
      <c r="C27" s="2" t="str">
        <f t="shared" si="12"/>
        <v/>
      </c>
      <c r="D27" s="52"/>
      <c r="E27" s="53"/>
      <c r="F27" s="2"/>
      <c r="G27" s="53"/>
      <c r="H27" s="53"/>
      <c r="I27" s="27"/>
      <c r="J27" s="41" t="str">
        <f t="shared" si="8"/>
        <v/>
      </c>
      <c r="K27" s="67">
        <v>1.0</v>
      </c>
      <c r="L27" s="2"/>
      <c r="M27" s="24" t="str">
        <f t="shared" ref="M27:M28" si="14">M14</f>
        <v/>
      </c>
      <c r="N27" s="52"/>
      <c r="O27" s="53"/>
      <c r="P27" s="2"/>
      <c r="Q27" s="53"/>
      <c r="R27" s="53"/>
      <c r="S27" s="2" t="str">
        <f t="shared" si="7"/>
        <v/>
      </c>
      <c r="T27" s="41" t="str">
        <f t="shared" si="9"/>
        <v/>
      </c>
      <c r="U27" s="2"/>
      <c r="V27" s="2"/>
      <c r="W27" s="2"/>
      <c r="X27" s="2"/>
      <c r="Y27" s="2"/>
      <c r="Z27" s="2"/>
      <c r="AA27" s="2"/>
      <c r="AB27" s="2"/>
    </row>
    <row r="28">
      <c r="A28" s="50">
        <v>5.0</v>
      </c>
      <c r="B28" s="2" t="s">
        <v>35</v>
      </c>
      <c r="C28" s="2" t="str">
        <f t="shared" si="12"/>
        <v/>
      </c>
      <c r="D28" s="53"/>
      <c r="E28" s="53"/>
      <c r="F28" s="2"/>
      <c r="G28" s="52"/>
      <c r="H28" s="53"/>
      <c r="I28" s="27"/>
      <c r="J28" s="59" t="str">
        <f t="shared" si="8"/>
        <v/>
      </c>
      <c r="K28" s="67">
        <v>2.0</v>
      </c>
      <c r="L28" s="2"/>
      <c r="M28" s="68" t="str">
        <f t="shared" si="14"/>
        <v/>
      </c>
      <c r="N28" s="53"/>
      <c r="O28" s="53"/>
      <c r="P28" s="2"/>
      <c r="Q28" s="53"/>
      <c r="R28" s="53"/>
      <c r="S28" s="2" t="str">
        <f t="shared" si="7"/>
        <v/>
      </c>
      <c r="T28" s="59" t="str">
        <f t="shared" si="9"/>
        <v/>
      </c>
      <c r="U28" s="2"/>
      <c r="V28" s="2"/>
      <c r="W28" s="2"/>
      <c r="X28" s="2"/>
      <c r="Y28" s="2"/>
      <c r="Z28" s="2"/>
      <c r="AA28" s="2"/>
      <c r="AB28" s="2"/>
    </row>
    <row r="29">
      <c r="A29" s="60">
        <v>1.0</v>
      </c>
      <c r="B29" s="61"/>
      <c r="C29" s="61" t="str">
        <f t="shared" ref="C29:C33" si="15">C14</f>
        <v/>
      </c>
      <c r="D29" s="63"/>
      <c r="E29" s="63"/>
      <c r="F29" s="61"/>
      <c r="G29" s="63"/>
      <c r="H29" s="63"/>
      <c r="I29" s="27"/>
      <c r="J29" s="41" t="str">
        <f>IF(E30&lt;&gt;"", COUNTIF(E30,"WIN")+J28,"")</f>
        <v/>
      </c>
      <c r="K29" s="60">
        <v>4.0</v>
      </c>
      <c r="L29" s="61" t="s">
        <v>35</v>
      </c>
      <c r="M29" s="24" t="str">
        <f t="shared" ref="M29:M30" si="16">M17</f>
        <v/>
      </c>
      <c r="N29" s="62"/>
      <c r="O29" s="63"/>
      <c r="P29" s="61"/>
      <c r="Q29" s="63"/>
      <c r="R29" s="63"/>
      <c r="S29" s="61" t="str">
        <f>IF(E30="WIN","LOSS",IF(E30="LOSS","WIN",""))</f>
        <v/>
      </c>
      <c r="T29" s="41" t="str">
        <f t="shared" si="9"/>
        <v/>
      </c>
      <c r="U29" s="2"/>
      <c r="V29" s="2"/>
      <c r="W29" s="2"/>
      <c r="X29" s="2"/>
      <c r="Y29" s="2"/>
      <c r="Z29" s="2"/>
      <c r="AA29" s="2"/>
      <c r="AB29" s="2"/>
    </row>
    <row r="30">
      <c r="A30" s="50">
        <v>2.0</v>
      </c>
      <c r="B30" s="2"/>
      <c r="C30" s="2" t="str">
        <f t="shared" si="15"/>
        <v/>
      </c>
      <c r="D30" s="52"/>
      <c r="E30" s="63"/>
      <c r="F30" s="2"/>
      <c r="G30" s="53"/>
      <c r="H30" s="53"/>
      <c r="I30" s="27"/>
      <c r="J30" s="41" t="str">
        <f t="shared" ref="J30:J33" si="17">IF(I30&lt;&gt;"", COUNTIF(I30,"WIN")+J29,"")</f>
        <v/>
      </c>
      <c r="K30" s="50">
        <v>5.0</v>
      </c>
      <c r="L30" s="2" t="s">
        <v>35</v>
      </c>
      <c r="M30" s="24" t="str">
        <f t="shared" si="16"/>
        <v/>
      </c>
      <c r="N30" s="53"/>
      <c r="O30" s="53"/>
      <c r="P30" s="2"/>
      <c r="Q30" s="53"/>
      <c r="R30" s="53"/>
      <c r="S30" s="2" t="str">
        <f t="shared" ref="S30:S33" si="18">IF(I30="WIN","LOSS",IF(I30="LOSS","WIN",""))</f>
        <v/>
      </c>
      <c r="T30" s="41" t="str">
        <f t="shared" si="9"/>
        <v/>
      </c>
      <c r="U30" s="2"/>
      <c r="V30" s="2"/>
      <c r="W30" s="2"/>
      <c r="X30" s="2"/>
      <c r="Y30" s="2"/>
      <c r="Z30" s="2"/>
      <c r="AA30" s="2"/>
      <c r="AB30" s="2"/>
    </row>
    <row r="31">
      <c r="A31" s="50">
        <v>3.0</v>
      </c>
      <c r="B31" s="2"/>
      <c r="C31" s="2" t="str">
        <f t="shared" si="15"/>
        <v/>
      </c>
      <c r="D31" s="52"/>
      <c r="E31" s="52"/>
      <c r="F31" s="2"/>
      <c r="G31" s="53"/>
      <c r="H31" s="53"/>
      <c r="I31" s="27"/>
      <c r="J31" s="41" t="str">
        <f t="shared" si="17"/>
        <v/>
      </c>
      <c r="K31" s="67">
        <v>1.0</v>
      </c>
      <c r="L31" s="2" t="s">
        <v>35</v>
      </c>
      <c r="M31" s="24" t="str">
        <f t="shared" ref="M31:M33" si="19">M14</f>
        <v/>
      </c>
      <c r="N31" s="53"/>
      <c r="O31" s="53"/>
      <c r="P31" s="2"/>
      <c r="Q31" s="52"/>
      <c r="R31" s="53"/>
      <c r="S31" s="2" t="str">
        <f t="shared" si="18"/>
        <v/>
      </c>
      <c r="T31" s="41" t="str">
        <f t="shared" si="9"/>
        <v/>
      </c>
      <c r="U31" s="2"/>
      <c r="V31" s="2"/>
      <c r="W31" s="2"/>
      <c r="X31" s="2"/>
      <c r="Y31" s="2"/>
      <c r="Z31" s="2"/>
      <c r="AA31" s="2"/>
      <c r="AB31" s="2"/>
    </row>
    <row r="32">
      <c r="A32" s="50">
        <v>4.0</v>
      </c>
      <c r="B32" s="2"/>
      <c r="C32" s="2" t="str">
        <f t="shared" si="15"/>
        <v/>
      </c>
      <c r="D32" s="53"/>
      <c r="E32" s="53"/>
      <c r="F32" s="2"/>
      <c r="G32" s="52"/>
      <c r="H32" s="53"/>
      <c r="I32" s="27"/>
      <c r="J32" s="41" t="str">
        <f t="shared" si="17"/>
        <v/>
      </c>
      <c r="K32" s="67">
        <v>2.0</v>
      </c>
      <c r="L32" s="2" t="s">
        <v>35</v>
      </c>
      <c r="M32" s="24" t="str">
        <f t="shared" si="19"/>
        <v/>
      </c>
      <c r="N32" s="53"/>
      <c r="O32" s="53"/>
      <c r="P32" s="2"/>
      <c r="Q32" s="53"/>
      <c r="R32" s="53"/>
      <c r="S32" s="2" t="str">
        <f t="shared" si="18"/>
        <v/>
      </c>
      <c r="T32" s="41" t="str">
        <f t="shared" si="9"/>
        <v/>
      </c>
      <c r="U32" s="2"/>
      <c r="V32" s="2"/>
      <c r="W32" s="2"/>
      <c r="X32" s="2"/>
      <c r="Y32" s="2"/>
      <c r="Z32" s="2"/>
      <c r="AA32" s="2"/>
      <c r="AB32" s="2"/>
    </row>
    <row r="33">
      <c r="A33" s="50">
        <v>5.0</v>
      </c>
      <c r="B33" s="2"/>
      <c r="C33" s="2" t="str">
        <f t="shared" si="15"/>
        <v/>
      </c>
      <c r="D33" s="53"/>
      <c r="E33" s="53"/>
      <c r="F33" s="2"/>
      <c r="G33" s="53"/>
      <c r="H33" s="53"/>
      <c r="I33" s="27"/>
      <c r="J33" s="41" t="str">
        <f t="shared" si="17"/>
        <v/>
      </c>
      <c r="K33" s="67">
        <v>3.0</v>
      </c>
      <c r="L33" s="2" t="s">
        <v>35</v>
      </c>
      <c r="M33" s="68" t="str">
        <f t="shared" si="19"/>
        <v/>
      </c>
      <c r="N33" s="53"/>
      <c r="O33" s="53"/>
      <c r="P33" s="2"/>
      <c r="Q33" s="52"/>
      <c r="R33" s="53"/>
      <c r="S33" s="2" t="str">
        <f t="shared" si="18"/>
        <v/>
      </c>
      <c r="T33" s="41" t="str">
        <f t="shared" si="9"/>
        <v/>
      </c>
      <c r="U33" s="2"/>
      <c r="V33" s="2"/>
      <c r="W33" s="2"/>
      <c r="X33" s="2"/>
      <c r="Y33" s="2"/>
      <c r="Z33" s="2"/>
      <c r="AA33" s="2"/>
      <c r="AB33" s="2"/>
    </row>
    <row r="34">
      <c r="A34" s="70"/>
      <c r="B34" s="61"/>
      <c r="C34" s="61"/>
      <c r="D34" s="61"/>
      <c r="E34" s="61"/>
      <c r="F34" s="61"/>
      <c r="G34" s="61"/>
      <c r="H34" s="61"/>
      <c r="I34" s="61"/>
      <c r="J34" s="71"/>
      <c r="K34" s="70"/>
      <c r="L34" s="61"/>
      <c r="M34" s="68"/>
      <c r="N34" s="61"/>
      <c r="O34" s="61"/>
      <c r="P34" s="61"/>
      <c r="Q34" s="61"/>
      <c r="R34" s="61"/>
      <c r="S34" s="61"/>
      <c r="T34" s="71"/>
      <c r="U34" s="2"/>
      <c r="V34" s="2"/>
      <c r="W34" s="2"/>
      <c r="X34" s="2"/>
      <c r="Y34" s="2"/>
      <c r="Z34" s="2"/>
      <c r="AA34" s="2"/>
      <c r="AB34" s="2"/>
    </row>
    <row r="35">
      <c r="A35" s="60">
        <v>1.0</v>
      </c>
      <c r="B35" s="61" t="s">
        <v>35</v>
      </c>
      <c r="C35" s="61" t="str">
        <f t="shared" ref="C35:C39" si="20">C14</f>
        <v/>
      </c>
      <c r="D35" s="63"/>
      <c r="E35" s="63"/>
      <c r="F35" s="61"/>
      <c r="G35" s="63"/>
      <c r="H35" s="63"/>
      <c r="I35" s="65"/>
      <c r="J35" s="72">
        <f t="shared" ref="J35:J39" si="21">COUNTIFS($C$14:$C$39,C35,$I$14:$I$39,"WIN")</f>
        <v>0</v>
      </c>
      <c r="K35" s="60">
        <v>5.0</v>
      </c>
      <c r="L35" s="61"/>
      <c r="M35" s="24" t="str">
        <f>M18</f>
        <v/>
      </c>
      <c r="N35" s="63"/>
      <c r="O35" s="63"/>
      <c r="P35" s="61"/>
      <c r="Q35" s="62"/>
      <c r="R35" s="62"/>
      <c r="S35" s="61" t="str">
        <f t="shared" ref="S35:S39" si="22">IF(I35="WIN","LOSS",IF(I35="LOSS","WIN",""))</f>
        <v/>
      </c>
      <c r="T35" s="72">
        <f t="shared" ref="T35:T39" si="23">COUNTIFS($M$14:$M$39,M35,$S$14:$S$39,"WIN")</f>
        <v>0</v>
      </c>
      <c r="U35" s="2"/>
      <c r="V35" s="2"/>
      <c r="W35" s="2"/>
      <c r="X35" s="2"/>
      <c r="Y35" s="2"/>
      <c r="Z35" s="2"/>
      <c r="AA35" s="2"/>
      <c r="AB35" s="2"/>
    </row>
    <row r="36">
      <c r="A36" s="50">
        <v>2.0</v>
      </c>
      <c r="B36" s="2"/>
      <c r="C36" s="2" t="str">
        <f t="shared" si="20"/>
        <v/>
      </c>
      <c r="D36" s="52"/>
      <c r="E36" s="53"/>
      <c r="F36" s="2"/>
      <c r="G36" s="53"/>
      <c r="H36" s="53"/>
      <c r="I36" s="27"/>
      <c r="J36" s="55">
        <f t="shared" si="21"/>
        <v>0</v>
      </c>
      <c r="K36" s="67">
        <v>1.0</v>
      </c>
      <c r="L36" s="2" t="s">
        <v>35</v>
      </c>
      <c r="M36" s="24" t="str">
        <f t="shared" ref="M36:M39" si="24">M14</f>
        <v/>
      </c>
      <c r="N36" s="52"/>
      <c r="O36" s="53"/>
      <c r="P36" s="2"/>
      <c r="Q36" s="53"/>
      <c r="R36" s="52"/>
      <c r="S36" s="2" t="str">
        <f t="shared" si="22"/>
        <v/>
      </c>
      <c r="T36" s="55">
        <f t="shared" si="23"/>
        <v>0</v>
      </c>
      <c r="U36" s="2"/>
      <c r="V36" s="2"/>
      <c r="W36" s="2"/>
      <c r="X36" s="2"/>
      <c r="Y36" s="2"/>
      <c r="Z36" s="2"/>
      <c r="AA36" s="2"/>
      <c r="AB36" s="2"/>
    </row>
    <row r="37">
      <c r="A37" s="50">
        <v>3.0</v>
      </c>
      <c r="B37" s="2" t="s">
        <v>35</v>
      </c>
      <c r="C37" s="2" t="str">
        <f t="shared" si="20"/>
        <v/>
      </c>
      <c r="D37" s="53"/>
      <c r="E37" s="53"/>
      <c r="F37" s="2"/>
      <c r="G37" s="52"/>
      <c r="H37" s="52"/>
      <c r="I37" s="27"/>
      <c r="J37" s="55">
        <f t="shared" si="21"/>
        <v>0</v>
      </c>
      <c r="K37" s="67">
        <v>2.0</v>
      </c>
      <c r="L37" s="2"/>
      <c r="M37" s="24" t="str">
        <f t="shared" si="24"/>
        <v/>
      </c>
      <c r="N37" s="52"/>
      <c r="O37" s="53"/>
      <c r="P37" s="2"/>
      <c r="Q37" s="53"/>
      <c r="R37" s="52"/>
      <c r="S37" s="2" t="str">
        <f t="shared" si="22"/>
        <v/>
      </c>
      <c r="T37" s="55">
        <f t="shared" si="23"/>
        <v>0</v>
      </c>
      <c r="U37" s="2"/>
      <c r="V37" s="2"/>
      <c r="W37" s="2"/>
      <c r="X37" s="2"/>
      <c r="Y37" s="2"/>
      <c r="Z37" s="2"/>
      <c r="AA37" s="2"/>
      <c r="AB37" s="2"/>
    </row>
    <row r="38">
      <c r="A38" s="50">
        <v>4.0</v>
      </c>
      <c r="B38" s="2"/>
      <c r="C38" s="2" t="str">
        <f t="shared" si="20"/>
        <v/>
      </c>
      <c r="D38" s="52"/>
      <c r="E38" s="53"/>
      <c r="F38" s="2"/>
      <c r="G38" s="53"/>
      <c r="H38" s="53"/>
      <c r="I38" s="27"/>
      <c r="J38" s="55">
        <f t="shared" si="21"/>
        <v>0</v>
      </c>
      <c r="K38" s="67">
        <v>3.0</v>
      </c>
      <c r="L38" s="2" t="s">
        <v>35</v>
      </c>
      <c r="M38" s="24" t="str">
        <f t="shared" si="24"/>
        <v/>
      </c>
      <c r="N38" s="53"/>
      <c r="O38" s="53"/>
      <c r="P38" s="2"/>
      <c r="Q38" s="53"/>
      <c r="R38" s="53"/>
      <c r="S38" s="2" t="str">
        <f t="shared" si="22"/>
        <v/>
      </c>
      <c r="T38" s="55">
        <f t="shared" si="23"/>
        <v>0</v>
      </c>
      <c r="U38" s="2"/>
      <c r="V38" s="2"/>
      <c r="W38" s="2"/>
      <c r="X38" s="2"/>
      <c r="Y38" s="2"/>
      <c r="Z38" s="2"/>
      <c r="AA38" s="2"/>
      <c r="AB38" s="2"/>
    </row>
    <row r="39">
      <c r="A39" s="50">
        <v>5.0</v>
      </c>
      <c r="B39" s="2" t="s">
        <v>35</v>
      </c>
      <c r="C39" s="2" t="str">
        <f t="shared" si="20"/>
        <v/>
      </c>
      <c r="D39" s="53"/>
      <c r="E39" s="52"/>
      <c r="F39" s="2"/>
      <c r="G39" s="53"/>
      <c r="H39" s="52"/>
      <c r="I39" s="27"/>
      <c r="J39" s="55">
        <f t="shared" si="21"/>
        <v>0</v>
      </c>
      <c r="K39" s="67">
        <v>4.0</v>
      </c>
      <c r="L39" s="2"/>
      <c r="M39" s="73" t="str">
        <f t="shared" si="24"/>
        <v/>
      </c>
      <c r="N39" s="53"/>
      <c r="O39" s="53"/>
      <c r="P39" s="2"/>
      <c r="Q39" s="52"/>
      <c r="R39" s="52"/>
      <c r="S39" s="2" t="str">
        <f t="shared" si="22"/>
        <v/>
      </c>
      <c r="T39" s="55">
        <f t="shared" si="23"/>
        <v>0</v>
      </c>
      <c r="U39" s="2"/>
      <c r="V39" s="2"/>
      <c r="W39" s="2"/>
      <c r="X39" s="2"/>
      <c r="Y39" s="2"/>
      <c r="Z39" s="2"/>
      <c r="AA39" s="2"/>
      <c r="AB39" s="2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2"/>
      <c r="V40" s="2"/>
      <c r="W40" s="2"/>
      <c r="X40" s="2"/>
      <c r="Y40" s="2"/>
      <c r="Z40" s="2"/>
      <c r="AA40" s="2"/>
      <c r="AB40" s="2"/>
    </row>
    <row r="41">
      <c r="A41" s="33"/>
      <c r="B41" s="2"/>
      <c r="C41" s="2"/>
      <c r="D41" s="2"/>
      <c r="E41" s="2"/>
      <c r="F41" s="2"/>
      <c r="G41" s="2"/>
      <c r="H41" s="2" t="s">
        <v>46</v>
      </c>
      <c r="I41" s="2"/>
      <c r="J41" s="74">
        <f>IF(F19&gt;P19,F19,P19)</f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3"/>
      <c r="B42" s="2"/>
      <c r="C42" s="2"/>
      <c r="D42" s="2"/>
      <c r="E42" s="2"/>
      <c r="F42" s="2"/>
      <c r="G42" s="2"/>
      <c r="H42" s="2" t="s">
        <v>47</v>
      </c>
      <c r="I42" s="2"/>
      <c r="J42" s="74">
        <f>IF(F19&lt;P19,F19,P19)</f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3"/>
      <c r="B43" s="2"/>
      <c r="C43" s="2"/>
      <c r="D43" s="2"/>
      <c r="E43" s="2"/>
      <c r="F43" s="2"/>
      <c r="G43" s="2"/>
      <c r="H43" s="2" t="s">
        <v>48</v>
      </c>
      <c r="I43" s="2"/>
      <c r="J43" s="74">
        <f>J41-J42</f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 t="s">
        <v>49</v>
      </c>
      <c r="D44" s="2"/>
      <c r="E44" s="2"/>
      <c r="F44" s="2"/>
      <c r="G44" s="2"/>
      <c r="H44" s="2"/>
      <c r="I44" s="2"/>
      <c r="J44" s="74">
        <f>COUNTIF(J35:J39,5)</f>
        <v>0</v>
      </c>
      <c r="K44" s="2"/>
      <c r="L44" s="2"/>
      <c r="M44" s="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 t="s">
        <v>50</v>
      </c>
      <c r="D45" s="2"/>
      <c r="E45" s="2"/>
      <c r="F45" s="2"/>
      <c r="G45" s="2"/>
      <c r="H45" s="2"/>
      <c r="I45" s="2"/>
      <c r="J45" s="74">
        <f>COUNTIF($G$14:$G$39, TRUE)</f>
        <v>0</v>
      </c>
      <c r="K45" s="2"/>
      <c r="L45" s="2"/>
      <c r="M45" s="2" t="s">
        <v>50</v>
      </c>
      <c r="N45" s="2"/>
      <c r="O45" s="2"/>
      <c r="P45" s="2"/>
      <c r="Q45" s="2"/>
      <c r="R45" s="2"/>
      <c r="S45" s="2"/>
      <c r="T45" s="74">
        <f>COUNTIF(Q14:Q39, TRUE)</f>
        <v>0</v>
      </c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 t="s">
        <v>51</v>
      </c>
      <c r="D46" s="2"/>
      <c r="E46" s="2"/>
      <c r="F46" s="2"/>
      <c r="G46" s="2"/>
      <c r="H46" s="2"/>
      <c r="I46" s="2"/>
      <c r="J46" s="74">
        <f>COUNTIF(H14:H39, TRUE)</f>
        <v>0</v>
      </c>
      <c r="K46" s="2"/>
      <c r="L46" s="2"/>
      <c r="M46" s="2" t="s">
        <v>51</v>
      </c>
      <c r="N46" s="2"/>
      <c r="O46" s="2"/>
      <c r="P46" s="2"/>
      <c r="Q46" s="2"/>
      <c r="R46" s="2"/>
      <c r="S46" s="2"/>
      <c r="T46" s="74">
        <f>COUNTIF(R14:R39, TRUE)</f>
        <v>0</v>
      </c>
      <c r="U46" s="2"/>
      <c r="V46" s="2"/>
      <c r="W46" s="2"/>
      <c r="X46" s="2"/>
      <c r="Y46" s="2"/>
      <c r="Z46" s="2"/>
      <c r="AA46" s="2"/>
      <c r="AB46" s="2"/>
    </row>
    <row r="47">
      <c r="A47" s="2"/>
      <c r="B47" s="74">
        <f>IF(F19&gt;P19,2,3)</f>
        <v>3</v>
      </c>
      <c r="C47" s="2" t="s">
        <v>52</v>
      </c>
      <c r="D47" s="2"/>
      <c r="E47" s="2"/>
      <c r="F47" s="2"/>
      <c r="G47" s="2"/>
      <c r="H47" s="2"/>
      <c r="I47" s="2"/>
      <c r="J47" s="74">
        <f>VLOOKUP(J43,CHARTS!$A$1:$C$7,B47,TRUE)</f>
        <v>13</v>
      </c>
      <c r="K47" s="2"/>
      <c r="L47" s="74">
        <f>IF(P19&gt;F19,2,3)</f>
        <v>3</v>
      </c>
      <c r="M47" s="2" t="s">
        <v>52</v>
      </c>
      <c r="N47" s="2"/>
      <c r="O47" s="2"/>
      <c r="P47" s="2"/>
      <c r="Q47" s="2"/>
      <c r="R47" s="2"/>
      <c r="S47" s="2"/>
      <c r="T47" s="74">
        <f>VLOOKUP(J43,CHARTS!$A$1:$C$7,L47,TRUE)</f>
        <v>13</v>
      </c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 t="s">
        <v>53</v>
      </c>
      <c r="D48" s="2"/>
      <c r="E48" s="2"/>
      <c r="F48" s="2"/>
      <c r="G48" s="2"/>
      <c r="H48" s="2"/>
      <c r="I48" s="2"/>
      <c r="J48" s="74">
        <f>ROUND(J47*0.7,0)</f>
        <v>9</v>
      </c>
      <c r="K48" s="2"/>
      <c r="L48" s="2"/>
      <c r="M48" s="2" t="s">
        <v>53</v>
      </c>
      <c r="N48" s="2"/>
      <c r="O48" s="2"/>
      <c r="P48" s="2"/>
      <c r="Q48" s="2"/>
      <c r="R48" s="2"/>
      <c r="S48" s="2"/>
      <c r="T48" s="74">
        <f>ROUND(T47*0.7,0)</f>
        <v>9</v>
      </c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 t="s">
        <v>54</v>
      </c>
      <c r="D49" s="2"/>
      <c r="E49" s="2"/>
      <c r="F49" s="2"/>
      <c r="G49" s="2"/>
      <c r="H49" s="2"/>
      <c r="I49" s="2"/>
      <c r="J49" s="74">
        <f>COUNTIF($I$14:$I$39,"WIN")</f>
        <v>0</v>
      </c>
      <c r="K49" s="2"/>
      <c r="L49" s="2"/>
      <c r="M49" s="2" t="s">
        <v>54</v>
      </c>
      <c r="N49" s="2"/>
      <c r="O49" s="2"/>
      <c r="P49" s="2"/>
      <c r="Q49" s="2"/>
      <c r="R49" s="2"/>
      <c r="S49" s="2"/>
      <c r="T49" s="74">
        <f>COUNTIF($S$14:$S$39,"WIN")</f>
        <v>0</v>
      </c>
      <c r="U49" s="2"/>
      <c r="V49" s="2"/>
      <c r="W49" s="2"/>
      <c r="X49" s="2"/>
      <c r="Y49" s="2"/>
      <c r="Z49" s="2"/>
      <c r="AA49" s="2"/>
      <c r="AB49" s="2"/>
    </row>
    <row r="50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3"/>
      <c r="B55" s="2"/>
      <c r="C55" s="2" t="str">
        <f t="array" ref="C55">INDIRECT("TEAM" &amp; B4)
</f>
        <v>#REF!</v>
      </c>
      <c r="D55" s="2"/>
      <c r="E55" s="2"/>
      <c r="F55" s="2"/>
      <c r="G55" s="2"/>
      <c r="H55" s="2"/>
      <c r="I55" s="2"/>
      <c r="J55" s="2"/>
      <c r="K55" s="2"/>
      <c r="L55" s="2"/>
      <c r="M55" s="2" t="str">
        <f t="array" ref="M55">INDIRECT("TEAM" &amp; L4)
</f>
        <v>#REF!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3"/>
      <c r="B57" s="2"/>
      <c r="C57" s="2"/>
      <c r="D57" s="74"/>
      <c r="E57" s="2"/>
      <c r="F57" s="2"/>
      <c r="G57" s="2"/>
      <c r="H57" s="2"/>
      <c r="I57" s="2"/>
      <c r="J57" s="2"/>
      <c r="K57" s="2"/>
      <c r="L57" s="2"/>
      <c r="M57" s="2"/>
      <c r="N57" s="7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3"/>
      <c r="B58" s="2"/>
      <c r="C58" s="2"/>
      <c r="D58" s="74"/>
      <c r="E58" s="2"/>
      <c r="F58" s="2"/>
      <c r="G58" s="2"/>
      <c r="H58" s="2"/>
      <c r="I58" s="2"/>
      <c r="J58" s="2"/>
      <c r="K58" s="2"/>
      <c r="L58" s="2"/>
      <c r="M58" s="2"/>
      <c r="N58" s="7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3"/>
      <c r="B59" s="2"/>
      <c r="C59" s="2"/>
      <c r="D59" s="74"/>
      <c r="E59" s="2"/>
      <c r="F59" s="2"/>
      <c r="G59" s="2"/>
      <c r="H59" s="2"/>
      <c r="I59" s="2"/>
      <c r="J59" s="2"/>
      <c r="K59" s="2"/>
      <c r="L59" s="2"/>
      <c r="M59" s="2"/>
      <c r="N59" s="7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3"/>
      <c r="B60" s="2"/>
      <c r="C60" s="2"/>
      <c r="D60" s="74"/>
      <c r="E60" s="2"/>
      <c r="F60" s="2"/>
      <c r="G60" s="2"/>
      <c r="H60" s="2"/>
      <c r="I60" s="2"/>
      <c r="J60" s="2"/>
      <c r="K60" s="2"/>
      <c r="L60" s="2"/>
      <c r="M60" s="2"/>
      <c r="N60" s="7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3"/>
      <c r="B61" s="2"/>
      <c r="C61" s="2"/>
      <c r="D61" s="74"/>
      <c r="E61" s="2"/>
      <c r="F61" s="2"/>
      <c r="G61" s="2"/>
      <c r="H61" s="2"/>
      <c r="I61" s="2"/>
      <c r="J61" s="2"/>
      <c r="K61" s="2"/>
      <c r="L61" s="2"/>
      <c r="M61" s="2"/>
      <c r="N61" s="7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3"/>
      <c r="B62" s="2"/>
      <c r="C62" s="2"/>
      <c r="D62" s="74"/>
      <c r="E62" s="2"/>
      <c r="F62" s="2"/>
      <c r="G62" s="2"/>
      <c r="H62" s="2"/>
      <c r="I62" s="2"/>
      <c r="J62" s="2"/>
      <c r="K62" s="2"/>
      <c r="L62" s="2"/>
      <c r="M62" s="2"/>
      <c r="N62" s="7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3"/>
      <c r="B63" s="2"/>
      <c r="C63" s="2"/>
      <c r="D63" s="74"/>
      <c r="E63" s="2"/>
      <c r="F63" s="2"/>
      <c r="G63" s="2"/>
      <c r="H63" s="2"/>
      <c r="I63" s="2"/>
      <c r="J63" s="2"/>
      <c r="K63" s="2"/>
      <c r="L63" s="2"/>
      <c r="M63" s="2"/>
      <c r="N63" s="7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7"/>
      <c r="B116" s="20"/>
      <c r="C116" s="20"/>
      <c r="D116" s="20"/>
      <c r="E116" s="20"/>
      <c r="F116" s="20"/>
      <c r="G116" s="20"/>
      <c r="H116" s="20"/>
      <c r="I116" s="20"/>
      <c r="J116" s="2"/>
      <c r="K116" s="2"/>
      <c r="L116" s="20"/>
      <c r="M116" s="2"/>
      <c r="N116" s="20"/>
      <c r="O116" s="20"/>
      <c r="P116" s="20"/>
      <c r="Q116" s="20"/>
      <c r="R116" s="20"/>
      <c r="S116" s="20"/>
      <c r="T116" s="20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C4:H4"/>
    <mergeCell ref="M4:S4"/>
  </mergeCells>
  <conditionalFormatting sqref="E30">
    <cfRule type="expression" dxfId="0" priority="1">
      <formula>IF(AND($E30 &lt;&gt; "WIN", OR($G29=TRUE,$H29=TRUE)),TRUE,FALSE)</formula>
    </cfRule>
  </conditionalFormatting>
  <conditionalFormatting sqref="A19:T39">
    <cfRule type="expression" dxfId="3" priority="2">
      <formula>NOT(ISBLANK($I19))</formula>
    </cfRule>
  </conditionalFormatting>
  <conditionalFormatting sqref="G14:I39">
    <cfRule type="expression" dxfId="0" priority="3">
      <formula>IF(AND($I14 &lt;&gt; "WIN", OR($G14=TRUE,$H14=TRUE)),TRUE,FALSE)</formula>
    </cfRule>
  </conditionalFormatting>
  <conditionalFormatting sqref="Q14:S39">
    <cfRule type="expression" dxfId="0" priority="4">
      <formula>IF(AND($S14 &lt;&gt; "WIN", OR($Q14=TRUE,$R14=TRUE)),TRUE,FALSE)</formula>
    </cfRule>
  </conditionalFormatting>
  <conditionalFormatting sqref="C14:C18 M14:M18">
    <cfRule type="containsBlanks" dxfId="0" priority="5">
      <formula>LEN(TRIM(C14))=0</formula>
    </cfRule>
  </conditionalFormatting>
  <conditionalFormatting sqref="M14:M18">
    <cfRule type="containsBlanks" dxfId="0" priority="6">
      <formula>LEN(TRIM(M14))=0</formula>
    </cfRule>
  </conditionalFormatting>
  <conditionalFormatting sqref="C14:C18 M14:M18">
    <cfRule type="expression" dxfId="4" priority="7">
      <formula>COUNTIF($C$14:$M$18, C14) &gt; 1</formula>
    </cfRule>
  </conditionalFormatting>
  <conditionalFormatting sqref="C14:C18 M14:M18">
    <cfRule type="notContainsBlanks" dxfId="2" priority="8">
      <formula>LEN(TRIM(C14))&gt;0</formula>
    </cfRule>
  </conditionalFormatting>
  <conditionalFormatting sqref="M14:M18">
    <cfRule type="notContainsBlanks" dxfId="2" priority="9">
      <formula>LEN(TRIM(M14))&gt;0</formula>
    </cfRule>
  </conditionalFormatting>
  <dataValidations>
    <dataValidation type="list" allowBlank="1" showErrorMessage="1" sqref="M14:M18">
      <formula1>'MATCH 3'!$M$57:$M$64</formula1>
    </dataValidation>
    <dataValidation type="list" allowBlank="1" showErrorMessage="1" sqref="I14:I33 I35:I39">
      <formula1>"WIN,LOSS"</formula1>
    </dataValidation>
    <dataValidation type="list" allowBlank="1" showErrorMessage="1" sqref="C14:C18">
      <formula1>'MATCH 3'!$C$57:$C$64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63"/>
    <col customWidth="1" min="3" max="3" width="22.63"/>
    <col customWidth="1" min="4" max="8" width="6.75"/>
    <col customWidth="1" min="9" max="9" width="7.75"/>
    <col customWidth="1" min="10" max="10" width="6.75"/>
    <col customWidth="1" min="11" max="11" width="5.75"/>
    <col customWidth="1" min="12" max="12" width="4.88"/>
    <col customWidth="1" min="13" max="13" width="22.63"/>
    <col customWidth="1" min="14" max="20" width="6.75"/>
  </cols>
  <sheetData>
    <row r="1">
      <c r="A1" s="1"/>
      <c r="B1" s="2"/>
      <c r="C1" s="78" t="s">
        <v>73</v>
      </c>
      <c r="D1" s="2"/>
      <c r="E1" s="2"/>
      <c r="F1" s="2"/>
      <c r="G1" s="2"/>
      <c r="H1" s="2"/>
      <c r="I1" s="2"/>
      <c r="J1" s="2"/>
      <c r="K1" s="2"/>
      <c r="L1" s="2"/>
      <c r="M1" s="28" t="s">
        <v>14</v>
      </c>
      <c r="N1" s="29">
        <f>DATA!F1</f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30" t="s">
        <v>15</v>
      </c>
      <c r="J2" s="18" t="str">
        <f>DATA!K8</f>
        <v/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2" t="str">
        <f>DATA!F8</f>
        <v/>
      </c>
      <c r="C4" s="31" t="str">
        <f>DATA!G8</f>
        <v/>
      </c>
      <c r="I4" s="2"/>
      <c r="J4" s="32" t="s">
        <v>12</v>
      </c>
      <c r="K4" s="2"/>
      <c r="L4" s="22" t="str">
        <f>DATA!I8</f>
        <v/>
      </c>
      <c r="M4" s="31" t="str">
        <f>DATA!J8</f>
        <v/>
      </c>
      <c r="T4" s="2"/>
      <c r="U4" s="2"/>
      <c r="V4" s="2"/>
      <c r="W4" s="2"/>
      <c r="X4" s="2"/>
      <c r="Y4" s="2"/>
      <c r="Z4" s="2"/>
      <c r="AA4" s="2"/>
      <c r="AB4" s="2"/>
    </row>
    <row r="5">
      <c r="A5" s="3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3"/>
      <c r="B6" s="2"/>
      <c r="C6" s="16" t="s">
        <v>16</v>
      </c>
      <c r="D6" s="2"/>
      <c r="E6" s="2"/>
      <c r="F6" s="2"/>
      <c r="G6" s="2"/>
      <c r="H6" s="2"/>
      <c r="I6" s="2"/>
      <c r="J6" s="2"/>
      <c r="K6" s="2"/>
      <c r="L6" s="2"/>
      <c r="M6" s="16" t="s">
        <v>17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34" t="s">
        <v>9</v>
      </c>
      <c r="B7" s="35" t="s">
        <v>18</v>
      </c>
      <c r="C7" s="36" t="s">
        <v>19</v>
      </c>
      <c r="D7" s="36"/>
      <c r="E7" s="36"/>
      <c r="F7" s="36"/>
      <c r="G7" s="37" t="s">
        <v>20</v>
      </c>
      <c r="H7" s="36"/>
      <c r="I7" s="38">
        <f>COUNTIF(I14:I39,G7)</f>
        <v>0</v>
      </c>
      <c r="J7" s="39"/>
      <c r="K7" s="34" t="s">
        <v>9</v>
      </c>
      <c r="L7" s="35" t="s">
        <v>18</v>
      </c>
      <c r="M7" s="36" t="s">
        <v>19</v>
      </c>
      <c r="N7" s="36"/>
      <c r="O7" s="36"/>
      <c r="P7" s="36"/>
      <c r="Q7" s="37" t="s">
        <v>20</v>
      </c>
      <c r="R7" s="37"/>
      <c r="S7" s="38">
        <f>COUNTIF(S14:S39,Q7)</f>
        <v>0</v>
      </c>
      <c r="T7" s="39"/>
      <c r="U7" s="2"/>
      <c r="V7" s="2"/>
      <c r="W7" s="2"/>
      <c r="X7" s="2"/>
      <c r="Y7" s="2"/>
      <c r="Z7" s="2"/>
      <c r="AA7" s="2"/>
      <c r="AB7" s="2"/>
    </row>
    <row r="8" ht="21.75" customHeight="1">
      <c r="A8" s="40"/>
      <c r="B8" s="32" t="str">
        <f t="shared" ref="B8:C8" si="1">B4</f>
        <v/>
      </c>
      <c r="C8" s="3" t="str">
        <f t="shared" si="1"/>
        <v/>
      </c>
      <c r="D8" s="2"/>
      <c r="E8" s="2"/>
      <c r="F8" s="2"/>
      <c r="G8" s="16" t="s">
        <v>21</v>
      </c>
      <c r="H8" s="2"/>
      <c r="I8" s="17">
        <f>COUNTIF(I14:I39,G8)</f>
        <v>0</v>
      </c>
      <c r="J8" s="41"/>
      <c r="K8" s="40"/>
      <c r="L8" s="32" t="str">
        <f t="shared" ref="L8:M8" si="2">L4</f>
        <v/>
      </c>
      <c r="M8" s="3" t="str">
        <f t="shared" si="2"/>
        <v/>
      </c>
      <c r="N8" s="2"/>
      <c r="O8" s="2"/>
      <c r="P8" s="2"/>
      <c r="Q8" s="16" t="s">
        <v>21</v>
      </c>
      <c r="R8" s="16"/>
      <c r="S8" s="17">
        <f>COUNTIF(S14:S39,Q8)</f>
        <v>0</v>
      </c>
      <c r="T8" s="41"/>
      <c r="U8" s="2"/>
      <c r="V8" s="2"/>
      <c r="W8" s="2"/>
      <c r="X8" s="2"/>
      <c r="Y8" s="2"/>
      <c r="Z8" s="2"/>
      <c r="AA8" s="2"/>
      <c r="AB8" s="2"/>
    </row>
    <row r="9" ht="21.75" customHeight="1">
      <c r="A9" s="40"/>
      <c r="B9" s="2"/>
      <c r="C9" s="2"/>
      <c r="D9" s="2"/>
      <c r="E9" s="2"/>
      <c r="F9" s="2"/>
      <c r="G9" s="42" t="s">
        <v>22</v>
      </c>
      <c r="H9" s="2"/>
      <c r="I9" s="16">
        <f>if(I7&gt;=D10,3+((I7-D10)*0.1),if(I7&gt;=D11,1.5+((I7-D11)*0.1),I7*0.1))</f>
        <v>0</v>
      </c>
      <c r="J9" s="41"/>
      <c r="K9" s="40"/>
      <c r="L9" s="2"/>
      <c r="M9" s="2"/>
      <c r="N9" s="2"/>
      <c r="O9" s="2"/>
      <c r="P9" s="2"/>
      <c r="Q9" s="42" t="s">
        <v>22</v>
      </c>
      <c r="R9" s="16"/>
      <c r="S9" s="16">
        <f>if(S7&gt;=N10,3+((S7-N10)*0.1),if(S7&gt;=N11,1.5+((S7-N11)*0.1),S7*0.1))</f>
        <v>0</v>
      </c>
      <c r="T9" s="41"/>
      <c r="U9" s="2"/>
      <c r="V9" s="2"/>
      <c r="W9" s="2"/>
      <c r="X9" s="2"/>
      <c r="Y9" s="2"/>
      <c r="Z9" s="2"/>
      <c r="AA9" s="2"/>
      <c r="AB9" s="2"/>
    </row>
    <row r="10">
      <c r="A10" s="40"/>
      <c r="B10" s="2"/>
      <c r="C10" s="43" t="s">
        <v>23</v>
      </c>
      <c r="D10" s="44">
        <f t="shared" ref="D10:D11" si="3">J47</f>
        <v>13</v>
      </c>
      <c r="E10" s="44" t="s">
        <v>24</v>
      </c>
      <c r="F10" s="44">
        <f>D10-I7</f>
        <v>13</v>
      </c>
      <c r="G10" s="2"/>
      <c r="H10" s="2"/>
      <c r="I10" s="2"/>
      <c r="J10" s="41"/>
      <c r="K10" s="40"/>
      <c r="L10" s="2"/>
      <c r="M10" s="43" t="s">
        <v>23</v>
      </c>
      <c r="N10" s="44">
        <f t="shared" ref="N10:N11" si="4">T47</f>
        <v>13</v>
      </c>
      <c r="O10" s="44" t="s">
        <v>24</v>
      </c>
      <c r="P10" s="44">
        <f>N10-S7</f>
        <v>13</v>
      </c>
      <c r="Q10" s="2"/>
      <c r="R10" s="2"/>
      <c r="S10" s="2"/>
      <c r="T10" s="41"/>
      <c r="U10" s="2"/>
      <c r="V10" s="2"/>
      <c r="W10" s="2"/>
      <c r="X10" s="2"/>
      <c r="Y10" s="2"/>
      <c r="Z10" s="2"/>
      <c r="AA10" s="2"/>
      <c r="AB10" s="2"/>
    </row>
    <row r="11">
      <c r="A11" s="40"/>
      <c r="B11" s="2"/>
      <c r="C11" s="43" t="s">
        <v>25</v>
      </c>
      <c r="D11" s="79">
        <f t="shared" si="3"/>
        <v>9</v>
      </c>
      <c r="E11" s="44" t="s">
        <v>24</v>
      </c>
      <c r="F11" s="44">
        <f>D11-I7</f>
        <v>9</v>
      </c>
      <c r="G11" s="2"/>
      <c r="H11" s="2"/>
      <c r="I11" s="2"/>
      <c r="J11" s="41"/>
      <c r="K11" s="40"/>
      <c r="L11" s="2"/>
      <c r="M11" s="43" t="s">
        <v>25</v>
      </c>
      <c r="N11" s="79">
        <f t="shared" si="4"/>
        <v>9</v>
      </c>
      <c r="O11" s="44" t="s">
        <v>24</v>
      </c>
      <c r="P11" s="44">
        <f>N11-S7</f>
        <v>9</v>
      </c>
      <c r="Q11" s="2"/>
      <c r="R11" s="2"/>
      <c r="S11" s="2"/>
      <c r="T11" s="41"/>
      <c r="U11" s="2"/>
      <c r="V11" s="2"/>
      <c r="W11" s="2"/>
      <c r="X11" s="2"/>
      <c r="Y11" s="2"/>
      <c r="Z11" s="2"/>
      <c r="AA11" s="2"/>
      <c r="AB11" s="2"/>
    </row>
    <row r="12">
      <c r="A12" s="40"/>
      <c r="B12" s="2"/>
      <c r="C12" s="2"/>
      <c r="D12" s="2"/>
      <c r="E12" s="2"/>
      <c r="F12" s="2"/>
      <c r="G12" s="2"/>
      <c r="H12" s="2"/>
      <c r="I12" s="2"/>
      <c r="J12" s="41"/>
      <c r="K12" s="40"/>
      <c r="L12" s="2"/>
      <c r="M12" s="2"/>
      <c r="N12" s="2"/>
      <c r="O12" s="2"/>
      <c r="P12" s="2"/>
      <c r="Q12" s="2"/>
      <c r="R12" s="2"/>
      <c r="S12" s="2"/>
      <c r="T12" s="41"/>
      <c r="U12" s="2"/>
      <c r="V12" s="2"/>
      <c r="W12" s="2"/>
      <c r="X12" s="2"/>
      <c r="Y12" s="2"/>
      <c r="Z12" s="2"/>
      <c r="AA12" s="2"/>
      <c r="AB12" s="2"/>
    </row>
    <row r="13">
      <c r="A13" s="45"/>
      <c r="B13" s="46" t="s">
        <v>26</v>
      </c>
      <c r="C13" s="2" t="s">
        <v>27</v>
      </c>
      <c r="D13" s="47" t="s">
        <v>28</v>
      </c>
      <c r="E13" s="47" t="s">
        <v>29</v>
      </c>
      <c r="F13" s="48" t="s">
        <v>30</v>
      </c>
      <c r="G13" s="48" t="s">
        <v>31</v>
      </c>
      <c r="H13" s="48" t="s">
        <v>32</v>
      </c>
      <c r="I13" s="48" t="s">
        <v>33</v>
      </c>
      <c r="J13" s="49" t="s">
        <v>34</v>
      </c>
      <c r="K13" s="45"/>
      <c r="L13" s="46" t="s">
        <v>26</v>
      </c>
      <c r="M13" s="2" t="s">
        <v>27</v>
      </c>
      <c r="N13" s="47" t="s">
        <v>28</v>
      </c>
      <c r="O13" s="47" t="s">
        <v>29</v>
      </c>
      <c r="P13" s="48" t="s">
        <v>30</v>
      </c>
      <c r="Q13" s="48" t="s">
        <v>31</v>
      </c>
      <c r="R13" s="48" t="s">
        <v>32</v>
      </c>
      <c r="S13" s="48" t="s">
        <v>33</v>
      </c>
      <c r="T13" s="49" t="s">
        <v>34</v>
      </c>
      <c r="U13" s="2"/>
      <c r="V13" s="2"/>
      <c r="W13" s="2"/>
      <c r="X13" s="2"/>
      <c r="Y13" s="2"/>
      <c r="Z13" s="2"/>
      <c r="AA13" s="2"/>
      <c r="AB13" s="2"/>
    </row>
    <row r="14">
      <c r="A14" s="50">
        <v>1.0</v>
      </c>
      <c r="B14" s="2" t="s">
        <v>35</v>
      </c>
      <c r="C14" s="56"/>
      <c r="D14" s="53"/>
      <c r="E14" s="53"/>
      <c r="F14" s="54">
        <f t="shared" ref="F14:F18" si="5">IFERROR(VLOOKUP(C14,$C$57:$D$64,2,0), 0)</f>
        <v>0</v>
      </c>
      <c r="G14" s="52"/>
      <c r="H14" s="53"/>
      <c r="I14" s="27"/>
      <c r="J14" s="55">
        <f>COUNTIF(I14,"WIN")</f>
        <v>0</v>
      </c>
      <c r="K14" s="50">
        <v>1.0</v>
      </c>
      <c r="L14" s="2"/>
      <c r="M14" s="56"/>
      <c r="N14" s="53"/>
      <c r="O14" s="53"/>
      <c r="P14" s="54">
        <f t="shared" ref="P14:P18" si="6">IFERROR(VLOOKUP(M14,$M$57:$N$64,2,0), 0)</f>
        <v>0</v>
      </c>
      <c r="Q14" s="52"/>
      <c r="R14" s="52"/>
      <c r="S14" s="2" t="str">
        <f t="shared" ref="S14:S28" si="7">IF(I14="WIN","LOSS",IF(I14="LOSS","WIN",""))</f>
        <v/>
      </c>
      <c r="T14" s="55">
        <f>COUNTIF(S14,"WIN")</f>
        <v>0</v>
      </c>
      <c r="U14" s="2"/>
      <c r="V14" s="2"/>
      <c r="W14" s="2"/>
      <c r="X14" s="2"/>
      <c r="Y14" s="2"/>
      <c r="Z14" s="2"/>
      <c r="AA14" s="2"/>
      <c r="AB14" s="2"/>
    </row>
    <row r="15">
      <c r="A15" s="50">
        <v>2.0</v>
      </c>
      <c r="B15" s="2" t="s">
        <v>35</v>
      </c>
      <c r="C15" s="57"/>
      <c r="D15" s="52"/>
      <c r="E15" s="53"/>
      <c r="F15" s="54">
        <f t="shared" si="5"/>
        <v>0</v>
      </c>
      <c r="G15" s="52"/>
      <c r="H15" s="53"/>
      <c r="I15" s="27"/>
      <c r="J15" s="41" t="str">
        <f t="shared" ref="J15:J28" si="8">IF(I15&lt;&gt;"", COUNTIF(I15,"WIN")+J14,"")</f>
        <v/>
      </c>
      <c r="K15" s="50">
        <v>2.0</v>
      </c>
      <c r="L15" s="2"/>
      <c r="M15" s="57"/>
      <c r="N15" s="52"/>
      <c r="O15" s="53"/>
      <c r="P15" s="54">
        <f t="shared" si="6"/>
        <v>0</v>
      </c>
      <c r="Q15" s="52"/>
      <c r="R15" s="53"/>
      <c r="S15" s="2" t="str">
        <f t="shared" si="7"/>
        <v/>
      </c>
      <c r="T15" s="41" t="str">
        <f t="shared" ref="T15:T33" si="9">IF(S15&lt;&gt;"", COUNTIF(S15,"WIN")+T14,"")</f>
        <v/>
      </c>
      <c r="U15" s="2"/>
      <c r="V15" s="2"/>
      <c r="W15" s="2"/>
      <c r="X15" s="2"/>
      <c r="Y15" s="2"/>
      <c r="Z15" s="2"/>
      <c r="AA15" s="2"/>
      <c r="AB15" s="2"/>
    </row>
    <row r="16">
      <c r="A16" s="50">
        <v>3.0</v>
      </c>
      <c r="B16" s="2" t="s">
        <v>35</v>
      </c>
      <c r="C16" s="57"/>
      <c r="D16" s="53"/>
      <c r="E16" s="53"/>
      <c r="F16" s="54">
        <f t="shared" si="5"/>
        <v>0</v>
      </c>
      <c r="G16" s="53"/>
      <c r="H16" s="53"/>
      <c r="I16" s="27"/>
      <c r="J16" s="41" t="str">
        <f t="shared" si="8"/>
        <v/>
      </c>
      <c r="K16" s="50">
        <v>3.0</v>
      </c>
      <c r="L16" s="2"/>
      <c r="M16" s="57"/>
      <c r="N16" s="52"/>
      <c r="O16" s="53"/>
      <c r="P16" s="54">
        <f t="shared" si="6"/>
        <v>0</v>
      </c>
      <c r="Q16" s="53"/>
      <c r="R16" s="53"/>
      <c r="S16" s="2" t="str">
        <f t="shared" si="7"/>
        <v/>
      </c>
      <c r="T16" s="41" t="str">
        <f t="shared" si="9"/>
        <v/>
      </c>
      <c r="U16" s="2"/>
      <c r="V16" s="2"/>
      <c r="W16" s="2"/>
      <c r="X16" s="2"/>
      <c r="Y16" s="2"/>
      <c r="Z16" s="2"/>
      <c r="AA16" s="2"/>
      <c r="AB16" s="2"/>
    </row>
    <row r="17">
      <c r="A17" s="50">
        <v>4.0</v>
      </c>
      <c r="B17" s="2" t="s">
        <v>35</v>
      </c>
      <c r="C17" s="57"/>
      <c r="D17" s="52"/>
      <c r="E17" s="53"/>
      <c r="F17" s="54">
        <f t="shared" si="5"/>
        <v>0</v>
      </c>
      <c r="G17" s="52"/>
      <c r="H17" s="53"/>
      <c r="I17" s="27"/>
      <c r="J17" s="41" t="str">
        <f t="shared" si="8"/>
        <v/>
      </c>
      <c r="K17" s="50">
        <v>4.0</v>
      </c>
      <c r="L17" s="2"/>
      <c r="M17" s="57"/>
      <c r="N17" s="52"/>
      <c r="O17" s="53"/>
      <c r="P17" s="54">
        <f t="shared" si="6"/>
        <v>0</v>
      </c>
      <c r="Q17" s="52"/>
      <c r="R17" s="53"/>
      <c r="S17" s="2" t="str">
        <f t="shared" si="7"/>
        <v/>
      </c>
      <c r="T17" s="41" t="str">
        <f t="shared" si="9"/>
        <v/>
      </c>
      <c r="U17" s="2"/>
      <c r="V17" s="2"/>
      <c r="W17" s="2"/>
      <c r="X17" s="2"/>
      <c r="Y17" s="2"/>
      <c r="Z17" s="2"/>
      <c r="AA17" s="2"/>
      <c r="AB17" s="2"/>
    </row>
    <row r="18">
      <c r="A18" s="50">
        <v>5.0</v>
      </c>
      <c r="B18" s="2" t="s">
        <v>35</v>
      </c>
      <c r="C18" s="58"/>
      <c r="D18" s="53"/>
      <c r="E18" s="53"/>
      <c r="F18" s="54">
        <f t="shared" si="5"/>
        <v>0</v>
      </c>
      <c r="G18" s="52"/>
      <c r="H18" s="53"/>
      <c r="I18" s="27"/>
      <c r="J18" s="59" t="str">
        <f t="shared" si="8"/>
        <v/>
      </c>
      <c r="K18" s="50">
        <v>5.0</v>
      </c>
      <c r="L18" s="2"/>
      <c r="M18" s="58"/>
      <c r="N18" s="52"/>
      <c r="O18" s="53"/>
      <c r="P18" s="54">
        <f t="shared" si="6"/>
        <v>0</v>
      </c>
      <c r="Q18" s="53"/>
      <c r="R18" s="53"/>
      <c r="S18" s="2" t="str">
        <f t="shared" si="7"/>
        <v/>
      </c>
      <c r="T18" s="59" t="str">
        <f t="shared" si="9"/>
        <v/>
      </c>
      <c r="U18" s="2"/>
      <c r="V18" s="2"/>
      <c r="W18" s="2"/>
      <c r="X18" s="2"/>
      <c r="Y18" s="2"/>
      <c r="Z18" s="2"/>
      <c r="AA18" s="2"/>
      <c r="AB18" s="2"/>
    </row>
    <row r="19">
      <c r="A19" s="60">
        <v>1.0</v>
      </c>
      <c r="B19" s="61"/>
      <c r="C19" s="2" t="str">
        <f t="shared" ref="C19:C23" si="10">C14</f>
        <v/>
      </c>
      <c r="D19" s="63"/>
      <c r="E19" s="63"/>
      <c r="F19" s="64">
        <f>SUM(F14:F18)</f>
        <v>0</v>
      </c>
      <c r="G19" s="63"/>
      <c r="H19" s="63"/>
      <c r="I19" s="65"/>
      <c r="J19" s="41" t="str">
        <f t="shared" si="8"/>
        <v/>
      </c>
      <c r="K19" s="60">
        <v>2.0</v>
      </c>
      <c r="L19" s="61" t="s">
        <v>35</v>
      </c>
      <c r="M19" s="66" t="str">
        <f t="shared" ref="M19:M22" si="11">M15</f>
        <v/>
      </c>
      <c r="N19" s="62"/>
      <c r="O19" s="63"/>
      <c r="P19" s="64">
        <f>SUM(P14:P18)</f>
        <v>0</v>
      </c>
      <c r="Q19" s="63"/>
      <c r="R19" s="63"/>
      <c r="S19" s="61" t="str">
        <f t="shared" si="7"/>
        <v/>
      </c>
      <c r="T19" s="41" t="str">
        <f t="shared" si="9"/>
        <v/>
      </c>
      <c r="U19" s="2"/>
      <c r="V19" s="2"/>
      <c r="W19" s="2"/>
      <c r="X19" s="2"/>
      <c r="Y19" s="2"/>
      <c r="Z19" s="2"/>
      <c r="AA19" s="2"/>
      <c r="AB19" s="2"/>
    </row>
    <row r="20">
      <c r="A20" s="50">
        <v>2.0</v>
      </c>
      <c r="B20" s="2"/>
      <c r="C20" s="2" t="str">
        <f t="shared" si="10"/>
        <v/>
      </c>
      <c r="D20" s="52"/>
      <c r="E20" s="53"/>
      <c r="F20" s="2"/>
      <c r="G20" s="53"/>
      <c r="H20" s="53"/>
      <c r="I20" s="27"/>
      <c r="J20" s="41" t="str">
        <f t="shared" si="8"/>
        <v/>
      </c>
      <c r="K20" s="50">
        <v>3.0</v>
      </c>
      <c r="L20" s="2" t="s">
        <v>35</v>
      </c>
      <c r="M20" s="24" t="str">
        <f t="shared" si="11"/>
        <v/>
      </c>
      <c r="N20" s="52"/>
      <c r="O20" s="53"/>
      <c r="P20" s="2"/>
      <c r="Q20" s="53"/>
      <c r="R20" s="53"/>
      <c r="S20" s="2" t="str">
        <f t="shared" si="7"/>
        <v/>
      </c>
      <c r="T20" s="41" t="str">
        <f t="shared" si="9"/>
        <v/>
      </c>
      <c r="U20" s="2"/>
      <c r="V20" s="2"/>
      <c r="W20" s="2"/>
      <c r="X20" s="2"/>
      <c r="Y20" s="2"/>
      <c r="Z20" s="2"/>
      <c r="AA20" s="2"/>
      <c r="AB20" s="2"/>
    </row>
    <row r="21">
      <c r="A21" s="50">
        <v>3.0</v>
      </c>
      <c r="B21" s="2"/>
      <c r="C21" s="2" t="str">
        <f t="shared" si="10"/>
        <v/>
      </c>
      <c r="D21" s="53"/>
      <c r="E21" s="53"/>
      <c r="F21" s="2"/>
      <c r="G21" s="52"/>
      <c r="H21" s="53"/>
      <c r="I21" s="27"/>
      <c r="J21" s="41" t="str">
        <f t="shared" si="8"/>
        <v/>
      </c>
      <c r="K21" s="50">
        <v>4.0</v>
      </c>
      <c r="L21" s="2" t="s">
        <v>35</v>
      </c>
      <c r="M21" s="24" t="str">
        <f t="shared" si="11"/>
        <v/>
      </c>
      <c r="N21" s="52"/>
      <c r="O21" s="53"/>
      <c r="P21" s="2"/>
      <c r="Q21" s="52"/>
      <c r="R21" s="53"/>
      <c r="S21" s="2" t="str">
        <f t="shared" si="7"/>
        <v/>
      </c>
      <c r="T21" s="41" t="str">
        <f t="shared" si="9"/>
        <v/>
      </c>
      <c r="U21" s="2"/>
      <c r="V21" s="2"/>
      <c r="W21" s="2"/>
      <c r="X21" s="2"/>
      <c r="Y21" s="2"/>
      <c r="Z21" s="2"/>
      <c r="AA21" s="2"/>
      <c r="AB21" s="2"/>
    </row>
    <row r="22">
      <c r="A22" s="50">
        <v>4.0</v>
      </c>
      <c r="B22" s="2"/>
      <c r="C22" s="2" t="str">
        <f t="shared" si="10"/>
        <v/>
      </c>
      <c r="D22" s="52"/>
      <c r="E22" s="53"/>
      <c r="F22" s="2"/>
      <c r="G22" s="53"/>
      <c r="H22" s="53"/>
      <c r="I22" s="27"/>
      <c r="J22" s="41" t="str">
        <f t="shared" si="8"/>
        <v/>
      </c>
      <c r="K22" s="50">
        <v>5.0</v>
      </c>
      <c r="L22" s="2" t="s">
        <v>35</v>
      </c>
      <c r="M22" s="24" t="str">
        <f t="shared" si="11"/>
        <v/>
      </c>
      <c r="N22" s="52"/>
      <c r="O22" s="53"/>
      <c r="P22" s="2"/>
      <c r="Q22" s="53"/>
      <c r="R22" s="53"/>
      <c r="S22" s="2" t="str">
        <f t="shared" si="7"/>
        <v/>
      </c>
      <c r="T22" s="41" t="str">
        <f t="shared" si="9"/>
        <v/>
      </c>
      <c r="U22" s="2"/>
      <c r="V22" s="2"/>
      <c r="W22" s="2"/>
      <c r="X22" s="2"/>
      <c r="Y22" s="2"/>
      <c r="Z22" s="2"/>
      <c r="AA22" s="2"/>
      <c r="AB22" s="2"/>
    </row>
    <row r="23">
      <c r="A23" s="50">
        <v>5.0</v>
      </c>
      <c r="B23" s="2"/>
      <c r="C23" s="2" t="str">
        <f t="shared" si="10"/>
        <v/>
      </c>
      <c r="D23" s="53"/>
      <c r="E23" s="53"/>
      <c r="F23" s="2"/>
      <c r="G23" s="53"/>
      <c r="H23" s="53"/>
      <c r="I23" s="27"/>
      <c r="J23" s="59" t="str">
        <f t="shared" si="8"/>
        <v/>
      </c>
      <c r="K23" s="67">
        <v>1.0</v>
      </c>
      <c r="L23" s="2" t="s">
        <v>35</v>
      </c>
      <c r="M23" s="68" t="str">
        <f>M14</f>
        <v/>
      </c>
      <c r="N23" s="53"/>
      <c r="O23" s="53"/>
      <c r="P23" s="2"/>
      <c r="Q23" s="53"/>
      <c r="R23" s="53"/>
      <c r="S23" s="2" t="str">
        <f t="shared" si="7"/>
        <v/>
      </c>
      <c r="T23" s="59" t="str">
        <f t="shared" si="9"/>
        <v/>
      </c>
      <c r="U23" s="2"/>
      <c r="V23" s="2"/>
      <c r="W23" s="2"/>
      <c r="X23" s="2"/>
      <c r="Y23" s="2"/>
      <c r="Z23" s="2"/>
      <c r="AA23" s="2"/>
      <c r="AB23" s="2"/>
    </row>
    <row r="24">
      <c r="A24" s="60">
        <v>1.0</v>
      </c>
      <c r="B24" s="61" t="s">
        <v>35</v>
      </c>
      <c r="C24" s="61" t="str">
        <f t="shared" ref="C24:C28" si="12">C14</f>
        <v/>
      </c>
      <c r="D24" s="63"/>
      <c r="E24" s="63"/>
      <c r="F24" s="61"/>
      <c r="G24" s="62"/>
      <c r="H24" s="62"/>
      <c r="I24" s="65"/>
      <c r="J24" s="41" t="str">
        <f t="shared" si="8"/>
        <v/>
      </c>
      <c r="K24" s="60">
        <v>3.0</v>
      </c>
      <c r="L24" s="61"/>
      <c r="M24" s="24" t="str">
        <f t="shared" ref="M24:M26" si="13">M16</f>
        <v/>
      </c>
      <c r="N24" s="63"/>
      <c r="O24" s="63"/>
      <c r="P24" s="61"/>
      <c r="Q24" s="63"/>
      <c r="R24" s="63"/>
      <c r="S24" s="61" t="str">
        <f t="shared" si="7"/>
        <v/>
      </c>
      <c r="T24" s="41" t="str">
        <f t="shared" si="9"/>
        <v/>
      </c>
      <c r="U24" s="2"/>
      <c r="V24" s="2"/>
      <c r="W24" s="2"/>
      <c r="X24" s="2"/>
      <c r="Y24" s="2"/>
      <c r="Z24" s="2"/>
      <c r="AA24" s="2"/>
      <c r="AB24" s="2"/>
    </row>
    <row r="25">
      <c r="A25" s="50">
        <v>2.0</v>
      </c>
      <c r="B25" s="2" t="s">
        <v>35</v>
      </c>
      <c r="C25" s="2" t="str">
        <f t="shared" si="12"/>
        <v/>
      </c>
      <c r="D25" s="52"/>
      <c r="E25" s="53"/>
      <c r="F25" s="2"/>
      <c r="G25" s="53"/>
      <c r="H25" s="52"/>
      <c r="I25" s="27"/>
      <c r="J25" s="41" t="str">
        <f t="shared" si="8"/>
        <v/>
      </c>
      <c r="K25" s="50">
        <v>4.0</v>
      </c>
      <c r="L25" s="2"/>
      <c r="M25" s="24" t="str">
        <f t="shared" si="13"/>
        <v/>
      </c>
      <c r="N25" s="52"/>
      <c r="O25" s="53"/>
      <c r="P25" s="2"/>
      <c r="Q25" s="53"/>
      <c r="R25" s="53"/>
      <c r="S25" s="2" t="str">
        <f t="shared" si="7"/>
        <v/>
      </c>
      <c r="T25" s="41" t="str">
        <f t="shared" si="9"/>
        <v/>
      </c>
      <c r="U25" s="2"/>
      <c r="V25" s="2"/>
      <c r="W25" s="2"/>
      <c r="X25" s="2"/>
      <c r="Y25" s="2"/>
      <c r="Z25" s="2"/>
      <c r="AA25" s="2"/>
      <c r="AB25" s="2"/>
    </row>
    <row r="26">
      <c r="A26" s="50">
        <v>3.0</v>
      </c>
      <c r="B26" s="2" t="s">
        <v>35</v>
      </c>
      <c r="C26" s="2" t="str">
        <f t="shared" si="12"/>
        <v/>
      </c>
      <c r="D26" s="53"/>
      <c r="E26" s="53"/>
      <c r="F26" s="2"/>
      <c r="G26" s="53"/>
      <c r="H26" s="53"/>
      <c r="I26" s="27"/>
      <c r="J26" s="41" t="str">
        <f t="shared" si="8"/>
        <v/>
      </c>
      <c r="K26" s="50">
        <v>5.0</v>
      </c>
      <c r="L26" s="2"/>
      <c r="M26" s="24" t="str">
        <f t="shared" si="13"/>
        <v/>
      </c>
      <c r="N26" s="52"/>
      <c r="O26" s="53"/>
      <c r="P26" s="2"/>
      <c r="Q26" s="53"/>
      <c r="R26" s="53"/>
      <c r="S26" s="2" t="str">
        <f t="shared" si="7"/>
        <v/>
      </c>
      <c r="T26" s="41" t="str">
        <f t="shared" si="9"/>
        <v/>
      </c>
      <c r="U26" s="2"/>
      <c r="V26" s="2"/>
      <c r="W26" s="2"/>
      <c r="X26" s="2"/>
      <c r="Y26" s="2"/>
      <c r="Z26" s="2"/>
      <c r="AA26" s="2"/>
      <c r="AB26" s="2"/>
    </row>
    <row r="27">
      <c r="A27" s="50">
        <v>4.0</v>
      </c>
      <c r="B27" s="2" t="s">
        <v>35</v>
      </c>
      <c r="C27" s="2" t="str">
        <f t="shared" si="12"/>
        <v/>
      </c>
      <c r="D27" s="53"/>
      <c r="E27" s="53"/>
      <c r="F27" s="2"/>
      <c r="G27" s="53"/>
      <c r="H27" s="53"/>
      <c r="I27" s="27"/>
      <c r="J27" s="41" t="str">
        <f t="shared" si="8"/>
        <v/>
      </c>
      <c r="K27" s="67">
        <v>1.0</v>
      </c>
      <c r="L27" s="2"/>
      <c r="M27" s="24" t="str">
        <f t="shared" ref="M27:M28" si="14">M14</f>
        <v/>
      </c>
      <c r="N27" s="53"/>
      <c r="O27" s="53"/>
      <c r="P27" s="2"/>
      <c r="Q27" s="53"/>
      <c r="R27" s="53"/>
      <c r="S27" s="2" t="str">
        <f t="shared" si="7"/>
        <v/>
      </c>
      <c r="T27" s="41" t="str">
        <f t="shared" si="9"/>
        <v/>
      </c>
      <c r="U27" s="2"/>
      <c r="V27" s="2"/>
      <c r="W27" s="2"/>
      <c r="X27" s="2"/>
      <c r="Y27" s="2"/>
      <c r="Z27" s="2"/>
      <c r="AA27" s="2"/>
      <c r="AB27" s="2"/>
    </row>
    <row r="28">
      <c r="A28" s="50">
        <v>5.0</v>
      </c>
      <c r="B28" s="2" t="s">
        <v>35</v>
      </c>
      <c r="C28" s="2" t="str">
        <f t="shared" si="12"/>
        <v/>
      </c>
      <c r="D28" s="53"/>
      <c r="E28" s="53"/>
      <c r="F28" s="2"/>
      <c r="G28" s="53"/>
      <c r="H28" s="52"/>
      <c r="I28" s="27"/>
      <c r="J28" s="59" t="str">
        <f t="shared" si="8"/>
        <v/>
      </c>
      <c r="K28" s="67">
        <v>2.0</v>
      </c>
      <c r="L28" s="2"/>
      <c r="M28" s="68" t="str">
        <f t="shared" si="14"/>
        <v/>
      </c>
      <c r="N28" s="53"/>
      <c r="O28" s="53"/>
      <c r="P28" s="2"/>
      <c r="Q28" s="53"/>
      <c r="R28" s="53"/>
      <c r="S28" s="2" t="str">
        <f t="shared" si="7"/>
        <v/>
      </c>
      <c r="T28" s="59" t="str">
        <f t="shared" si="9"/>
        <v/>
      </c>
      <c r="U28" s="2"/>
      <c r="V28" s="2"/>
      <c r="W28" s="2"/>
      <c r="X28" s="2"/>
      <c r="Y28" s="2"/>
      <c r="Z28" s="2"/>
      <c r="AA28" s="2"/>
      <c r="AB28" s="2"/>
    </row>
    <row r="29">
      <c r="A29" s="60">
        <v>1.0</v>
      </c>
      <c r="B29" s="61"/>
      <c r="C29" s="61" t="str">
        <f t="shared" ref="C29:C33" si="15">C14</f>
        <v/>
      </c>
      <c r="D29" s="63"/>
      <c r="E29" s="63"/>
      <c r="F29" s="61"/>
      <c r="G29" s="63"/>
      <c r="H29" s="63"/>
      <c r="I29" s="27"/>
      <c r="J29" s="41" t="str">
        <f>IF(#REF!&lt;&gt;"", COUNTIF(#REF!,"WIN")+J28,"")</f>
        <v>#REF!</v>
      </c>
      <c r="K29" s="60">
        <v>4.0</v>
      </c>
      <c r="L29" s="61" t="s">
        <v>35</v>
      </c>
      <c r="M29" s="24" t="str">
        <f t="shared" ref="M29:M30" si="16">M17</f>
        <v/>
      </c>
      <c r="N29" s="63"/>
      <c r="O29" s="63"/>
      <c r="P29" s="61"/>
      <c r="Q29" s="63"/>
      <c r="R29" s="63"/>
      <c r="S29" s="61" t="str">
        <f>IF(#REF!="WIN","LOSS",IF(#REF!="LOSS","WIN",""))</f>
        <v>#REF!</v>
      </c>
      <c r="T29" s="41" t="str">
        <f t="shared" si="9"/>
        <v>#REF!</v>
      </c>
      <c r="U29" s="2"/>
      <c r="V29" s="2"/>
      <c r="W29" s="2"/>
      <c r="X29" s="2"/>
      <c r="Y29" s="2"/>
      <c r="Z29" s="2"/>
      <c r="AA29" s="2"/>
      <c r="AB29" s="2"/>
    </row>
    <row r="30">
      <c r="A30" s="50">
        <v>2.0</v>
      </c>
      <c r="B30" s="2"/>
      <c r="C30" s="2" t="str">
        <f t="shared" si="15"/>
        <v/>
      </c>
      <c r="D30" s="52"/>
      <c r="E30" s="53"/>
      <c r="F30" s="2"/>
      <c r="G30" s="53"/>
      <c r="H30" s="53"/>
      <c r="I30" s="27"/>
      <c r="J30" s="41" t="str">
        <f t="shared" ref="J30:J31" si="17">IF(I30&lt;&gt;"", COUNTIF(I30,"WIN")+J29,"")</f>
        <v/>
      </c>
      <c r="K30" s="50">
        <v>5.0</v>
      </c>
      <c r="L30" s="2" t="s">
        <v>35</v>
      </c>
      <c r="M30" s="24" t="str">
        <f t="shared" si="16"/>
        <v/>
      </c>
      <c r="N30" s="52"/>
      <c r="O30" s="53"/>
      <c r="P30" s="2"/>
      <c r="Q30" s="52"/>
      <c r="R30" s="52"/>
      <c r="S30" s="2" t="str">
        <f t="shared" ref="S30:S31" si="18">IF(I30="WIN","LOSS",IF(I30="LOSS","WIN",""))</f>
        <v/>
      </c>
      <c r="T30" s="41" t="str">
        <f t="shared" si="9"/>
        <v/>
      </c>
      <c r="U30" s="2"/>
      <c r="V30" s="2"/>
      <c r="W30" s="2"/>
      <c r="X30" s="2"/>
      <c r="Y30" s="2"/>
      <c r="Z30" s="2"/>
      <c r="AA30" s="2"/>
      <c r="AB30" s="2"/>
    </row>
    <row r="31">
      <c r="A31" s="50">
        <v>3.0</v>
      </c>
      <c r="B31" s="2"/>
      <c r="C31" s="2" t="str">
        <f t="shared" si="15"/>
        <v/>
      </c>
      <c r="D31" s="52"/>
      <c r="E31" s="53"/>
      <c r="F31" s="2"/>
      <c r="G31" s="53"/>
      <c r="H31" s="53"/>
      <c r="I31" s="27"/>
      <c r="J31" s="41" t="str">
        <f t="shared" si="17"/>
        <v/>
      </c>
      <c r="K31" s="67">
        <v>1.0</v>
      </c>
      <c r="L31" s="2" t="s">
        <v>35</v>
      </c>
      <c r="M31" s="24" t="str">
        <f t="shared" ref="M31:M33" si="19">M14</f>
        <v/>
      </c>
      <c r="N31" s="53"/>
      <c r="O31" s="53"/>
      <c r="P31" s="2"/>
      <c r="Q31" s="53"/>
      <c r="R31" s="52"/>
      <c r="S31" s="2" t="str">
        <f t="shared" si="18"/>
        <v/>
      </c>
      <c r="T31" s="41" t="str">
        <f t="shared" si="9"/>
        <v/>
      </c>
      <c r="U31" s="2"/>
      <c r="V31" s="2"/>
      <c r="W31" s="2"/>
      <c r="X31" s="2"/>
      <c r="Y31" s="2"/>
      <c r="Z31" s="2"/>
      <c r="AA31" s="2"/>
      <c r="AB31" s="2"/>
    </row>
    <row r="32">
      <c r="A32" s="50">
        <v>4.0</v>
      </c>
      <c r="B32" s="2"/>
      <c r="C32" s="2" t="str">
        <f t="shared" si="15"/>
        <v/>
      </c>
      <c r="D32" s="52"/>
      <c r="E32" s="53"/>
      <c r="F32" s="2"/>
      <c r="G32" s="53"/>
      <c r="H32" s="53"/>
      <c r="I32" s="83"/>
      <c r="J32" s="41" t="str">
        <f>IF(I29&lt;&gt;"", COUNTIF(I29,"WIN")+J31,"")</f>
        <v/>
      </c>
      <c r="K32" s="67">
        <v>2.0</v>
      </c>
      <c r="L32" s="2" t="s">
        <v>35</v>
      </c>
      <c r="M32" s="24" t="str">
        <f t="shared" si="19"/>
        <v/>
      </c>
      <c r="N32" s="53"/>
      <c r="O32" s="53"/>
      <c r="P32" s="2"/>
      <c r="Q32" s="53"/>
      <c r="R32" s="53"/>
      <c r="S32" s="2" t="str">
        <f>IF(I29="WIN","LOSS",IF(I29="LOSS","WIN",""))</f>
        <v/>
      </c>
      <c r="T32" s="41" t="str">
        <f t="shared" si="9"/>
        <v/>
      </c>
      <c r="U32" s="2"/>
      <c r="V32" s="2"/>
      <c r="W32" s="2"/>
      <c r="X32" s="2"/>
      <c r="Y32" s="2"/>
      <c r="Z32" s="2"/>
      <c r="AA32" s="2"/>
      <c r="AB32" s="2"/>
    </row>
    <row r="33">
      <c r="A33" s="50">
        <v>5.0</v>
      </c>
      <c r="B33" s="2"/>
      <c r="C33" s="2" t="str">
        <f t="shared" si="15"/>
        <v/>
      </c>
      <c r="D33" s="53"/>
      <c r="E33" s="53"/>
      <c r="F33" s="2"/>
      <c r="G33" s="53"/>
      <c r="H33" s="53"/>
      <c r="I33" s="27"/>
      <c r="J33" s="41" t="str">
        <f>IF(I33&lt;&gt;"", COUNTIF(I33,"WIN")+J32,"")</f>
        <v/>
      </c>
      <c r="K33" s="67">
        <v>3.0</v>
      </c>
      <c r="L33" s="2" t="s">
        <v>35</v>
      </c>
      <c r="M33" s="68" t="str">
        <f t="shared" si="19"/>
        <v/>
      </c>
      <c r="N33" s="53"/>
      <c r="O33" s="53"/>
      <c r="P33" s="2"/>
      <c r="Q33" s="52"/>
      <c r="R33" s="53"/>
      <c r="S33" s="2" t="str">
        <f>IF(I33="WIN","LOSS",IF(I33="LOSS","WIN",""))</f>
        <v/>
      </c>
      <c r="T33" s="41" t="str">
        <f t="shared" si="9"/>
        <v/>
      </c>
      <c r="U33" s="2"/>
      <c r="V33" s="2"/>
      <c r="W33" s="2"/>
      <c r="X33" s="2"/>
      <c r="Y33" s="2"/>
      <c r="Z33" s="2"/>
      <c r="AA33" s="2"/>
      <c r="AB33" s="2"/>
    </row>
    <row r="34">
      <c r="A34" s="70"/>
      <c r="B34" s="61"/>
      <c r="C34" s="61"/>
      <c r="D34" s="61"/>
      <c r="E34" s="61"/>
      <c r="F34" s="61"/>
      <c r="G34" s="61"/>
      <c r="H34" s="61"/>
      <c r="I34" s="61"/>
      <c r="J34" s="71"/>
      <c r="K34" s="70"/>
      <c r="L34" s="61"/>
      <c r="M34" s="68"/>
      <c r="N34" s="61"/>
      <c r="O34" s="61"/>
      <c r="P34" s="61"/>
      <c r="Q34" s="61"/>
      <c r="R34" s="61"/>
      <c r="S34" s="61"/>
      <c r="T34" s="71"/>
      <c r="U34" s="2"/>
      <c r="V34" s="2"/>
      <c r="W34" s="2"/>
      <c r="X34" s="2"/>
      <c r="Y34" s="2"/>
      <c r="Z34" s="2"/>
      <c r="AA34" s="2"/>
      <c r="AB34" s="2"/>
    </row>
    <row r="35">
      <c r="A35" s="60">
        <v>1.0</v>
      </c>
      <c r="B35" s="61" t="s">
        <v>35</v>
      </c>
      <c r="C35" s="61" t="str">
        <f t="shared" ref="C35:C39" si="20">C14</f>
        <v/>
      </c>
      <c r="D35" s="63"/>
      <c r="E35" s="63"/>
      <c r="F35" s="61"/>
      <c r="G35" s="62"/>
      <c r="H35" s="63"/>
      <c r="I35" s="65"/>
      <c r="J35" s="72">
        <f t="shared" ref="J35:J39" si="21">COUNTIFS($C$14:$C$39,C35,$I$14:$I$39,"WIN")</f>
        <v>0</v>
      </c>
      <c r="K35" s="60">
        <v>5.0</v>
      </c>
      <c r="L35" s="61"/>
      <c r="M35" s="24" t="str">
        <f>M18</f>
        <v/>
      </c>
      <c r="N35" s="62"/>
      <c r="O35" s="63"/>
      <c r="P35" s="61"/>
      <c r="Q35" s="63"/>
      <c r="R35" s="63"/>
      <c r="S35" s="61" t="str">
        <f t="shared" ref="S35:S39" si="22">IF(I35="WIN","LOSS",IF(I35="LOSS","WIN",""))</f>
        <v/>
      </c>
      <c r="T35" s="72">
        <f t="shared" ref="T35:T39" si="23">COUNTIFS($M$14:$M$39,M35,$S$14:$S$39,"WIN")</f>
        <v>0</v>
      </c>
      <c r="U35" s="2"/>
      <c r="V35" s="2"/>
      <c r="W35" s="2"/>
      <c r="X35" s="2"/>
      <c r="Y35" s="2"/>
      <c r="Z35" s="2"/>
      <c r="AA35" s="2"/>
      <c r="AB35" s="2"/>
    </row>
    <row r="36">
      <c r="A36" s="50">
        <v>2.0</v>
      </c>
      <c r="B36" s="2"/>
      <c r="C36" s="2" t="str">
        <f t="shared" si="20"/>
        <v/>
      </c>
      <c r="D36" s="52"/>
      <c r="E36" s="53"/>
      <c r="F36" s="2"/>
      <c r="G36" s="53"/>
      <c r="H36" s="53"/>
      <c r="I36" s="27"/>
      <c r="J36" s="55">
        <f t="shared" si="21"/>
        <v>0</v>
      </c>
      <c r="K36" s="67">
        <v>1.0</v>
      </c>
      <c r="L36" s="2" t="s">
        <v>35</v>
      </c>
      <c r="M36" s="24" t="str">
        <f t="shared" ref="M36:M39" si="24">M14</f>
        <v/>
      </c>
      <c r="N36" s="52"/>
      <c r="O36" s="53"/>
      <c r="P36" s="2"/>
      <c r="Q36" s="52"/>
      <c r="R36" s="53"/>
      <c r="S36" s="2" t="str">
        <f t="shared" si="22"/>
        <v/>
      </c>
      <c r="T36" s="55">
        <f t="shared" si="23"/>
        <v>0</v>
      </c>
      <c r="U36" s="2"/>
      <c r="V36" s="2"/>
      <c r="W36" s="2"/>
      <c r="X36" s="2"/>
      <c r="Y36" s="2"/>
      <c r="Z36" s="2"/>
      <c r="AA36" s="2"/>
      <c r="AB36" s="2"/>
    </row>
    <row r="37">
      <c r="A37" s="50">
        <v>3.0</v>
      </c>
      <c r="B37" s="2" t="s">
        <v>35</v>
      </c>
      <c r="C37" s="2" t="str">
        <f t="shared" si="20"/>
        <v/>
      </c>
      <c r="D37" s="52"/>
      <c r="E37" s="53"/>
      <c r="F37" s="2"/>
      <c r="G37" s="53"/>
      <c r="H37" s="52"/>
      <c r="I37" s="27"/>
      <c r="J37" s="55">
        <f t="shared" si="21"/>
        <v>0</v>
      </c>
      <c r="K37" s="67">
        <v>2.0</v>
      </c>
      <c r="L37" s="2"/>
      <c r="M37" s="24" t="str">
        <f t="shared" si="24"/>
        <v/>
      </c>
      <c r="N37" s="52"/>
      <c r="O37" s="53"/>
      <c r="P37" s="2"/>
      <c r="Q37" s="53"/>
      <c r="R37" s="53"/>
      <c r="S37" s="2" t="str">
        <f t="shared" si="22"/>
        <v/>
      </c>
      <c r="T37" s="55">
        <f t="shared" si="23"/>
        <v>0</v>
      </c>
      <c r="U37" s="2"/>
      <c r="V37" s="2"/>
      <c r="W37" s="2"/>
      <c r="X37" s="2"/>
      <c r="Y37" s="2"/>
      <c r="Z37" s="2"/>
      <c r="AA37" s="2"/>
      <c r="AB37" s="2"/>
    </row>
    <row r="38">
      <c r="A38" s="50">
        <v>4.0</v>
      </c>
      <c r="B38" s="2"/>
      <c r="C38" s="2" t="str">
        <f t="shared" si="20"/>
        <v/>
      </c>
      <c r="D38" s="53"/>
      <c r="E38" s="53"/>
      <c r="F38" s="2"/>
      <c r="G38" s="53"/>
      <c r="H38" s="53"/>
      <c r="I38" s="27"/>
      <c r="J38" s="55">
        <f t="shared" si="21"/>
        <v>0</v>
      </c>
      <c r="K38" s="67">
        <v>3.0</v>
      </c>
      <c r="L38" s="2" t="s">
        <v>35</v>
      </c>
      <c r="M38" s="24" t="str">
        <f t="shared" si="24"/>
        <v/>
      </c>
      <c r="N38" s="52"/>
      <c r="O38" s="53"/>
      <c r="P38" s="2"/>
      <c r="Q38" s="53"/>
      <c r="R38" s="52"/>
      <c r="S38" s="2" t="str">
        <f t="shared" si="22"/>
        <v/>
      </c>
      <c r="T38" s="55">
        <f t="shared" si="23"/>
        <v>0</v>
      </c>
      <c r="U38" s="2"/>
      <c r="V38" s="2"/>
      <c r="W38" s="2"/>
      <c r="X38" s="2"/>
      <c r="Y38" s="2"/>
      <c r="Z38" s="2"/>
      <c r="AA38" s="2"/>
      <c r="AB38" s="2"/>
    </row>
    <row r="39">
      <c r="A39" s="50">
        <v>5.0</v>
      </c>
      <c r="B39" s="2" t="s">
        <v>35</v>
      </c>
      <c r="C39" s="2" t="str">
        <f t="shared" si="20"/>
        <v/>
      </c>
      <c r="D39" s="52"/>
      <c r="E39" s="53"/>
      <c r="F39" s="2"/>
      <c r="G39" s="53"/>
      <c r="H39" s="53"/>
      <c r="I39" s="27"/>
      <c r="J39" s="55">
        <f t="shared" si="21"/>
        <v>0</v>
      </c>
      <c r="K39" s="67">
        <v>4.0</v>
      </c>
      <c r="L39" s="2"/>
      <c r="M39" s="73" t="str">
        <f t="shared" si="24"/>
        <v/>
      </c>
      <c r="N39" s="52"/>
      <c r="O39" s="53"/>
      <c r="P39" s="2"/>
      <c r="Q39" s="52"/>
      <c r="R39" s="52"/>
      <c r="S39" s="2" t="str">
        <f t="shared" si="22"/>
        <v/>
      </c>
      <c r="T39" s="55">
        <f t="shared" si="23"/>
        <v>0</v>
      </c>
      <c r="U39" s="2"/>
      <c r="V39" s="2"/>
      <c r="W39" s="2"/>
      <c r="X39" s="2"/>
      <c r="Y39" s="2"/>
      <c r="Z39" s="2"/>
      <c r="AA39" s="2"/>
      <c r="AB39" s="2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2"/>
      <c r="V40" s="2"/>
      <c r="W40" s="2"/>
      <c r="X40" s="2"/>
      <c r="Y40" s="2"/>
      <c r="Z40" s="2"/>
      <c r="AA40" s="2"/>
      <c r="AB40" s="2"/>
    </row>
    <row r="41">
      <c r="A41" s="33"/>
      <c r="B41" s="2"/>
      <c r="C41" s="2"/>
      <c r="D41" s="2"/>
      <c r="E41" s="2"/>
      <c r="F41" s="2"/>
      <c r="G41" s="2"/>
      <c r="H41" s="2" t="s">
        <v>46</v>
      </c>
      <c r="I41" s="2"/>
      <c r="J41" s="74">
        <f>IF(F19&gt;P19,F19,P19)</f>
        <v>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3"/>
      <c r="B42" s="2"/>
      <c r="C42" s="2"/>
      <c r="D42" s="2"/>
      <c r="E42" s="2"/>
      <c r="F42" s="2"/>
      <c r="G42" s="2"/>
      <c r="H42" s="2" t="s">
        <v>47</v>
      </c>
      <c r="I42" s="2"/>
      <c r="J42" s="74">
        <f>IF(F19&lt;P19,F19,P19)</f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3"/>
      <c r="B43" s="2"/>
      <c r="C43" s="2"/>
      <c r="D43" s="2"/>
      <c r="E43" s="2"/>
      <c r="F43" s="2"/>
      <c r="G43" s="2"/>
      <c r="H43" s="2" t="s">
        <v>48</v>
      </c>
      <c r="I43" s="2"/>
      <c r="J43" s="74">
        <f>J41-J42</f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 t="s">
        <v>49</v>
      </c>
      <c r="D44" s="2"/>
      <c r="E44" s="2"/>
      <c r="F44" s="2"/>
      <c r="G44" s="2"/>
      <c r="H44" s="2"/>
      <c r="I44" s="2"/>
      <c r="J44" s="74">
        <f>COUNTIF(J35:J39,5)</f>
        <v>0</v>
      </c>
      <c r="K44" s="2"/>
      <c r="L44" s="2"/>
      <c r="M44" s="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 t="s">
        <v>50</v>
      </c>
      <c r="D45" s="2"/>
      <c r="E45" s="2"/>
      <c r="F45" s="2"/>
      <c r="G45" s="2"/>
      <c r="H45" s="2"/>
      <c r="I45" s="2"/>
      <c r="J45" s="74">
        <f>COUNTIF($G$14:$G$39, TRUE)</f>
        <v>0</v>
      </c>
      <c r="K45" s="2"/>
      <c r="L45" s="2"/>
      <c r="M45" s="2" t="s">
        <v>50</v>
      </c>
      <c r="N45" s="2"/>
      <c r="O45" s="2"/>
      <c r="P45" s="2"/>
      <c r="Q45" s="2"/>
      <c r="R45" s="2"/>
      <c r="S45" s="2"/>
      <c r="T45" s="74">
        <f>COUNTIF(Q14:Q39, TRUE)</f>
        <v>0</v>
      </c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 t="s">
        <v>51</v>
      </c>
      <c r="D46" s="2"/>
      <c r="E46" s="2"/>
      <c r="F46" s="2"/>
      <c r="G46" s="2"/>
      <c r="H46" s="2"/>
      <c r="I46" s="2"/>
      <c r="J46" s="74">
        <f>COUNTIF(H14:H39, TRUE)</f>
        <v>0</v>
      </c>
      <c r="K46" s="2"/>
      <c r="L46" s="2"/>
      <c r="M46" s="2" t="s">
        <v>51</v>
      </c>
      <c r="N46" s="2"/>
      <c r="O46" s="2"/>
      <c r="P46" s="2"/>
      <c r="Q46" s="2"/>
      <c r="R46" s="2"/>
      <c r="S46" s="2"/>
      <c r="T46" s="74">
        <f>COUNTIF(R14:R39, TRUE)</f>
        <v>0</v>
      </c>
      <c r="U46" s="2"/>
      <c r="V46" s="2"/>
      <c r="W46" s="2"/>
      <c r="X46" s="2"/>
      <c r="Y46" s="2"/>
      <c r="Z46" s="2"/>
      <c r="AA46" s="2"/>
      <c r="AB46" s="2"/>
    </row>
    <row r="47">
      <c r="A47" s="2"/>
      <c r="B47" s="74">
        <f>IF(F19&gt;P19,2,3)</f>
        <v>3</v>
      </c>
      <c r="C47" s="2" t="s">
        <v>52</v>
      </c>
      <c r="D47" s="2"/>
      <c r="E47" s="2"/>
      <c r="F47" s="2"/>
      <c r="G47" s="2"/>
      <c r="H47" s="2"/>
      <c r="I47" s="2"/>
      <c r="J47" s="74">
        <f>VLOOKUP(J43,CHARTS!$A$1:$C$7,B47,TRUE)</f>
        <v>13</v>
      </c>
      <c r="K47" s="2"/>
      <c r="L47" s="74">
        <f>IF(P19&gt;F19,2,3)</f>
        <v>3</v>
      </c>
      <c r="M47" s="2" t="s">
        <v>52</v>
      </c>
      <c r="N47" s="2"/>
      <c r="O47" s="2"/>
      <c r="P47" s="2"/>
      <c r="Q47" s="2"/>
      <c r="R47" s="2"/>
      <c r="S47" s="2"/>
      <c r="T47" s="74">
        <f>VLOOKUP(J43,CHARTS!$A$1:$C$7,L47,TRUE)</f>
        <v>13</v>
      </c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 t="s">
        <v>53</v>
      </c>
      <c r="D48" s="2"/>
      <c r="E48" s="2"/>
      <c r="F48" s="2"/>
      <c r="G48" s="2"/>
      <c r="H48" s="2"/>
      <c r="I48" s="2"/>
      <c r="J48" s="74">
        <f>ROUND(J47*0.7,0)</f>
        <v>9</v>
      </c>
      <c r="K48" s="2"/>
      <c r="L48" s="2"/>
      <c r="M48" s="2" t="s">
        <v>53</v>
      </c>
      <c r="N48" s="2"/>
      <c r="O48" s="2"/>
      <c r="P48" s="2"/>
      <c r="Q48" s="2"/>
      <c r="R48" s="2"/>
      <c r="S48" s="2"/>
      <c r="T48" s="74">
        <f>ROUND(T47*0.7,0)</f>
        <v>9</v>
      </c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 t="s">
        <v>54</v>
      </c>
      <c r="D49" s="2"/>
      <c r="E49" s="2"/>
      <c r="F49" s="2"/>
      <c r="G49" s="2"/>
      <c r="H49" s="2"/>
      <c r="I49" s="2"/>
      <c r="J49" s="74">
        <f>COUNTIF($I$14:$I$39,"WIN")</f>
        <v>0</v>
      </c>
      <c r="K49" s="2"/>
      <c r="L49" s="2"/>
      <c r="M49" s="2" t="s">
        <v>54</v>
      </c>
      <c r="N49" s="2"/>
      <c r="O49" s="2"/>
      <c r="P49" s="2"/>
      <c r="Q49" s="2"/>
      <c r="R49" s="2"/>
      <c r="S49" s="2"/>
      <c r="T49" s="74">
        <f>COUNTIF($S$14:$S$39,"WIN")</f>
        <v>0</v>
      </c>
      <c r="U49" s="2"/>
      <c r="V49" s="2"/>
      <c r="W49" s="2"/>
      <c r="X49" s="2"/>
      <c r="Y49" s="2"/>
      <c r="Z49" s="2"/>
      <c r="AA49" s="2"/>
      <c r="AB49" s="2"/>
    </row>
    <row r="50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3"/>
      <c r="B55" s="2"/>
      <c r="C55" s="2" t="str">
        <f t="array" ref="C55">INDIRECT("TEAM" &amp; B4)
</f>
        <v>#REF!</v>
      </c>
      <c r="D55" s="2"/>
      <c r="E55" s="2"/>
      <c r="F55" s="2"/>
      <c r="G55" s="2"/>
      <c r="H55" s="2"/>
      <c r="I55" s="2"/>
      <c r="J55" s="2"/>
      <c r="K55" s="2"/>
      <c r="L55" s="2"/>
      <c r="M55" s="2" t="str">
        <f t="array" ref="M55">INDIRECT("TEAM" &amp; L4)
</f>
        <v>#REF!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3"/>
      <c r="B57" s="2"/>
      <c r="C57" s="2"/>
      <c r="D57" s="74"/>
      <c r="E57" s="2"/>
      <c r="F57" s="2"/>
      <c r="G57" s="2"/>
      <c r="H57" s="2"/>
      <c r="I57" s="2"/>
      <c r="J57" s="2"/>
      <c r="K57" s="2"/>
      <c r="L57" s="2"/>
      <c r="M57" s="2"/>
      <c r="N57" s="7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3"/>
      <c r="B58" s="2"/>
      <c r="C58" s="2"/>
      <c r="D58" s="74"/>
      <c r="E58" s="2"/>
      <c r="F58" s="2"/>
      <c r="G58" s="2"/>
      <c r="H58" s="2"/>
      <c r="I58" s="2"/>
      <c r="J58" s="2"/>
      <c r="K58" s="2"/>
      <c r="L58" s="2"/>
      <c r="M58" s="2"/>
      <c r="N58" s="7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3"/>
      <c r="B59" s="2"/>
      <c r="C59" s="2"/>
      <c r="D59" s="74"/>
      <c r="E59" s="2"/>
      <c r="F59" s="2"/>
      <c r="G59" s="2"/>
      <c r="H59" s="2"/>
      <c r="I59" s="2"/>
      <c r="J59" s="2"/>
      <c r="K59" s="2"/>
      <c r="L59" s="2"/>
      <c r="M59" s="2"/>
      <c r="N59" s="7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3"/>
      <c r="B60" s="2"/>
      <c r="C60" s="2"/>
      <c r="D60" s="74"/>
      <c r="E60" s="2"/>
      <c r="F60" s="2"/>
      <c r="G60" s="2"/>
      <c r="H60" s="2"/>
      <c r="I60" s="2"/>
      <c r="J60" s="2"/>
      <c r="K60" s="2"/>
      <c r="L60" s="2"/>
      <c r="M60" s="2"/>
      <c r="N60" s="7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3"/>
      <c r="B61" s="2"/>
      <c r="C61" s="2"/>
      <c r="D61" s="74"/>
      <c r="E61" s="2"/>
      <c r="F61" s="2"/>
      <c r="G61" s="2"/>
      <c r="H61" s="2"/>
      <c r="I61" s="2"/>
      <c r="J61" s="2"/>
      <c r="K61" s="2"/>
      <c r="L61" s="2"/>
      <c r="M61" s="2"/>
      <c r="N61" s="7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3"/>
      <c r="B62" s="2"/>
      <c r="C62" s="2"/>
      <c r="D62" s="74"/>
      <c r="E62" s="2"/>
      <c r="F62" s="2"/>
      <c r="G62" s="2"/>
      <c r="H62" s="2"/>
      <c r="I62" s="2"/>
      <c r="J62" s="2"/>
      <c r="K62" s="2"/>
      <c r="L62" s="2"/>
      <c r="M62" s="2"/>
      <c r="N62" s="7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3"/>
      <c r="B63" s="2"/>
      <c r="C63" s="2"/>
      <c r="D63" s="74"/>
      <c r="E63" s="2"/>
      <c r="F63" s="2"/>
      <c r="G63" s="2"/>
      <c r="H63" s="2"/>
      <c r="I63" s="2"/>
      <c r="J63" s="2"/>
      <c r="K63" s="2"/>
      <c r="L63" s="2"/>
      <c r="M63" s="2"/>
      <c r="N63" s="7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7"/>
      <c r="B116" s="20"/>
      <c r="C116" s="20"/>
      <c r="D116" s="20"/>
      <c r="E116" s="20"/>
      <c r="F116" s="20"/>
      <c r="G116" s="20"/>
      <c r="H116" s="20"/>
      <c r="I116" s="20"/>
      <c r="J116" s="2"/>
      <c r="K116" s="2"/>
      <c r="L116" s="20"/>
      <c r="M116" s="2"/>
      <c r="N116" s="20"/>
      <c r="O116" s="20"/>
      <c r="P116" s="20"/>
      <c r="Q116" s="20"/>
      <c r="R116" s="20"/>
      <c r="S116" s="20"/>
      <c r="T116" s="20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C4:H4"/>
    <mergeCell ref="M4:S4"/>
  </mergeCells>
  <conditionalFormatting sqref="A19:T39">
    <cfRule type="expression" dxfId="3" priority="1">
      <formula>NOT(ISBLANK($I19))</formula>
    </cfRule>
  </conditionalFormatting>
  <conditionalFormatting sqref="G14:I39">
    <cfRule type="expression" dxfId="0" priority="2">
      <formula>IF(AND($I14 &lt;&gt; "WIN", OR($G14=TRUE,$H14=TRUE)),TRUE,FALSE)</formula>
    </cfRule>
  </conditionalFormatting>
  <conditionalFormatting sqref="Q14:S39">
    <cfRule type="expression" dxfId="0" priority="3">
      <formula>IF(AND($S14 &lt;&gt; "WIN", OR($Q14=TRUE,$R14=TRUE)),TRUE,FALSE)</formula>
    </cfRule>
  </conditionalFormatting>
  <conditionalFormatting sqref="C14:C18 M14:M18">
    <cfRule type="containsBlanks" dxfId="0" priority="4">
      <formula>LEN(TRIM(C14))=0</formula>
    </cfRule>
  </conditionalFormatting>
  <conditionalFormatting sqref="M14:M18">
    <cfRule type="containsBlanks" dxfId="0" priority="5">
      <formula>LEN(TRIM(M14))=0</formula>
    </cfRule>
  </conditionalFormatting>
  <conditionalFormatting sqref="C14:C18 M14:M18">
    <cfRule type="expression" dxfId="4" priority="6">
      <formula>COUNTIF($C$14:$M$18, C14) &gt; 1</formula>
    </cfRule>
  </conditionalFormatting>
  <conditionalFormatting sqref="C14:C18 M14:M18">
    <cfRule type="notContainsBlanks" dxfId="2" priority="7">
      <formula>LEN(TRIM(C14))&gt;0</formula>
    </cfRule>
  </conditionalFormatting>
  <conditionalFormatting sqref="M14:M18">
    <cfRule type="notContainsBlanks" dxfId="2" priority="8">
      <formula>LEN(TRIM(M14))&gt;0</formula>
    </cfRule>
  </conditionalFormatting>
  <dataValidations>
    <dataValidation type="list" allowBlank="1" showErrorMessage="1" sqref="C14:C18">
      <formula1>'MATCH 4'!$C$57:$C$64</formula1>
    </dataValidation>
    <dataValidation type="list" allowBlank="1" showErrorMessage="1" sqref="I14:I31 I33 I35:I39">
      <formula1>"WIN,LOSS"</formula1>
    </dataValidation>
    <dataValidation type="list" allowBlank="1" showErrorMessage="1" sqref="M14:M18">
      <formula1>'MATCH 4'!$M$57:$M$64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63"/>
    <col customWidth="1" min="3" max="3" width="22.63"/>
    <col customWidth="1" min="4" max="10" width="6.75"/>
    <col customWidth="1" min="11" max="11" width="5.75"/>
    <col customWidth="1" min="12" max="12" width="4.88"/>
    <col customWidth="1" min="13" max="13" width="22.63"/>
    <col customWidth="1" min="14" max="20" width="6.75"/>
  </cols>
  <sheetData>
    <row r="1">
      <c r="A1" s="1"/>
      <c r="B1" s="2"/>
      <c r="C1" s="78" t="s">
        <v>74</v>
      </c>
      <c r="D1" s="2"/>
      <c r="E1" s="2"/>
      <c r="F1" s="2"/>
      <c r="G1" s="2"/>
      <c r="H1" s="2"/>
      <c r="I1" s="2"/>
      <c r="J1" s="2"/>
      <c r="K1" s="2"/>
      <c r="L1" s="2"/>
      <c r="M1" s="28" t="s">
        <v>14</v>
      </c>
      <c r="N1" s="29">
        <f>DATA!F1</f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30" t="s">
        <v>15</v>
      </c>
      <c r="J2" s="18" t="str">
        <f>DATA!K9</f>
        <v>Happy Dayz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2">
        <f>DATA!F9</f>
        <v>4</v>
      </c>
      <c r="C4" s="31" t="str">
        <f>DATA!G9</f>
        <v>Misfitz</v>
      </c>
      <c r="I4" s="2"/>
      <c r="J4" s="32" t="s">
        <v>12</v>
      </c>
      <c r="K4" s="2"/>
      <c r="L4" s="22">
        <f>DATA!I9</f>
        <v>6</v>
      </c>
      <c r="M4" s="31" t="str">
        <f>DATA!J9</f>
        <v>Felt Up</v>
      </c>
      <c r="T4" s="2"/>
      <c r="U4" s="2"/>
      <c r="V4" s="2"/>
      <c r="W4" s="2"/>
      <c r="X4" s="2"/>
      <c r="Y4" s="2"/>
      <c r="Z4" s="2"/>
      <c r="AA4" s="2"/>
      <c r="AB4" s="2"/>
    </row>
    <row r="5">
      <c r="A5" s="3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3"/>
      <c r="B6" s="2"/>
      <c r="C6" s="16" t="s">
        <v>16</v>
      </c>
      <c r="D6" s="2"/>
      <c r="E6" s="2"/>
      <c r="F6" s="2"/>
      <c r="G6" s="2"/>
      <c r="H6" s="2"/>
      <c r="I6" s="2"/>
      <c r="J6" s="2"/>
      <c r="K6" s="2"/>
      <c r="L6" s="2"/>
      <c r="M6" s="16" t="s">
        <v>17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34" t="s">
        <v>9</v>
      </c>
      <c r="B7" s="35" t="s">
        <v>18</v>
      </c>
      <c r="C7" s="36" t="s">
        <v>19</v>
      </c>
      <c r="D7" s="36"/>
      <c r="E7" s="36"/>
      <c r="F7" s="36"/>
      <c r="G7" s="37" t="s">
        <v>20</v>
      </c>
      <c r="H7" s="36"/>
      <c r="I7" s="38">
        <f>COUNTIF(I14:I39,G7)</f>
        <v>16</v>
      </c>
      <c r="J7" s="39"/>
      <c r="K7" s="34" t="s">
        <v>9</v>
      </c>
      <c r="L7" s="35" t="s">
        <v>18</v>
      </c>
      <c r="M7" s="36" t="s">
        <v>19</v>
      </c>
      <c r="N7" s="36"/>
      <c r="O7" s="36"/>
      <c r="P7" s="36"/>
      <c r="Q7" s="37" t="s">
        <v>20</v>
      </c>
      <c r="R7" s="37"/>
      <c r="S7" s="38">
        <f>COUNTIF(S14:S39,Q7)</f>
        <v>9</v>
      </c>
      <c r="T7" s="39"/>
      <c r="U7" s="2"/>
      <c r="V7" s="2"/>
      <c r="W7" s="2"/>
      <c r="X7" s="2"/>
      <c r="Y7" s="2"/>
      <c r="Z7" s="2"/>
      <c r="AA7" s="2"/>
      <c r="AB7" s="2"/>
    </row>
    <row r="8" ht="21.75" customHeight="1">
      <c r="A8" s="40"/>
      <c r="B8" s="32">
        <f t="shared" ref="B8:C8" si="1">B4</f>
        <v>4</v>
      </c>
      <c r="C8" s="3" t="str">
        <f t="shared" si="1"/>
        <v>Misfitz</v>
      </c>
      <c r="D8" s="2"/>
      <c r="E8" s="2"/>
      <c r="F8" s="2"/>
      <c r="G8" s="16" t="s">
        <v>21</v>
      </c>
      <c r="H8" s="2"/>
      <c r="I8" s="17">
        <f>COUNTIF(I14:I39,G8)</f>
        <v>9</v>
      </c>
      <c r="J8" s="41"/>
      <c r="K8" s="40"/>
      <c r="L8" s="32">
        <f t="shared" ref="L8:M8" si="2">L4</f>
        <v>6</v>
      </c>
      <c r="M8" s="3" t="str">
        <f t="shared" si="2"/>
        <v>Felt Up</v>
      </c>
      <c r="N8" s="2"/>
      <c r="O8" s="2"/>
      <c r="P8" s="2"/>
      <c r="Q8" s="16" t="s">
        <v>21</v>
      </c>
      <c r="R8" s="16"/>
      <c r="S8" s="17">
        <f>COUNTIF(S14:S39,Q8)</f>
        <v>16</v>
      </c>
      <c r="T8" s="41"/>
      <c r="U8" s="2"/>
      <c r="V8" s="2"/>
      <c r="W8" s="2"/>
      <c r="X8" s="2"/>
      <c r="Y8" s="2"/>
      <c r="Z8" s="2"/>
      <c r="AA8" s="2"/>
      <c r="AB8" s="2"/>
    </row>
    <row r="9" ht="21.75" customHeight="1">
      <c r="A9" s="40"/>
      <c r="B9" s="2"/>
      <c r="C9" s="2"/>
      <c r="D9" s="2"/>
      <c r="E9" s="2"/>
      <c r="F9" s="2"/>
      <c r="G9" s="42" t="s">
        <v>22</v>
      </c>
      <c r="H9" s="2"/>
      <c r="I9" s="16">
        <f>if(I7&gt;=D10,3+((I7-D10)*0.1),if(I7&gt;=D11,1.5+((I7-D11)*0.1),I7*0.1))</f>
        <v>3.2</v>
      </c>
      <c r="J9" s="41"/>
      <c r="K9" s="40"/>
      <c r="L9" s="2"/>
      <c r="M9" s="2"/>
      <c r="N9" s="2"/>
      <c r="O9" s="2"/>
      <c r="P9" s="2"/>
      <c r="Q9" s="42" t="s">
        <v>22</v>
      </c>
      <c r="R9" s="16"/>
      <c r="S9" s="16">
        <f>if(S7&gt;=N10,3+((S7-N10)*0.1),if(S7&gt;=N11,1.5+((S7-N11)*0.1),S7*0.1))</f>
        <v>1.6</v>
      </c>
      <c r="T9" s="41"/>
      <c r="U9" s="2"/>
      <c r="V9" s="2"/>
      <c r="W9" s="2"/>
      <c r="X9" s="2"/>
      <c r="Y9" s="2"/>
      <c r="Z9" s="2"/>
      <c r="AA9" s="2"/>
      <c r="AB9" s="2"/>
    </row>
    <row r="10">
      <c r="A10" s="40"/>
      <c r="B10" s="2"/>
      <c r="C10" s="43" t="s">
        <v>23</v>
      </c>
      <c r="D10" s="44">
        <f t="shared" ref="D10:D11" si="3">J47</f>
        <v>14</v>
      </c>
      <c r="E10" s="44" t="s">
        <v>24</v>
      </c>
      <c r="F10" s="44">
        <f>D10-I7</f>
        <v>-2</v>
      </c>
      <c r="G10" s="2"/>
      <c r="H10" s="2"/>
      <c r="I10" s="2"/>
      <c r="J10" s="41"/>
      <c r="K10" s="40"/>
      <c r="L10" s="2"/>
      <c r="M10" s="43" t="s">
        <v>23</v>
      </c>
      <c r="N10" s="44">
        <f t="shared" ref="N10:N11" si="4">T47</f>
        <v>12</v>
      </c>
      <c r="O10" s="44" t="s">
        <v>24</v>
      </c>
      <c r="P10" s="44">
        <f>N10-S7</f>
        <v>3</v>
      </c>
      <c r="Q10" s="2"/>
      <c r="R10" s="2"/>
      <c r="S10" s="2"/>
      <c r="T10" s="41"/>
      <c r="U10" s="2"/>
      <c r="V10" s="2"/>
      <c r="W10" s="2"/>
      <c r="X10" s="2"/>
      <c r="Y10" s="2"/>
      <c r="Z10" s="2"/>
      <c r="AA10" s="2"/>
      <c r="AB10" s="2"/>
    </row>
    <row r="11">
      <c r="A11" s="40"/>
      <c r="B11" s="2"/>
      <c r="C11" s="43" t="s">
        <v>25</v>
      </c>
      <c r="D11" s="79">
        <f t="shared" si="3"/>
        <v>10</v>
      </c>
      <c r="E11" s="44" t="s">
        <v>24</v>
      </c>
      <c r="F11" s="44">
        <f>D11-I7</f>
        <v>-6</v>
      </c>
      <c r="G11" s="2"/>
      <c r="H11" s="2"/>
      <c r="I11" s="2"/>
      <c r="J11" s="41"/>
      <c r="K11" s="40"/>
      <c r="L11" s="2"/>
      <c r="M11" s="43" t="s">
        <v>25</v>
      </c>
      <c r="N11" s="79">
        <f t="shared" si="4"/>
        <v>8</v>
      </c>
      <c r="O11" s="44" t="s">
        <v>24</v>
      </c>
      <c r="P11" s="44">
        <f>N11-S7</f>
        <v>-1</v>
      </c>
      <c r="Q11" s="2"/>
      <c r="R11" s="2"/>
      <c r="S11" s="2"/>
      <c r="T11" s="41"/>
      <c r="U11" s="2"/>
      <c r="V11" s="2"/>
      <c r="W11" s="2"/>
      <c r="X11" s="2"/>
      <c r="Y11" s="2"/>
      <c r="Z11" s="2"/>
      <c r="AA11" s="2"/>
      <c r="AB11" s="2"/>
    </row>
    <row r="12">
      <c r="A12" s="40"/>
      <c r="B12" s="2"/>
      <c r="C12" s="2"/>
      <c r="D12" s="2"/>
      <c r="E12" s="2"/>
      <c r="F12" s="2"/>
      <c r="G12" s="2"/>
      <c r="H12" s="2"/>
      <c r="I12" s="2"/>
      <c r="J12" s="41"/>
      <c r="K12" s="40"/>
      <c r="L12" s="2"/>
      <c r="M12" s="2"/>
      <c r="N12" s="2"/>
      <c r="O12" s="2"/>
      <c r="P12" s="2"/>
      <c r="Q12" s="2"/>
      <c r="R12" s="2"/>
      <c r="S12" s="2"/>
      <c r="T12" s="41"/>
      <c r="U12" s="2"/>
      <c r="V12" s="2"/>
      <c r="W12" s="2"/>
      <c r="X12" s="2"/>
      <c r="Y12" s="2"/>
      <c r="Z12" s="2"/>
      <c r="AA12" s="2"/>
      <c r="AB12" s="2"/>
    </row>
    <row r="13">
      <c r="A13" s="45"/>
      <c r="B13" s="46" t="s">
        <v>26</v>
      </c>
      <c r="C13" s="2" t="s">
        <v>27</v>
      </c>
      <c r="D13" s="47" t="s">
        <v>28</v>
      </c>
      <c r="E13" s="47" t="s">
        <v>29</v>
      </c>
      <c r="F13" s="48" t="s">
        <v>30</v>
      </c>
      <c r="G13" s="48" t="s">
        <v>31</v>
      </c>
      <c r="H13" s="48" t="s">
        <v>32</v>
      </c>
      <c r="I13" s="48" t="s">
        <v>33</v>
      </c>
      <c r="J13" s="49" t="s">
        <v>34</v>
      </c>
      <c r="K13" s="45"/>
      <c r="L13" s="46" t="s">
        <v>26</v>
      </c>
      <c r="M13" s="2" t="s">
        <v>27</v>
      </c>
      <c r="N13" s="47" t="s">
        <v>28</v>
      </c>
      <c r="O13" s="47" t="s">
        <v>29</v>
      </c>
      <c r="P13" s="48" t="s">
        <v>30</v>
      </c>
      <c r="Q13" s="48" t="s">
        <v>31</v>
      </c>
      <c r="R13" s="48" t="s">
        <v>32</v>
      </c>
      <c r="S13" s="48" t="s">
        <v>33</v>
      </c>
      <c r="T13" s="49" t="s">
        <v>34</v>
      </c>
      <c r="U13" s="2"/>
      <c r="V13" s="2"/>
      <c r="W13" s="2"/>
      <c r="X13" s="2"/>
      <c r="Y13" s="2"/>
      <c r="Z13" s="2"/>
      <c r="AA13" s="2"/>
      <c r="AB13" s="2"/>
    </row>
    <row r="14">
      <c r="A14" s="50">
        <v>1.0</v>
      </c>
      <c r="B14" s="2" t="s">
        <v>35</v>
      </c>
      <c r="C14" s="56" t="s">
        <v>75</v>
      </c>
      <c r="D14" s="52"/>
      <c r="E14" s="53"/>
      <c r="F14" s="54">
        <f t="shared" ref="F14:F18" si="5">IFERROR(VLOOKUP(C14,$C$57:$D$64,2,0), 0)</f>
        <v>64</v>
      </c>
      <c r="G14" s="52"/>
      <c r="H14" s="53"/>
      <c r="I14" s="27" t="s">
        <v>21</v>
      </c>
      <c r="J14" s="55">
        <f>COUNTIF(I14,"WIN")</f>
        <v>0</v>
      </c>
      <c r="K14" s="50">
        <v>1.0</v>
      </c>
      <c r="L14" s="2"/>
      <c r="M14" s="56" t="s">
        <v>76</v>
      </c>
      <c r="N14" s="52"/>
      <c r="O14" s="53"/>
      <c r="P14" s="54">
        <f t="shared" ref="P14:P18" si="6">IFERROR(VLOOKUP(M14,$M$57:$N$64,2,0), 0)</f>
        <v>60</v>
      </c>
      <c r="Q14" s="52"/>
      <c r="R14" s="52"/>
      <c r="S14" s="2" t="str">
        <f t="shared" ref="S14:S33" si="7">IF(I14="WIN","LOSS",IF(I14="LOSS","WIN",""))</f>
        <v>WIN</v>
      </c>
      <c r="T14" s="55">
        <f>COUNTIF(S14,"WIN")</f>
        <v>1</v>
      </c>
      <c r="U14" s="2"/>
      <c r="V14" s="2"/>
      <c r="W14" s="2"/>
      <c r="X14" s="2"/>
      <c r="Y14" s="2"/>
      <c r="Z14" s="2"/>
      <c r="AA14" s="2"/>
      <c r="AB14" s="2"/>
    </row>
    <row r="15">
      <c r="A15" s="50">
        <v>2.0</v>
      </c>
      <c r="B15" s="2" t="s">
        <v>35</v>
      </c>
      <c r="C15" s="57" t="s">
        <v>77</v>
      </c>
      <c r="D15" s="52" t="b">
        <v>1</v>
      </c>
      <c r="E15" s="53"/>
      <c r="F15" s="54">
        <f t="shared" si="5"/>
        <v>27</v>
      </c>
      <c r="G15" s="52"/>
      <c r="H15" s="52"/>
      <c r="I15" s="27" t="s">
        <v>20</v>
      </c>
      <c r="J15" s="41">
        <f t="shared" ref="J15:J33" si="8">IF(I15&lt;&gt;"", COUNTIF(I15,"WIN")+J14,"")</f>
        <v>1</v>
      </c>
      <c r="K15" s="50">
        <v>2.0</v>
      </c>
      <c r="L15" s="2"/>
      <c r="M15" s="57" t="s">
        <v>78</v>
      </c>
      <c r="N15" s="52"/>
      <c r="O15" s="53"/>
      <c r="P15" s="54">
        <f t="shared" si="6"/>
        <v>29</v>
      </c>
      <c r="Q15" s="52"/>
      <c r="R15" s="53"/>
      <c r="S15" s="2" t="str">
        <f t="shared" si="7"/>
        <v>LOSS</v>
      </c>
      <c r="T15" s="41">
        <f t="shared" ref="T15:T33" si="9">IF(S15&lt;&gt;"", COUNTIF(S15,"WIN")+T14,"")</f>
        <v>1</v>
      </c>
      <c r="U15" s="2"/>
      <c r="V15" s="2"/>
      <c r="W15" s="2"/>
      <c r="X15" s="2"/>
      <c r="Y15" s="2"/>
      <c r="Z15" s="2"/>
      <c r="AA15" s="2"/>
      <c r="AB15" s="2"/>
    </row>
    <row r="16">
      <c r="A16" s="50">
        <v>3.0</v>
      </c>
      <c r="B16" s="2" t="s">
        <v>35</v>
      </c>
      <c r="C16" s="57" t="s">
        <v>79</v>
      </c>
      <c r="D16" s="52"/>
      <c r="E16" s="53"/>
      <c r="F16" s="54">
        <f t="shared" si="5"/>
        <v>42</v>
      </c>
      <c r="G16" s="52"/>
      <c r="H16" s="53"/>
      <c r="I16" s="27" t="s">
        <v>21</v>
      </c>
      <c r="J16" s="41">
        <f t="shared" si="8"/>
        <v>1</v>
      </c>
      <c r="K16" s="50">
        <v>3.0</v>
      </c>
      <c r="L16" s="2"/>
      <c r="M16" s="57" t="s">
        <v>80</v>
      </c>
      <c r="N16" s="52"/>
      <c r="O16" s="53"/>
      <c r="P16" s="54">
        <f t="shared" si="6"/>
        <v>54</v>
      </c>
      <c r="Q16" s="52"/>
      <c r="R16" s="53"/>
      <c r="S16" s="2" t="str">
        <f t="shared" si="7"/>
        <v>WIN</v>
      </c>
      <c r="T16" s="41">
        <f t="shared" si="9"/>
        <v>2</v>
      </c>
      <c r="U16" s="2"/>
      <c r="V16" s="2"/>
      <c r="W16" s="2"/>
      <c r="X16" s="2"/>
      <c r="Y16" s="2"/>
      <c r="Z16" s="2"/>
      <c r="AA16" s="2"/>
      <c r="AB16" s="2"/>
    </row>
    <row r="17">
      <c r="A17" s="50">
        <v>4.0</v>
      </c>
      <c r="B17" s="2" t="s">
        <v>35</v>
      </c>
      <c r="C17" s="57" t="s">
        <v>81</v>
      </c>
      <c r="D17" s="52"/>
      <c r="E17" s="53"/>
      <c r="F17" s="54">
        <f t="shared" si="5"/>
        <v>51</v>
      </c>
      <c r="G17" s="52"/>
      <c r="H17" s="53"/>
      <c r="I17" s="27" t="s">
        <v>20</v>
      </c>
      <c r="J17" s="41">
        <f t="shared" si="8"/>
        <v>2</v>
      </c>
      <c r="K17" s="50">
        <v>4.0</v>
      </c>
      <c r="L17" s="2"/>
      <c r="M17" s="57" t="s">
        <v>78</v>
      </c>
      <c r="N17" s="52"/>
      <c r="O17" s="53"/>
      <c r="P17" s="54">
        <f t="shared" si="6"/>
        <v>29</v>
      </c>
      <c r="Q17" s="52"/>
      <c r="R17" s="53"/>
      <c r="S17" s="2" t="str">
        <f t="shared" si="7"/>
        <v>LOSS</v>
      </c>
      <c r="T17" s="41">
        <f t="shared" si="9"/>
        <v>2</v>
      </c>
      <c r="U17" s="2"/>
      <c r="V17" s="2"/>
      <c r="W17" s="2"/>
      <c r="X17" s="2"/>
      <c r="Y17" s="2"/>
      <c r="Z17" s="2"/>
      <c r="AA17" s="2"/>
      <c r="AB17" s="2"/>
    </row>
    <row r="18">
      <c r="A18" s="50">
        <v>5.0</v>
      </c>
      <c r="B18" s="2" t="s">
        <v>35</v>
      </c>
      <c r="C18" s="58" t="s">
        <v>82</v>
      </c>
      <c r="D18" s="53"/>
      <c r="E18" s="53"/>
      <c r="F18" s="54">
        <f t="shared" si="5"/>
        <v>60</v>
      </c>
      <c r="G18" s="52"/>
      <c r="H18" s="53"/>
      <c r="I18" s="27" t="s">
        <v>20</v>
      </c>
      <c r="J18" s="59">
        <f t="shared" si="8"/>
        <v>3</v>
      </c>
      <c r="K18" s="50">
        <v>5.0</v>
      </c>
      <c r="L18" s="2"/>
      <c r="M18" s="58" t="s">
        <v>83</v>
      </c>
      <c r="N18" s="52"/>
      <c r="O18" s="53"/>
      <c r="P18" s="54">
        <f t="shared" si="6"/>
        <v>45</v>
      </c>
      <c r="Q18" s="53"/>
      <c r="R18" s="53"/>
      <c r="S18" s="2" t="str">
        <f t="shared" si="7"/>
        <v>LOSS</v>
      </c>
      <c r="T18" s="59">
        <f t="shared" si="9"/>
        <v>2</v>
      </c>
      <c r="U18" s="2"/>
      <c r="V18" s="2"/>
      <c r="W18" s="2"/>
      <c r="X18" s="2"/>
      <c r="Y18" s="2"/>
      <c r="Z18" s="2"/>
      <c r="AA18" s="2"/>
      <c r="AB18" s="2"/>
    </row>
    <row r="19">
      <c r="A19" s="60">
        <v>1.0</v>
      </c>
      <c r="B19" s="61"/>
      <c r="C19" s="2" t="str">
        <f t="shared" ref="C19:C23" si="10">C14</f>
        <v>John Finley</v>
      </c>
      <c r="D19" s="63"/>
      <c r="E19" s="63"/>
      <c r="F19" s="64">
        <f>SUM(F14:F18)</f>
        <v>244</v>
      </c>
      <c r="G19" s="63"/>
      <c r="H19" s="63"/>
      <c r="I19" s="65" t="s">
        <v>20</v>
      </c>
      <c r="J19" s="41">
        <f t="shared" si="8"/>
        <v>4</v>
      </c>
      <c r="K19" s="60">
        <v>2.0</v>
      </c>
      <c r="L19" s="61" t="s">
        <v>35</v>
      </c>
      <c r="M19" s="2" t="str">
        <f t="shared" ref="M19:M22" si="11">M15</f>
        <v>Kelvin Singleton</v>
      </c>
      <c r="N19" s="63"/>
      <c r="O19" s="63"/>
      <c r="P19" s="64">
        <f>SUM(P14:P18)</f>
        <v>217</v>
      </c>
      <c r="Q19" s="63"/>
      <c r="R19" s="62"/>
      <c r="S19" s="61" t="str">
        <f t="shared" si="7"/>
        <v>LOSS</v>
      </c>
      <c r="T19" s="41">
        <f t="shared" si="9"/>
        <v>2</v>
      </c>
      <c r="U19" s="2"/>
      <c r="V19" s="2"/>
      <c r="W19" s="2"/>
      <c r="X19" s="2"/>
      <c r="Y19" s="2"/>
      <c r="Z19" s="2"/>
      <c r="AA19" s="2"/>
      <c r="AB19" s="2"/>
    </row>
    <row r="20">
      <c r="A20" s="50">
        <v>2.0</v>
      </c>
      <c r="B20" s="2"/>
      <c r="C20" s="2" t="str">
        <f t="shared" si="10"/>
        <v>Margie Sandoval</v>
      </c>
      <c r="D20" s="52"/>
      <c r="E20" s="53"/>
      <c r="F20" s="2"/>
      <c r="G20" s="53"/>
      <c r="H20" s="53"/>
      <c r="I20" s="27" t="s">
        <v>21</v>
      </c>
      <c r="J20" s="41">
        <f t="shared" si="8"/>
        <v>4</v>
      </c>
      <c r="K20" s="50">
        <v>3.0</v>
      </c>
      <c r="L20" s="2" t="s">
        <v>35</v>
      </c>
      <c r="M20" s="2" t="str">
        <f t="shared" si="11"/>
        <v>Justin Whidden</v>
      </c>
      <c r="N20" s="53"/>
      <c r="O20" s="53"/>
      <c r="P20" s="2"/>
      <c r="Q20" s="52"/>
      <c r="R20" s="52"/>
      <c r="S20" s="2" t="str">
        <f t="shared" si="7"/>
        <v>WIN</v>
      </c>
      <c r="T20" s="41">
        <f t="shared" si="9"/>
        <v>3</v>
      </c>
      <c r="U20" s="2"/>
      <c r="V20" s="2"/>
      <c r="W20" s="2"/>
      <c r="X20" s="2"/>
      <c r="Y20" s="2"/>
      <c r="Z20" s="2"/>
      <c r="AA20" s="2"/>
      <c r="AB20" s="2"/>
    </row>
    <row r="21">
      <c r="A21" s="50">
        <v>3.0</v>
      </c>
      <c r="B21" s="2"/>
      <c r="C21" s="2" t="str">
        <f t="shared" si="10"/>
        <v>Jose Sanabria</v>
      </c>
      <c r="D21" s="52"/>
      <c r="E21" s="53"/>
      <c r="F21" s="2"/>
      <c r="G21" s="52"/>
      <c r="H21" s="53"/>
      <c r="I21" s="27" t="s">
        <v>21</v>
      </c>
      <c r="J21" s="41">
        <f t="shared" si="8"/>
        <v>4</v>
      </c>
      <c r="K21" s="50">
        <v>4.0</v>
      </c>
      <c r="L21" s="2" t="s">
        <v>35</v>
      </c>
      <c r="M21" s="2" t="str">
        <f t="shared" si="11"/>
        <v>Kelvin Singleton</v>
      </c>
      <c r="N21" s="52"/>
      <c r="O21" s="53"/>
      <c r="P21" s="2"/>
      <c r="Q21" s="52"/>
      <c r="R21" s="53"/>
      <c r="S21" s="2" t="str">
        <f t="shared" si="7"/>
        <v>WIN</v>
      </c>
      <c r="T21" s="41">
        <f t="shared" si="9"/>
        <v>4</v>
      </c>
      <c r="U21" s="2"/>
      <c r="V21" s="2"/>
      <c r="W21" s="2"/>
      <c r="X21" s="2"/>
      <c r="Y21" s="2"/>
      <c r="Z21" s="2"/>
      <c r="AA21" s="2"/>
      <c r="AB21" s="2"/>
    </row>
    <row r="22">
      <c r="A22" s="50">
        <v>4.0</v>
      </c>
      <c r="B22" s="2"/>
      <c r="C22" s="2" t="str">
        <f t="shared" si="10"/>
        <v>David Grimes</v>
      </c>
      <c r="D22" s="52"/>
      <c r="E22" s="52"/>
      <c r="F22" s="2"/>
      <c r="G22" s="53"/>
      <c r="H22" s="53"/>
      <c r="I22" s="27" t="s">
        <v>20</v>
      </c>
      <c r="J22" s="41">
        <f t="shared" si="8"/>
        <v>5</v>
      </c>
      <c r="K22" s="50">
        <v>5.0</v>
      </c>
      <c r="L22" s="2" t="s">
        <v>35</v>
      </c>
      <c r="M22" s="2" t="str">
        <f t="shared" si="11"/>
        <v>Glenn 'Shane' Lewis</v>
      </c>
      <c r="N22" s="52"/>
      <c r="O22" s="53"/>
      <c r="P22" s="2"/>
      <c r="Q22" s="53"/>
      <c r="R22" s="53"/>
      <c r="S22" s="2" t="str">
        <f t="shared" si="7"/>
        <v>LOSS</v>
      </c>
      <c r="T22" s="41">
        <f t="shared" si="9"/>
        <v>4</v>
      </c>
      <c r="U22" s="2"/>
      <c r="V22" s="2"/>
      <c r="W22" s="2"/>
      <c r="X22" s="2"/>
      <c r="Y22" s="2"/>
      <c r="Z22" s="2"/>
      <c r="AA22" s="2"/>
      <c r="AB22" s="2"/>
    </row>
    <row r="23">
      <c r="A23" s="50">
        <v>5.0</v>
      </c>
      <c r="B23" s="2"/>
      <c r="C23" s="2" t="str">
        <f t="shared" si="10"/>
        <v>Eliseo Sandoval</v>
      </c>
      <c r="D23" s="53"/>
      <c r="E23" s="53"/>
      <c r="F23" s="2"/>
      <c r="G23" s="53"/>
      <c r="H23" s="53"/>
      <c r="I23" s="27" t="s">
        <v>20</v>
      </c>
      <c r="J23" s="59">
        <f t="shared" si="8"/>
        <v>6</v>
      </c>
      <c r="K23" s="67">
        <v>1.0</v>
      </c>
      <c r="L23" s="2" t="s">
        <v>35</v>
      </c>
      <c r="M23" s="2" t="str">
        <f>M14</f>
        <v>Mike Stepp</v>
      </c>
      <c r="N23" s="52"/>
      <c r="O23" s="53"/>
      <c r="P23" s="2"/>
      <c r="Q23" s="53"/>
      <c r="R23" s="53"/>
      <c r="S23" s="2" t="str">
        <f t="shared" si="7"/>
        <v>LOSS</v>
      </c>
      <c r="T23" s="59">
        <f t="shared" si="9"/>
        <v>4</v>
      </c>
      <c r="U23" s="2"/>
      <c r="V23" s="2"/>
      <c r="W23" s="2"/>
      <c r="X23" s="2"/>
      <c r="Y23" s="2"/>
      <c r="Z23" s="2"/>
      <c r="AA23" s="2"/>
      <c r="AB23" s="2"/>
    </row>
    <row r="24">
      <c r="A24" s="60">
        <v>1.0</v>
      </c>
      <c r="B24" s="61" t="s">
        <v>35</v>
      </c>
      <c r="C24" s="61" t="str">
        <f t="shared" ref="C24:C28" si="12">C14</f>
        <v>John Finley</v>
      </c>
      <c r="D24" s="62"/>
      <c r="E24" s="63"/>
      <c r="F24" s="61"/>
      <c r="G24" s="62" t="b">
        <v>1</v>
      </c>
      <c r="H24" s="63"/>
      <c r="I24" s="65" t="s">
        <v>20</v>
      </c>
      <c r="J24" s="41">
        <f t="shared" si="8"/>
        <v>7</v>
      </c>
      <c r="K24" s="60">
        <v>3.0</v>
      </c>
      <c r="L24" s="61"/>
      <c r="M24" s="61" t="str">
        <f t="shared" ref="M24:M26" si="13">M16</f>
        <v>Justin Whidden</v>
      </c>
      <c r="N24" s="63"/>
      <c r="O24" s="63"/>
      <c r="P24" s="61"/>
      <c r="Q24" s="63"/>
      <c r="R24" s="63"/>
      <c r="S24" s="61" t="str">
        <f t="shared" si="7"/>
        <v>LOSS</v>
      </c>
      <c r="T24" s="41">
        <f t="shared" si="9"/>
        <v>4</v>
      </c>
      <c r="U24" s="2"/>
      <c r="V24" s="2"/>
      <c r="W24" s="2"/>
      <c r="X24" s="2"/>
      <c r="Y24" s="2"/>
      <c r="Z24" s="2"/>
      <c r="AA24" s="2"/>
      <c r="AB24" s="2"/>
    </row>
    <row r="25">
      <c r="A25" s="50">
        <v>2.0</v>
      </c>
      <c r="B25" s="2" t="s">
        <v>35</v>
      </c>
      <c r="C25" s="2" t="str">
        <f t="shared" si="12"/>
        <v>Margie Sandoval</v>
      </c>
      <c r="D25" s="52"/>
      <c r="E25" s="53"/>
      <c r="F25" s="2"/>
      <c r="G25" s="53"/>
      <c r="H25" s="53"/>
      <c r="I25" s="27" t="s">
        <v>21</v>
      </c>
      <c r="J25" s="41">
        <f t="shared" si="8"/>
        <v>7</v>
      </c>
      <c r="K25" s="50">
        <v>4.0</v>
      </c>
      <c r="L25" s="2"/>
      <c r="M25" s="2" t="str">
        <f t="shared" si="13"/>
        <v>Kelvin Singleton</v>
      </c>
      <c r="N25" s="52"/>
      <c r="O25" s="53"/>
      <c r="P25" s="2"/>
      <c r="Q25" s="53"/>
      <c r="R25" s="53"/>
      <c r="S25" s="2" t="str">
        <f t="shared" si="7"/>
        <v>WIN</v>
      </c>
      <c r="T25" s="41">
        <f t="shared" si="9"/>
        <v>5</v>
      </c>
      <c r="U25" s="2"/>
      <c r="V25" s="2"/>
      <c r="W25" s="2"/>
      <c r="X25" s="2"/>
      <c r="Y25" s="2"/>
      <c r="Z25" s="2"/>
      <c r="AA25" s="2"/>
      <c r="AB25" s="2"/>
    </row>
    <row r="26">
      <c r="A26" s="50">
        <v>3.0</v>
      </c>
      <c r="B26" s="2" t="s">
        <v>35</v>
      </c>
      <c r="C26" s="2" t="str">
        <f t="shared" si="12"/>
        <v>Jose Sanabria</v>
      </c>
      <c r="D26" s="52"/>
      <c r="E26" s="53"/>
      <c r="F26" s="2"/>
      <c r="G26" s="52"/>
      <c r="H26" s="52"/>
      <c r="I26" s="27" t="s">
        <v>21</v>
      </c>
      <c r="J26" s="41">
        <f t="shared" si="8"/>
        <v>7</v>
      </c>
      <c r="K26" s="50">
        <v>5.0</v>
      </c>
      <c r="L26" s="2"/>
      <c r="M26" s="2" t="str">
        <f t="shared" si="13"/>
        <v>Glenn 'Shane' Lewis</v>
      </c>
      <c r="N26" s="52"/>
      <c r="O26" s="53"/>
      <c r="P26" s="2"/>
      <c r="Q26" s="53"/>
      <c r="R26" s="53"/>
      <c r="S26" s="2" t="str">
        <f t="shared" si="7"/>
        <v>WIN</v>
      </c>
      <c r="T26" s="41">
        <f t="shared" si="9"/>
        <v>6</v>
      </c>
      <c r="U26" s="2"/>
      <c r="V26" s="2"/>
      <c r="W26" s="2"/>
      <c r="X26" s="2"/>
      <c r="Y26" s="2"/>
      <c r="Z26" s="2"/>
      <c r="AA26" s="2"/>
      <c r="AB26" s="2"/>
    </row>
    <row r="27">
      <c r="A27" s="50">
        <v>4.0</v>
      </c>
      <c r="B27" s="2" t="s">
        <v>35</v>
      </c>
      <c r="C27" s="2" t="str">
        <f t="shared" si="12"/>
        <v>David Grimes</v>
      </c>
      <c r="D27" s="52"/>
      <c r="E27" s="53"/>
      <c r="F27" s="2"/>
      <c r="G27" s="53"/>
      <c r="H27" s="53"/>
      <c r="I27" s="27" t="s">
        <v>20</v>
      </c>
      <c r="J27" s="41">
        <f t="shared" si="8"/>
        <v>8</v>
      </c>
      <c r="K27" s="67">
        <v>1.0</v>
      </c>
      <c r="L27" s="2"/>
      <c r="M27" s="2" t="str">
        <f t="shared" ref="M27:M28" si="14">M14</f>
        <v>Mike Stepp</v>
      </c>
      <c r="N27" s="53"/>
      <c r="O27" s="53"/>
      <c r="P27" s="2"/>
      <c r="Q27" s="53"/>
      <c r="R27" s="53"/>
      <c r="S27" s="2" t="str">
        <f t="shared" si="7"/>
        <v>LOSS</v>
      </c>
      <c r="T27" s="41">
        <f t="shared" si="9"/>
        <v>6</v>
      </c>
      <c r="U27" s="2"/>
      <c r="V27" s="2"/>
      <c r="W27" s="2"/>
      <c r="X27" s="2"/>
      <c r="Y27" s="2"/>
      <c r="Z27" s="2"/>
      <c r="AA27" s="2"/>
      <c r="AB27" s="2"/>
    </row>
    <row r="28">
      <c r="A28" s="50">
        <v>5.0</v>
      </c>
      <c r="B28" s="2" t="s">
        <v>35</v>
      </c>
      <c r="C28" s="2" t="str">
        <f t="shared" si="12"/>
        <v>Eliseo Sandoval</v>
      </c>
      <c r="D28" s="53"/>
      <c r="E28" s="53"/>
      <c r="F28" s="2"/>
      <c r="G28" s="53"/>
      <c r="H28" s="53"/>
      <c r="I28" s="27" t="s">
        <v>20</v>
      </c>
      <c r="J28" s="59">
        <f t="shared" si="8"/>
        <v>9</v>
      </c>
      <c r="K28" s="67">
        <v>2.0</v>
      </c>
      <c r="L28" s="2"/>
      <c r="M28" s="2" t="str">
        <f t="shared" si="14"/>
        <v>Kelvin Singleton</v>
      </c>
      <c r="N28" s="52" t="b">
        <v>1</v>
      </c>
      <c r="O28" s="53"/>
      <c r="P28" s="2"/>
      <c r="Q28" s="53"/>
      <c r="R28" s="53"/>
      <c r="S28" s="2" t="str">
        <f t="shared" si="7"/>
        <v>LOSS</v>
      </c>
      <c r="T28" s="59">
        <f t="shared" si="9"/>
        <v>6</v>
      </c>
      <c r="U28" s="2"/>
      <c r="V28" s="2"/>
      <c r="W28" s="2"/>
      <c r="X28" s="2"/>
      <c r="Y28" s="2"/>
      <c r="Z28" s="2"/>
      <c r="AA28" s="2"/>
      <c r="AB28" s="2"/>
    </row>
    <row r="29">
      <c r="A29" s="60">
        <v>1.0</v>
      </c>
      <c r="B29" s="61"/>
      <c r="C29" s="61" t="str">
        <f t="shared" ref="C29:C33" si="15">C14</f>
        <v>John Finley</v>
      </c>
      <c r="D29" s="63"/>
      <c r="E29" s="63"/>
      <c r="F29" s="61"/>
      <c r="G29" s="63"/>
      <c r="H29" s="63"/>
      <c r="I29" s="65" t="s">
        <v>20</v>
      </c>
      <c r="J29" s="41">
        <f t="shared" si="8"/>
        <v>10</v>
      </c>
      <c r="K29" s="60">
        <v>4.0</v>
      </c>
      <c r="L29" s="61" t="s">
        <v>35</v>
      </c>
      <c r="M29" s="61" t="str">
        <f t="shared" ref="M29:M30" si="16">M17</f>
        <v>Kelvin Singleton</v>
      </c>
      <c r="N29" s="62"/>
      <c r="O29" s="63"/>
      <c r="P29" s="61"/>
      <c r="Q29" s="63"/>
      <c r="R29" s="62"/>
      <c r="S29" s="61" t="str">
        <f t="shared" si="7"/>
        <v>LOSS</v>
      </c>
      <c r="T29" s="41">
        <f t="shared" si="9"/>
        <v>6</v>
      </c>
      <c r="U29" s="2"/>
      <c r="V29" s="2"/>
      <c r="W29" s="2"/>
      <c r="X29" s="2"/>
      <c r="Y29" s="2"/>
      <c r="Z29" s="2"/>
      <c r="AA29" s="2"/>
      <c r="AB29" s="2"/>
    </row>
    <row r="30">
      <c r="A30" s="50">
        <v>2.0</v>
      </c>
      <c r="B30" s="2"/>
      <c r="C30" s="2" t="str">
        <f t="shared" si="15"/>
        <v>Margie Sandoval</v>
      </c>
      <c r="D30" s="52"/>
      <c r="E30" s="53"/>
      <c r="F30" s="2"/>
      <c r="G30" s="53"/>
      <c r="H30" s="53"/>
      <c r="I30" s="27" t="s">
        <v>20</v>
      </c>
      <c r="J30" s="41">
        <f t="shared" si="8"/>
        <v>11</v>
      </c>
      <c r="K30" s="50">
        <v>5.0</v>
      </c>
      <c r="L30" s="2" t="s">
        <v>35</v>
      </c>
      <c r="M30" s="2" t="str">
        <f t="shared" si="16"/>
        <v>Glenn 'Shane' Lewis</v>
      </c>
      <c r="N30" s="52"/>
      <c r="O30" s="53"/>
      <c r="P30" s="2"/>
      <c r="Q30" s="53"/>
      <c r="R30" s="53"/>
      <c r="S30" s="2" t="str">
        <f t="shared" si="7"/>
        <v>LOSS</v>
      </c>
      <c r="T30" s="41">
        <f t="shared" si="9"/>
        <v>6</v>
      </c>
      <c r="U30" s="2"/>
      <c r="V30" s="2"/>
      <c r="W30" s="2"/>
      <c r="X30" s="2"/>
      <c r="Y30" s="2"/>
      <c r="Z30" s="2"/>
      <c r="AA30" s="2"/>
      <c r="AB30" s="2"/>
    </row>
    <row r="31">
      <c r="A31" s="50">
        <v>3.0</v>
      </c>
      <c r="B31" s="2"/>
      <c r="C31" s="2" t="str">
        <f t="shared" si="15"/>
        <v>Jose Sanabria</v>
      </c>
      <c r="D31" s="52" t="b">
        <v>1</v>
      </c>
      <c r="E31" s="53"/>
      <c r="F31" s="2"/>
      <c r="G31" s="53"/>
      <c r="H31" s="53"/>
      <c r="I31" s="27" t="s">
        <v>20</v>
      </c>
      <c r="J31" s="41">
        <f t="shared" si="8"/>
        <v>12</v>
      </c>
      <c r="K31" s="67">
        <v>1.0</v>
      </c>
      <c r="L31" s="2" t="s">
        <v>35</v>
      </c>
      <c r="M31" s="2" t="str">
        <f t="shared" ref="M31:M33" si="17">M14</f>
        <v>Mike Stepp</v>
      </c>
      <c r="N31" s="52"/>
      <c r="O31" s="53"/>
      <c r="P31" s="2"/>
      <c r="Q31" s="53"/>
      <c r="R31" s="52"/>
      <c r="S31" s="2" t="str">
        <f t="shared" si="7"/>
        <v>LOSS</v>
      </c>
      <c r="T31" s="41">
        <f t="shared" si="9"/>
        <v>6</v>
      </c>
      <c r="U31" s="2"/>
      <c r="V31" s="2"/>
      <c r="W31" s="2"/>
      <c r="X31" s="2"/>
      <c r="Y31" s="2"/>
      <c r="Z31" s="2"/>
      <c r="AA31" s="2"/>
      <c r="AB31" s="2"/>
    </row>
    <row r="32">
      <c r="A32" s="50">
        <v>4.0</v>
      </c>
      <c r="B32" s="2"/>
      <c r="C32" s="2" t="str">
        <f t="shared" si="15"/>
        <v>David Grimes</v>
      </c>
      <c r="D32" s="52"/>
      <c r="E32" s="53"/>
      <c r="F32" s="2"/>
      <c r="G32" s="53"/>
      <c r="H32" s="53"/>
      <c r="I32" s="27" t="s">
        <v>21</v>
      </c>
      <c r="J32" s="41">
        <f t="shared" si="8"/>
        <v>12</v>
      </c>
      <c r="K32" s="67">
        <v>2.0</v>
      </c>
      <c r="L32" s="2" t="s">
        <v>35</v>
      </c>
      <c r="M32" s="2" t="str">
        <f t="shared" si="17"/>
        <v>Kelvin Singleton</v>
      </c>
      <c r="N32" s="52"/>
      <c r="O32" s="53"/>
      <c r="P32" s="2"/>
      <c r="Q32" s="53"/>
      <c r="R32" s="53"/>
      <c r="S32" s="2" t="str">
        <f t="shared" si="7"/>
        <v>WIN</v>
      </c>
      <c r="T32" s="41">
        <f t="shared" si="9"/>
        <v>7</v>
      </c>
      <c r="U32" s="2"/>
      <c r="V32" s="2"/>
      <c r="W32" s="2"/>
      <c r="X32" s="2"/>
      <c r="Y32" s="2"/>
      <c r="Z32" s="2"/>
      <c r="AA32" s="2"/>
      <c r="AB32" s="2"/>
    </row>
    <row r="33">
      <c r="A33" s="50">
        <v>5.0</v>
      </c>
      <c r="B33" s="2"/>
      <c r="C33" s="2" t="str">
        <f t="shared" si="15"/>
        <v>Eliseo Sandoval</v>
      </c>
      <c r="D33" s="53"/>
      <c r="E33" s="53"/>
      <c r="F33" s="2"/>
      <c r="G33" s="53"/>
      <c r="H33" s="53"/>
      <c r="I33" s="27" t="s">
        <v>21</v>
      </c>
      <c r="J33" s="41">
        <f t="shared" si="8"/>
        <v>12</v>
      </c>
      <c r="K33" s="67">
        <v>3.0</v>
      </c>
      <c r="L33" s="2" t="s">
        <v>35</v>
      </c>
      <c r="M33" s="2" t="str">
        <f t="shared" si="17"/>
        <v>Justin Whidden</v>
      </c>
      <c r="N33" s="53"/>
      <c r="O33" s="53"/>
      <c r="P33" s="2"/>
      <c r="Q33" s="53"/>
      <c r="R33" s="53"/>
      <c r="S33" s="2" t="str">
        <f t="shared" si="7"/>
        <v>WIN</v>
      </c>
      <c r="T33" s="41">
        <f t="shared" si="9"/>
        <v>8</v>
      </c>
      <c r="U33" s="2"/>
      <c r="V33" s="2"/>
      <c r="W33" s="2"/>
      <c r="X33" s="2"/>
      <c r="Y33" s="2"/>
      <c r="Z33" s="2"/>
      <c r="AA33" s="2"/>
      <c r="AB33" s="2"/>
    </row>
    <row r="34">
      <c r="A34" s="70"/>
      <c r="B34" s="61"/>
      <c r="C34" s="61"/>
      <c r="D34" s="61"/>
      <c r="E34" s="61"/>
      <c r="F34" s="61"/>
      <c r="G34" s="61"/>
      <c r="H34" s="61"/>
      <c r="I34" s="61"/>
      <c r="J34" s="71"/>
      <c r="K34" s="70"/>
      <c r="L34" s="61"/>
      <c r="M34" s="61"/>
      <c r="N34" s="61"/>
      <c r="O34" s="61"/>
      <c r="P34" s="61"/>
      <c r="Q34" s="61"/>
      <c r="R34" s="61"/>
      <c r="S34" s="61"/>
      <c r="T34" s="71"/>
      <c r="U34" s="2"/>
      <c r="V34" s="2"/>
      <c r="W34" s="2"/>
      <c r="X34" s="2"/>
      <c r="Y34" s="2"/>
      <c r="Z34" s="2"/>
      <c r="AA34" s="2"/>
      <c r="AB34" s="2"/>
    </row>
    <row r="35">
      <c r="A35" s="60">
        <v>1.0</v>
      </c>
      <c r="B35" s="61" t="s">
        <v>35</v>
      </c>
      <c r="C35" s="61" t="str">
        <f t="shared" ref="C35:C39" si="18">C14</f>
        <v>John Finley</v>
      </c>
      <c r="D35" s="63"/>
      <c r="E35" s="63"/>
      <c r="F35" s="61"/>
      <c r="G35" s="63"/>
      <c r="H35" s="63"/>
      <c r="I35" s="65" t="s">
        <v>20</v>
      </c>
      <c r="J35" s="72">
        <f t="shared" ref="J35:J39" si="19">COUNTIFS($C$14:$C$39,C35,$I$14:$I$39,"WIN")</f>
        <v>4</v>
      </c>
      <c r="K35" s="60">
        <v>5.0</v>
      </c>
      <c r="L35" s="61"/>
      <c r="M35" s="61" t="str">
        <f>M18</f>
        <v>Glenn 'Shane' Lewis</v>
      </c>
      <c r="N35" s="62"/>
      <c r="O35" s="63"/>
      <c r="P35" s="61"/>
      <c r="Q35" s="63"/>
      <c r="R35" s="63"/>
      <c r="S35" s="61" t="str">
        <f t="shared" ref="S35:S39" si="20">IF(I35="WIN","LOSS",IF(I35="LOSS","WIN",""))</f>
        <v>LOSS</v>
      </c>
      <c r="T35" s="72">
        <f t="shared" ref="T35:T39" si="21">COUNTIFS($M$14:$M$39,M35,$S$14:$S$39,"WIN")</f>
        <v>1</v>
      </c>
      <c r="U35" s="2"/>
      <c r="V35" s="2"/>
      <c r="W35" s="2"/>
      <c r="X35" s="2"/>
      <c r="Y35" s="2"/>
      <c r="Z35" s="2"/>
      <c r="AA35" s="2"/>
      <c r="AB35" s="2"/>
    </row>
    <row r="36">
      <c r="A36" s="50">
        <v>2.0</v>
      </c>
      <c r="B36" s="2"/>
      <c r="C36" s="2" t="str">
        <f t="shared" si="18"/>
        <v>Margie Sandoval</v>
      </c>
      <c r="D36" s="52"/>
      <c r="E36" s="53"/>
      <c r="F36" s="2"/>
      <c r="G36" s="53"/>
      <c r="H36" s="52"/>
      <c r="I36" s="27" t="s">
        <v>20</v>
      </c>
      <c r="J36" s="55">
        <f t="shared" si="19"/>
        <v>3</v>
      </c>
      <c r="K36" s="67">
        <v>1.0</v>
      </c>
      <c r="L36" s="2" t="s">
        <v>35</v>
      </c>
      <c r="M36" s="2" t="str">
        <f t="shared" ref="M36:M39" si="22">M14</f>
        <v>Mike Stepp</v>
      </c>
      <c r="N36" s="53"/>
      <c r="O36" s="53"/>
      <c r="P36" s="2"/>
      <c r="Q36" s="53"/>
      <c r="R36" s="52"/>
      <c r="S36" s="2" t="str">
        <f t="shared" si="20"/>
        <v>LOSS</v>
      </c>
      <c r="T36" s="55">
        <f t="shared" si="21"/>
        <v>1</v>
      </c>
      <c r="U36" s="2"/>
      <c r="V36" s="2"/>
      <c r="W36" s="2"/>
      <c r="X36" s="2"/>
      <c r="Y36" s="2"/>
      <c r="Z36" s="2"/>
      <c r="AA36" s="2"/>
      <c r="AB36" s="2"/>
    </row>
    <row r="37">
      <c r="A37" s="50">
        <v>3.0</v>
      </c>
      <c r="B37" s="2" t="s">
        <v>35</v>
      </c>
      <c r="C37" s="2" t="str">
        <f t="shared" si="18"/>
        <v>Jose Sanabria</v>
      </c>
      <c r="D37" s="52"/>
      <c r="E37" s="53"/>
      <c r="F37" s="2"/>
      <c r="G37" s="53"/>
      <c r="H37" s="52"/>
      <c r="I37" s="27" t="s">
        <v>21</v>
      </c>
      <c r="J37" s="55">
        <f t="shared" si="19"/>
        <v>1</v>
      </c>
      <c r="K37" s="67">
        <v>2.0</v>
      </c>
      <c r="L37" s="2"/>
      <c r="M37" s="2" t="str">
        <f t="shared" si="22"/>
        <v>Kelvin Singleton</v>
      </c>
      <c r="N37" s="53"/>
      <c r="O37" s="53"/>
      <c r="P37" s="2"/>
      <c r="Q37" s="53"/>
      <c r="R37" s="53"/>
      <c r="S37" s="2" t="str">
        <f t="shared" si="20"/>
        <v>WIN</v>
      </c>
      <c r="T37" s="55">
        <f t="shared" si="21"/>
        <v>4</v>
      </c>
      <c r="U37" s="2"/>
      <c r="V37" s="2"/>
      <c r="W37" s="2"/>
      <c r="X37" s="2"/>
      <c r="Y37" s="2"/>
      <c r="Z37" s="2"/>
      <c r="AA37" s="2"/>
      <c r="AB37" s="2"/>
    </row>
    <row r="38">
      <c r="A38" s="50">
        <v>4.0</v>
      </c>
      <c r="B38" s="2"/>
      <c r="C38" s="2" t="str">
        <f t="shared" si="18"/>
        <v>David Grimes</v>
      </c>
      <c r="D38" s="52"/>
      <c r="E38" s="53"/>
      <c r="F38" s="2"/>
      <c r="G38" s="53"/>
      <c r="H38" s="52"/>
      <c r="I38" s="27" t="s">
        <v>20</v>
      </c>
      <c r="J38" s="55">
        <f t="shared" si="19"/>
        <v>4</v>
      </c>
      <c r="K38" s="67">
        <v>3.0</v>
      </c>
      <c r="L38" s="2" t="s">
        <v>35</v>
      </c>
      <c r="M38" s="2" t="str">
        <f t="shared" si="22"/>
        <v>Justin Whidden</v>
      </c>
      <c r="N38" s="53"/>
      <c r="O38" s="53"/>
      <c r="P38" s="2"/>
      <c r="Q38" s="53"/>
      <c r="R38" s="52"/>
      <c r="S38" s="2" t="str">
        <f t="shared" si="20"/>
        <v>LOSS</v>
      </c>
      <c r="T38" s="55">
        <f t="shared" si="21"/>
        <v>3</v>
      </c>
      <c r="U38" s="2"/>
      <c r="V38" s="2"/>
      <c r="W38" s="2"/>
      <c r="X38" s="2"/>
      <c r="Y38" s="2"/>
      <c r="Z38" s="2"/>
      <c r="AA38" s="2"/>
      <c r="AB38" s="2"/>
    </row>
    <row r="39">
      <c r="A39" s="50">
        <v>5.0</v>
      </c>
      <c r="B39" s="2" t="s">
        <v>35</v>
      </c>
      <c r="C39" s="2" t="str">
        <f t="shared" si="18"/>
        <v>Eliseo Sandoval</v>
      </c>
      <c r="D39" s="53"/>
      <c r="E39" s="53"/>
      <c r="F39" s="2"/>
      <c r="G39" s="53"/>
      <c r="H39" s="52"/>
      <c r="I39" s="27" t="s">
        <v>20</v>
      </c>
      <c r="J39" s="55">
        <f t="shared" si="19"/>
        <v>4</v>
      </c>
      <c r="K39" s="67">
        <v>4.0</v>
      </c>
      <c r="L39" s="2"/>
      <c r="M39" s="2" t="str">
        <f t="shared" si="22"/>
        <v>Kelvin Singleton</v>
      </c>
      <c r="N39" s="52"/>
      <c r="O39" s="53"/>
      <c r="P39" s="2"/>
      <c r="Q39" s="52"/>
      <c r="R39" s="52"/>
      <c r="S39" s="2" t="str">
        <f t="shared" si="20"/>
        <v>LOSS</v>
      </c>
      <c r="T39" s="55">
        <f t="shared" si="21"/>
        <v>4</v>
      </c>
      <c r="U39" s="2"/>
      <c r="V39" s="2"/>
      <c r="W39" s="2"/>
      <c r="X39" s="2"/>
      <c r="Y39" s="2"/>
      <c r="Z39" s="2"/>
      <c r="AA39" s="2"/>
      <c r="AB39" s="2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2"/>
      <c r="V40" s="2"/>
      <c r="W40" s="2"/>
      <c r="X40" s="2"/>
      <c r="Y40" s="2"/>
      <c r="Z40" s="2"/>
      <c r="AA40" s="2"/>
      <c r="AB40" s="2"/>
    </row>
    <row r="41">
      <c r="A41" s="33"/>
      <c r="B41" s="2"/>
      <c r="C41" s="2"/>
      <c r="D41" s="2"/>
      <c r="E41" s="2"/>
      <c r="F41" s="2"/>
      <c r="G41" s="2"/>
      <c r="H41" s="2" t="s">
        <v>46</v>
      </c>
      <c r="I41" s="2"/>
      <c r="J41" s="74">
        <f>IF(F19&gt;P19,F19,P19)</f>
        <v>244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3"/>
      <c r="B42" s="2"/>
      <c r="C42" s="2"/>
      <c r="D42" s="2"/>
      <c r="E42" s="2"/>
      <c r="F42" s="2"/>
      <c r="G42" s="2"/>
      <c r="H42" s="2" t="s">
        <v>47</v>
      </c>
      <c r="I42" s="2"/>
      <c r="J42" s="74">
        <f>IF(F19&lt;P19,F19,P19)</f>
        <v>217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3"/>
      <c r="B43" s="2"/>
      <c r="C43" s="2"/>
      <c r="D43" s="2"/>
      <c r="E43" s="2"/>
      <c r="F43" s="2"/>
      <c r="G43" s="2"/>
      <c r="H43" s="2" t="s">
        <v>48</v>
      </c>
      <c r="I43" s="2"/>
      <c r="J43" s="74">
        <f>J41-J42</f>
        <v>27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 t="s">
        <v>49</v>
      </c>
      <c r="D44" s="2"/>
      <c r="E44" s="2"/>
      <c r="F44" s="2"/>
      <c r="G44" s="2"/>
      <c r="H44" s="2"/>
      <c r="I44" s="2"/>
      <c r="J44" s="74">
        <f>COUNTIF(J35:J39,5)</f>
        <v>0</v>
      </c>
      <c r="K44" s="2"/>
      <c r="L44" s="2"/>
      <c r="M44" s="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 t="s">
        <v>50</v>
      </c>
      <c r="D45" s="2"/>
      <c r="E45" s="2"/>
      <c r="F45" s="2"/>
      <c r="G45" s="2"/>
      <c r="H45" s="2"/>
      <c r="I45" s="2"/>
      <c r="J45" s="74">
        <f>COUNTIF($G$14:$G$39, TRUE)</f>
        <v>1</v>
      </c>
      <c r="K45" s="2"/>
      <c r="L45" s="2"/>
      <c r="M45" s="2" t="s">
        <v>50</v>
      </c>
      <c r="N45" s="2"/>
      <c r="O45" s="2"/>
      <c r="P45" s="2"/>
      <c r="Q45" s="2"/>
      <c r="R45" s="2"/>
      <c r="S45" s="2"/>
      <c r="T45" s="74">
        <f>COUNTIF(Q14:Q39, TRUE)</f>
        <v>0</v>
      </c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 t="s">
        <v>51</v>
      </c>
      <c r="D46" s="2"/>
      <c r="E46" s="2"/>
      <c r="F46" s="2"/>
      <c r="G46" s="2"/>
      <c r="H46" s="2"/>
      <c r="I46" s="2"/>
      <c r="J46" s="74">
        <f>COUNTIF(H14:H39, TRUE)</f>
        <v>0</v>
      </c>
      <c r="K46" s="2"/>
      <c r="L46" s="2"/>
      <c r="M46" s="2" t="s">
        <v>51</v>
      </c>
      <c r="N46" s="2"/>
      <c r="O46" s="2"/>
      <c r="P46" s="2"/>
      <c r="Q46" s="2"/>
      <c r="R46" s="2"/>
      <c r="S46" s="2"/>
      <c r="T46" s="74">
        <f>COUNTIF(R14:R39, TRUE)</f>
        <v>0</v>
      </c>
      <c r="U46" s="2"/>
      <c r="V46" s="2"/>
      <c r="W46" s="2"/>
      <c r="X46" s="2"/>
      <c r="Y46" s="2"/>
      <c r="Z46" s="2"/>
      <c r="AA46" s="2"/>
      <c r="AB46" s="2"/>
    </row>
    <row r="47">
      <c r="A47" s="2"/>
      <c r="B47" s="74">
        <f>IF(F19&gt;P19,2,3)</f>
        <v>2</v>
      </c>
      <c r="C47" s="2" t="s">
        <v>52</v>
      </c>
      <c r="D47" s="2"/>
      <c r="E47" s="2"/>
      <c r="F47" s="2"/>
      <c r="G47" s="2"/>
      <c r="H47" s="2"/>
      <c r="I47" s="2"/>
      <c r="J47" s="74">
        <f>VLOOKUP(J43,CHARTS!$A$1:$C$7,B47,TRUE)</f>
        <v>14</v>
      </c>
      <c r="K47" s="2"/>
      <c r="L47" s="74">
        <f>IF(P19&gt;F19,2,3)</f>
        <v>3</v>
      </c>
      <c r="M47" s="2" t="s">
        <v>52</v>
      </c>
      <c r="N47" s="2"/>
      <c r="O47" s="2"/>
      <c r="P47" s="2"/>
      <c r="Q47" s="2"/>
      <c r="R47" s="2"/>
      <c r="S47" s="2"/>
      <c r="T47" s="74">
        <f>VLOOKUP(J43,CHARTS!$A$1:$C$7,L47,TRUE)</f>
        <v>12</v>
      </c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 t="s">
        <v>53</v>
      </c>
      <c r="D48" s="2"/>
      <c r="E48" s="2"/>
      <c r="F48" s="2"/>
      <c r="G48" s="2"/>
      <c r="H48" s="2"/>
      <c r="I48" s="2"/>
      <c r="J48" s="74">
        <f>ROUND(J47*0.7,0)</f>
        <v>10</v>
      </c>
      <c r="K48" s="2"/>
      <c r="L48" s="2"/>
      <c r="M48" s="2" t="s">
        <v>53</v>
      </c>
      <c r="N48" s="2"/>
      <c r="O48" s="2"/>
      <c r="P48" s="2"/>
      <c r="Q48" s="2"/>
      <c r="R48" s="2"/>
      <c r="S48" s="2"/>
      <c r="T48" s="74">
        <f>ROUND(T47*0.7,0)</f>
        <v>8</v>
      </c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 t="s">
        <v>54</v>
      </c>
      <c r="D49" s="2"/>
      <c r="E49" s="2"/>
      <c r="F49" s="2"/>
      <c r="G49" s="2"/>
      <c r="H49" s="2"/>
      <c r="I49" s="2"/>
      <c r="J49" s="74">
        <f>COUNTIF($I$14:$I$39,"WIN")</f>
        <v>16</v>
      </c>
      <c r="K49" s="2"/>
      <c r="L49" s="2"/>
      <c r="M49" s="2" t="s">
        <v>54</v>
      </c>
      <c r="N49" s="2"/>
      <c r="O49" s="2"/>
      <c r="P49" s="2"/>
      <c r="Q49" s="2"/>
      <c r="R49" s="2"/>
      <c r="S49" s="2"/>
      <c r="T49" s="74">
        <f>COUNTIF($S$14:$S$39,"WIN")</f>
        <v>9</v>
      </c>
      <c r="U49" s="2"/>
      <c r="V49" s="2"/>
      <c r="W49" s="2"/>
      <c r="X49" s="2"/>
      <c r="Y49" s="2"/>
      <c r="Z49" s="2"/>
      <c r="AA49" s="2"/>
      <c r="AB49" s="2"/>
    </row>
    <row r="50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3"/>
      <c r="B55" s="2"/>
      <c r="C55" s="2" t="str">
        <f t="array" ref="C55:D64">INDIRECT("TEAM" &amp; B4)
</f>
        <v>Team 4</v>
      </c>
      <c r="D55" s="2"/>
      <c r="E55" s="2"/>
      <c r="F55" s="2"/>
      <c r="G55" s="2"/>
      <c r="H55" s="2"/>
      <c r="I55" s="2"/>
      <c r="J55" s="2"/>
      <c r="K55" s="2"/>
      <c r="L55" s="2"/>
      <c r="M55" s="2" t="str">
        <f t="array" ref="M55:N64">INDIRECT("TEAM" &amp; L4)
</f>
        <v>Team 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3"/>
      <c r="B56" s="2"/>
      <c r="C56" s="2" t="s">
        <v>84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85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3"/>
      <c r="B57" s="2"/>
      <c r="C57" s="2" t="s">
        <v>82</v>
      </c>
      <c r="D57" s="75">
        <v>60.0</v>
      </c>
      <c r="E57" s="2"/>
      <c r="F57" s="2"/>
      <c r="G57" s="2"/>
      <c r="H57" s="2"/>
      <c r="I57" s="2"/>
      <c r="J57" s="2"/>
      <c r="K57" s="2"/>
      <c r="L57" s="2"/>
      <c r="M57" s="2" t="s">
        <v>80</v>
      </c>
      <c r="N57" s="75">
        <v>54.0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3"/>
      <c r="B58" s="2"/>
      <c r="C58" s="2" t="s">
        <v>75</v>
      </c>
      <c r="D58" s="75">
        <v>64.0</v>
      </c>
      <c r="E58" s="2"/>
      <c r="F58" s="2"/>
      <c r="G58" s="2"/>
      <c r="H58" s="2"/>
      <c r="I58" s="2"/>
      <c r="J58" s="2"/>
      <c r="K58" s="2"/>
      <c r="L58" s="2"/>
      <c r="M58" s="2" t="s">
        <v>86</v>
      </c>
      <c r="N58" s="75">
        <v>74.0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3"/>
      <c r="B59" s="2"/>
      <c r="C59" s="2" t="s">
        <v>79</v>
      </c>
      <c r="D59" s="75">
        <v>42.0</v>
      </c>
      <c r="E59" s="2"/>
      <c r="F59" s="2"/>
      <c r="G59" s="2"/>
      <c r="H59" s="2"/>
      <c r="I59" s="2"/>
      <c r="J59" s="2"/>
      <c r="K59" s="2"/>
      <c r="L59" s="2"/>
      <c r="M59" s="2" t="s">
        <v>83</v>
      </c>
      <c r="N59" s="75">
        <v>45.0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3"/>
      <c r="B60" s="2"/>
      <c r="C60" s="2" t="s">
        <v>87</v>
      </c>
      <c r="D60" s="75">
        <v>76.0</v>
      </c>
      <c r="E60" s="2"/>
      <c r="F60" s="2"/>
      <c r="G60" s="2"/>
      <c r="H60" s="2"/>
      <c r="I60" s="2"/>
      <c r="J60" s="2"/>
      <c r="K60" s="2"/>
      <c r="L60" s="2"/>
      <c r="M60" s="2" t="s">
        <v>88</v>
      </c>
      <c r="N60" s="75">
        <v>40.0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3"/>
      <c r="B61" s="2"/>
      <c r="C61" s="2" t="s">
        <v>77</v>
      </c>
      <c r="D61" s="75">
        <v>27.0</v>
      </c>
      <c r="E61" s="2"/>
      <c r="F61" s="2"/>
      <c r="G61" s="2"/>
      <c r="H61" s="2"/>
      <c r="I61" s="2"/>
      <c r="J61" s="2"/>
      <c r="K61" s="2"/>
      <c r="L61" s="2"/>
      <c r="M61" s="2" t="s">
        <v>78</v>
      </c>
      <c r="N61" s="75">
        <v>28.999999999999996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3"/>
      <c r="B62" s="2"/>
      <c r="C62" s="2" t="s">
        <v>81</v>
      </c>
      <c r="D62" s="75">
        <v>51.0</v>
      </c>
      <c r="E62" s="2"/>
      <c r="F62" s="2"/>
      <c r="G62" s="2"/>
      <c r="H62" s="2"/>
      <c r="I62" s="2"/>
      <c r="J62" s="2"/>
      <c r="K62" s="2"/>
      <c r="L62" s="2"/>
      <c r="M62" s="2" t="s">
        <v>76</v>
      </c>
      <c r="N62" s="75">
        <v>60.0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3"/>
      <c r="B63" s="2"/>
      <c r="C63" s="2" t="s">
        <v>89</v>
      </c>
      <c r="D63" s="75">
        <v>43.0</v>
      </c>
      <c r="E63" s="2"/>
      <c r="F63" s="2"/>
      <c r="G63" s="2"/>
      <c r="H63" s="2"/>
      <c r="I63" s="2"/>
      <c r="J63" s="2"/>
      <c r="K63" s="2"/>
      <c r="L63" s="2"/>
      <c r="M63" s="2" t="s">
        <v>90</v>
      </c>
      <c r="N63" s="75">
        <v>39.0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3"/>
      <c r="B64" s="2"/>
      <c r="C64" s="2" t="s">
        <v>91</v>
      </c>
      <c r="D64" s="76">
        <v>42.0</v>
      </c>
      <c r="E64" s="2"/>
      <c r="F64" s="2"/>
      <c r="G64" s="2"/>
      <c r="H64" s="2"/>
      <c r="I64" s="2"/>
      <c r="J64" s="2"/>
      <c r="K64" s="2"/>
      <c r="L64" s="2"/>
      <c r="M64" s="2" t="s">
        <v>92</v>
      </c>
      <c r="N64" s="76">
        <v>24.0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7"/>
      <c r="B116" s="20"/>
      <c r="C116" s="20"/>
      <c r="D116" s="20"/>
      <c r="E116" s="20"/>
      <c r="F116" s="20"/>
      <c r="G116" s="20"/>
      <c r="H116" s="20"/>
      <c r="I116" s="20"/>
      <c r="J116" s="2"/>
      <c r="K116" s="2"/>
      <c r="L116" s="20"/>
      <c r="M116" s="2"/>
      <c r="N116" s="20"/>
      <c r="O116" s="20"/>
      <c r="P116" s="20"/>
      <c r="Q116" s="20"/>
      <c r="R116" s="20"/>
      <c r="S116" s="20"/>
      <c r="T116" s="20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C4:H4"/>
    <mergeCell ref="M4:S4"/>
  </mergeCells>
  <conditionalFormatting sqref="A19:T39">
    <cfRule type="expression" dxfId="3" priority="1">
      <formula>NOT(ISBLANK($I19))</formula>
    </cfRule>
  </conditionalFormatting>
  <conditionalFormatting sqref="G14:I39">
    <cfRule type="expression" dxfId="0" priority="2">
      <formula>IF(AND($I14 &lt;&gt; "WIN", OR($G14=TRUE,$H14=TRUE)),TRUE,FALSE)</formula>
    </cfRule>
  </conditionalFormatting>
  <conditionalFormatting sqref="Q14:S39">
    <cfRule type="expression" dxfId="0" priority="3">
      <formula>IF(AND($S14 &lt;&gt; "WIN", OR($Q14=TRUE,$R14=TRUE)),TRUE,FALSE)</formula>
    </cfRule>
  </conditionalFormatting>
  <conditionalFormatting sqref="C14:C18 M14:M18">
    <cfRule type="containsBlanks" dxfId="0" priority="4">
      <formula>LEN(TRIM(C14))=0</formula>
    </cfRule>
  </conditionalFormatting>
  <conditionalFormatting sqref="M14:M18">
    <cfRule type="containsBlanks" dxfId="0" priority="5">
      <formula>LEN(TRIM(M14))=0</formula>
    </cfRule>
  </conditionalFormatting>
  <conditionalFormatting sqref="C14:C18 M14:M18">
    <cfRule type="expression" dxfId="4" priority="6">
      <formula>COUNTIF($C$14:$M$18, C14) &gt; 1</formula>
    </cfRule>
  </conditionalFormatting>
  <conditionalFormatting sqref="C14:C18 M14:M18">
    <cfRule type="notContainsBlanks" dxfId="2" priority="7">
      <formula>LEN(TRIM(C14))&gt;0</formula>
    </cfRule>
  </conditionalFormatting>
  <conditionalFormatting sqref="M14:M18">
    <cfRule type="notContainsBlanks" dxfId="2" priority="8">
      <formula>LEN(TRIM(M14))&gt;0</formula>
    </cfRule>
  </conditionalFormatting>
  <dataValidations>
    <dataValidation type="list" allowBlank="1" showErrorMessage="1" sqref="M14:M18">
      <formula1>'MATCH 5'!$M$57:$M$64</formula1>
    </dataValidation>
    <dataValidation type="list" allowBlank="1" showErrorMessage="1" sqref="I14:I33 I35:I39">
      <formula1>"WIN,LOSS"</formula1>
    </dataValidation>
    <dataValidation type="list" allowBlank="1" showErrorMessage="1" sqref="C14:C18">
      <formula1>'MATCH 5'!$C$57:$C$64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63"/>
    <col customWidth="1" min="3" max="3" width="22.63"/>
    <col customWidth="1" min="4" max="10" width="6.75"/>
    <col customWidth="1" min="11" max="11" width="5.75"/>
    <col customWidth="1" min="12" max="12" width="4.88"/>
    <col customWidth="1" min="13" max="13" width="22.63"/>
    <col customWidth="1" min="14" max="20" width="6.75"/>
  </cols>
  <sheetData>
    <row r="1">
      <c r="A1" s="1"/>
      <c r="B1" s="2"/>
      <c r="C1" s="78" t="s">
        <v>93</v>
      </c>
      <c r="D1" s="2"/>
      <c r="E1" s="2"/>
      <c r="F1" s="2"/>
      <c r="G1" s="2"/>
      <c r="H1" s="2"/>
      <c r="I1" s="2"/>
      <c r="J1" s="2"/>
      <c r="K1" s="2"/>
      <c r="L1" s="2"/>
      <c r="M1" s="28" t="s">
        <v>14</v>
      </c>
      <c r="N1" s="29">
        <f>DATA!F1</f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30" t="s">
        <v>15</v>
      </c>
      <c r="J2" s="18" t="str">
        <f>DATA!K10</f>
        <v>Happy Dayz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2">
        <f>DATA!F10</f>
        <v>5</v>
      </c>
      <c r="C4" s="31" t="str">
        <f>DATA!G10</f>
        <v>The Undertakers</v>
      </c>
      <c r="I4" s="2"/>
      <c r="J4" s="32" t="s">
        <v>12</v>
      </c>
      <c r="K4" s="2"/>
      <c r="L4" s="22">
        <f>DATA!I10</f>
        <v>1</v>
      </c>
      <c r="M4" s="31" t="str">
        <f>DATA!J10</f>
        <v>8-Ball Gangster</v>
      </c>
      <c r="T4" s="2"/>
      <c r="U4" s="2"/>
      <c r="V4" s="2"/>
      <c r="W4" s="2"/>
      <c r="X4" s="2"/>
      <c r="Y4" s="2"/>
      <c r="Z4" s="2"/>
      <c r="AA4" s="2"/>
      <c r="AB4" s="2"/>
    </row>
    <row r="5">
      <c r="A5" s="3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3"/>
      <c r="B6" s="2"/>
      <c r="C6" s="16" t="s">
        <v>16</v>
      </c>
      <c r="D6" s="2"/>
      <c r="E6" s="2"/>
      <c r="F6" s="2"/>
      <c r="G6" s="2"/>
      <c r="H6" s="2"/>
      <c r="I6" s="2"/>
      <c r="J6" s="2"/>
      <c r="K6" s="2"/>
      <c r="L6" s="2"/>
      <c r="M6" s="16" t="s">
        <v>17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1.75" customHeight="1">
      <c r="A7" s="34" t="s">
        <v>9</v>
      </c>
      <c r="B7" s="35" t="s">
        <v>18</v>
      </c>
      <c r="C7" s="36" t="s">
        <v>19</v>
      </c>
      <c r="D7" s="36"/>
      <c r="E7" s="36"/>
      <c r="F7" s="36"/>
      <c r="G7" s="37" t="s">
        <v>20</v>
      </c>
      <c r="H7" s="36"/>
      <c r="I7" s="38">
        <f>COUNTIF(I14:I39,G7)</f>
        <v>13</v>
      </c>
      <c r="J7" s="39"/>
      <c r="K7" s="34" t="s">
        <v>9</v>
      </c>
      <c r="L7" s="35" t="s">
        <v>18</v>
      </c>
      <c r="M7" s="36" t="s">
        <v>19</v>
      </c>
      <c r="N7" s="36"/>
      <c r="O7" s="36"/>
      <c r="P7" s="36"/>
      <c r="Q7" s="37" t="s">
        <v>20</v>
      </c>
      <c r="R7" s="37"/>
      <c r="S7" s="38">
        <f>COUNTIF(S14:S39,Q7)</f>
        <v>11</v>
      </c>
      <c r="T7" s="39"/>
      <c r="U7" s="2"/>
      <c r="V7" s="2"/>
      <c r="W7" s="2"/>
      <c r="X7" s="2"/>
      <c r="Y7" s="2"/>
      <c r="Z7" s="2"/>
      <c r="AA7" s="2"/>
      <c r="AB7" s="2"/>
    </row>
    <row r="8" ht="21.75" customHeight="1">
      <c r="A8" s="40"/>
      <c r="B8" s="32">
        <f t="shared" ref="B8:C8" si="1">B4</f>
        <v>5</v>
      </c>
      <c r="C8" s="3" t="str">
        <f t="shared" si="1"/>
        <v>The Undertakers</v>
      </c>
      <c r="D8" s="2"/>
      <c r="E8" s="2"/>
      <c r="F8" s="2"/>
      <c r="G8" s="16" t="s">
        <v>21</v>
      </c>
      <c r="H8" s="2"/>
      <c r="I8" s="17">
        <f>COUNTIF(I14:I39,G8)</f>
        <v>12</v>
      </c>
      <c r="J8" s="41"/>
      <c r="K8" s="40"/>
      <c r="L8" s="32">
        <f t="shared" ref="L8:M8" si="2">L4</f>
        <v>1</v>
      </c>
      <c r="M8" s="3" t="str">
        <f t="shared" si="2"/>
        <v>8-Ball Gangster</v>
      </c>
      <c r="N8" s="2"/>
      <c r="O8" s="2"/>
      <c r="P8" s="2"/>
      <c r="Q8" s="16" t="s">
        <v>21</v>
      </c>
      <c r="R8" s="16"/>
      <c r="S8" s="17">
        <f>COUNTIF(S14:S39,Q8)</f>
        <v>13</v>
      </c>
      <c r="T8" s="41"/>
      <c r="U8" s="2"/>
      <c r="V8" s="2"/>
      <c r="W8" s="2"/>
      <c r="X8" s="2"/>
      <c r="Y8" s="2"/>
      <c r="Z8" s="2"/>
      <c r="AA8" s="2"/>
      <c r="AB8" s="2"/>
    </row>
    <row r="9" ht="21.75" customHeight="1">
      <c r="A9" s="40"/>
      <c r="B9" s="2"/>
      <c r="C9" s="2"/>
      <c r="D9" s="2"/>
      <c r="E9" s="2"/>
      <c r="F9" s="2"/>
      <c r="G9" s="42" t="s">
        <v>22</v>
      </c>
      <c r="H9" s="2"/>
      <c r="I9" s="16">
        <f>if(I7&gt;=D10,3+((I7-D10)*0.1),if(I7&gt;=D11,1.5+((I7-D11)*0.1),I7*0.1))</f>
        <v>3</v>
      </c>
      <c r="J9" s="41"/>
      <c r="K9" s="40"/>
      <c r="L9" s="2"/>
      <c r="M9" s="2"/>
      <c r="N9" s="2"/>
      <c r="O9" s="2"/>
      <c r="P9" s="2"/>
      <c r="Q9" s="42" t="s">
        <v>22</v>
      </c>
      <c r="R9" s="16"/>
      <c r="S9" s="16">
        <f>if(S7&gt;=N10,3+((S7-N10)*0.1),if(S7&gt;=N11,1.5+((S7-N11)*0.1),S7*0.1))</f>
        <v>1.7</v>
      </c>
      <c r="T9" s="41"/>
      <c r="U9" s="2"/>
      <c r="V9" s="2"/>
      <c r="W9" s="2"/>
      <c r="X9" s="2"/>
      <c r="Y9" s="2"/>
      <c r="Z9" s="2"/>
      <c r="AA9" s="2"/>
      <c r="AB9" s="2"/>
    </row>
    <row r="10">
      <c r="A10" s="40"/>
      <c r="B10" s="2"/>
      <c r="C10" s="43" t="s">
        <v>23</v>
      </c>
      <c r="D10" s="44">
        <f t="shared" ref="D10:D11" si="3">J47</f>
        <v>13</v>
      </c>
      <c r="E10" s="44" t="s">
        <v>24</v>
      </c>
      <c r="F10" s="44">
        <f>D10-I7</f>
        <v>0</v>
      </c>
      <c r="G10" s="2"/>
      <c r="H10" s="2"/>
      <c r="I10" s="2"/>
      <c r="J10" s="41"/>
      <c r="K10" s="40"/>
      <c r="L10" s="2"/>
      <c r="M10" s="43" t="s">
        <v>23</v>
      </c>
      <c r="N10" s="44">
        <f t="shared" ref="N10:N11" si="4">T47</f>
        <v>13</v>
      </c>
      <c r="O10" s="44" t="s">
        <v>24</v>
      </c>
      <c r="P10" s="44">
        <f>N10-S7</f>
        <v>2</v>
      </c>
      <c r="Q10" s="2"/>
      <c r="R10" s="2"/>
      <c r="S10" s="2"/>
      <c r="T10" s="41"/>
      <c r="U10" s="2"/>
      <c r="V10" s="2"/>
      <c r="W10" s="2"/>
      <c r="X10" s="2"/>
      <c r="Y10" s="2"/>
      <c r="Z10" s="2"/>
      <c r="AA10" s="2"/>
      <c r="AB10" s="2"/>
    </row>
    <row r="11">
      <c r="A11" s="40"/>
      <c r="B11" s="2"/>
      <c r="C11" s="43" t="s">
        <v>25</v>
      </c>
      <c r="D11" s="79">
        <f t="shared" si="3"/>
        <v>9</v>
      </c>
      <c r="E11" s="44" t="s">
        <v>24</v>
      </c>
      <c r="F11" s="44">
        <f>D11-I7</f>
        <v>-4</v>
      </c>
      <c r="G11" s="2"/>
      <c r="H11" s="2"/>
      <c r="I11" s="2"/>
      <c r="J11" s="41"/>
      <c r="K11" s="40"/>
      <c r="L11" s="2"/>
      <c r="M11" s="43" t="s">
        <v>25</v>
      </c>
      <c r="N11" s="79">
        <f t="shared" si="4"/>
        <v>9</v>
      </c>
      <c r="O11" s="44" t="s">
        <v>24</v>
      </c>
      <c r="P11" s="44">
        <f>N11-S7</f>
        <v>-2</v>
      </c>
      <c r="Q11" s="2"/>
      <c r="R11" s="2"/>
      <c r="S11" s="2"/>
      <c r="T11" s="41"/>
      <c r="U11" s="2"/>
      <c r="V11" s="2"/>
      <c r="W11" s="2"/>
      <c r="X11" s="2"/>
      <c r="Y11" s="2"/>
      <c r="Z11" s="2"/>
      <c r="AA11" s="2"/>
      <c r="AB11" s="2"/>
    </row>
    <row r="12">
      <c r="A12" s="40"/>
      <c r="B12" s="2"/>
      <c r="C12" s="2"/>
      <c r="D12" s="2"/>
      <c r="E12" s="2"/>
      <c r="F12" s="2"/>
      <c r="G12" s="2"/>
      <c r="H12" s="2"/>
      <c r="I12" s="2"/>
      <c r="J12" s="41"/>
      <c r="K12" s="40"/>
      <c r="L12" s="2"/>
      <c r="M12" s="2"/>
      <c r="N12" s="2"/>
      <c r="O12" s="2"/>
      <c r="P12" s="2"/>
      <c r="Q12" s="2"/>
      <c r="R12" s="2"/>
      <c r="S12" s="2"/>
      <c r="T12" s="41"/>
      <c r="U12" s="2"/>
      <c r="V12" s="2"/>
      <c r="W12" s="2"/>
      <c r="X12" s="2"/>
      <c r="Y12" s="2"/>
      <c r="Z12" s="2"/>
      <c r="AA12" s="2"/>
      <c r="AB12" s="2"/>
    </row>
    <row r="13">
      <c r="A13" s="45"/>
      <c r="B13" s="46" t="s">
        <v>26</v>
      </c>
      <c r="C13" s="2" t="s">
        <v>27</v>
      </c>
      <c r="D13" s="47" t="s">
        <v>28</v>
      </c>
      <c r="E13" s="47" t="s">
        <v>29</v>
      </c>
      <c r="F13" s="48" t="s">
        <v>30</v>
      </c>
      <c r="G13" s="48" t="s">
        <v>31</v>
      </c>
      <c r="H13" s="48" t="s">
        <v>32</v>
      </c>
      <c r="I13" s="48" t="s">
        <v>33</v>
      </c>
      <c r="J13" s="84" t="s">
        <v>34</v>
      </c>
      <c r="K13" s="45"/>
      <c r="L13" s="46" t="s">
        <v>26</v>
      </c>
      <c r="M13" s="2" t="s">
        <v>27</v>
      </c>
      <c r="N13" s="47" t="s">
        <v>28</v>
      </c>
      <c r="O13" s="47" t="s">
        <v>29</v>
      </c>
      <c r="P13" s="48" t="s">
        <v>30</v>
      </c>
      <c r="Q13" s="48" t="s">
        <v>31</v>
      </c>
      <c r="R13" s="48" t="s">
        <v>32</v>
      </c>
      <c r="S13" s="48" t="s">
        <v>33</v>
      </c>
      <c r="T13" s="49" t="s">
        <v>34</v>
      </c>
      <c r="U13" s="2"/>
      <c r="V13" s="2"/>
      <c r="W13" s="2"/>
      <c r="X13" s="2"/>
      <c r="Y13" s="2"/>
      <c r="Z13" s="2"/>
      <c r="AA13" s="2"/>
      <c r="AB13" s="2"/>
    </row>
    <row r="14">
      <c r="A14" s="50">
        <v>1.0</v>
      </c>
      <c r="B14" s="2" t="s">
        <v>35</v>
      </c>
      <c r="C14" s="56" t="s">
        <v>94</v>
      </c>
      <c r="D14" s="53"/>
      <c r="E14" s="53"/>
      <c r="F14" s="54">
        <f t="shared" ref="F14:F18" si="5">IFERROR(VLOOKUP(C14,$C$57:$D$64,2,0), 0)</f>
        <v>58</v>
      </c>
      <c r="G14" s="52"/>
      <c r="H14" s="53"/>
      <c r="I14" s="27" t="s">
        <v>20</v>
      </c>
      <c r="J14" s="55">
        <f>COUNTIF(I14,"WIN")</f>
        <v>1</v>
      </c>
      <c r="K14" s="50">
        <v>1.0</v>
      </c>
      <c r="L14" s="2"/>
      <c r="M14" s="56" t="s">
        <v>95</v>
      </c>
      <c r="N14" s="52"/>
      <c r="O14" s="53"/>
      <c r="P14" s="54">
        <f t="shared" ref="P14:P18" si="6">IFERROR(VLOOKUP(M14,$M$57:$N$64,2,0), 0)</f>
        <v>38</v>
      </c>
      <c r="Q14" s="52"/>
      <c r="R14" s="52"/>
      <c r="S14" s="2" t="str">
        <f t="shared" ref="S14:S28" si="7">IF(I14="WIN","LOSS",IF(I14="LOSS","WIN",""))</f>
        <v>LOSS</v>
      </c>
      <c r="T14" s="55">
        <f>COUNTIF(S14,"WIN")</f>
        <v>0</v>
      </c>
      <c r="U14" s="2"/>
      <c r="V14" s="2"/>
      <c r="W14" s="2"/>
      <c r="X14" s="2"/>
      <c r="Y14" s="2"/>
      <c r="Z14" s="2"/>
      <c r="AA14" s="2"/>
      <c r="AB14" s="2"/>
    </row>
    <row r="15">
      <c r="A15" s="50">
        <v>2.0</v>
      </c>
      <c r="B15" s="2" t="s">
        <v>35</v>
      </c>
      <c r="C15" s="57" t="s">
        <v>96</v>
      </c>
      <c r="D15" s="53"/>
      <c r="E15" s="53"/>
      <c r="F15" s="54">
        <f t="shared" si="5"/>
        <v>49</v>
      </c>
      <c r="G15" s="52"/>
      <c r="H15" s="52"/>
      <c r="I15" s="27" t="s">
        <v>20</v>
      </c>
      <c r="J15" s="41">
        <f t="shared" ref="J15:J28" si="8">IF(I15&lt;&gt;"", COUNTIF(I15,"WIN")+J14,"")</f>
        <v>2</v>
      </c>
      <c r="K15" s="50">
        <v>2.0</v>
      </c>
      <c r="L15" s="2"/>
      <c r="M15" s="85" t="s">
        <v>97</v>
      </c>
      <c r="N15" s="52"/>
      <c r="O15" s="53"/>
      <c r="P15" s="54">
        <f t="shared" si="6"/>
        <v>40</v>
      </c>
      <c r="Q15" s="52"/>
      <c r="R15" s="53"/>
      <c r="S15" s="2" t="str">
        <f t="shared" si="7"/>
        <v>LOSS</v>
      </c>
      <c r="T15" s="41">
        <f t="shared" ref="T15:T33" si="9">IF(S15&lt;&gt;"", COUNTIF(S15,"WIN")+T14,"")</f>
        <v>0</v>
      </c>
      <c r="U15" s="2"/>
      <c r="V15" s="2"/>
      <c r="W15" s="2"/>
      <c r="X15" s="2"/>
      <c r="Y15" s="2"/>
      <c r="Z15" s="2"/>
      <c r="AA15" s="2"/>
      <c r="AB15" s="2"/>
    </row>
    <row r="16">
      <c r="A16" s="50">
        <v>3.0</v>
      </c>
      <c r="B16" s="2" t="s">
        <v>35</v>
      </c>
      <c r="C16" s="57" t="s">
        <v>98</v>
      </c>
      <c r="D16" s="53"/>
      <c r="E16" s="53"/>
      <c r="F16" s="54">
        <f t="shared" si="5"/>
        <v>42</v>
      </c>
      <c r="G16" s="53"/>
      <c r="H16" s="53"/>
      <c r="I16" s="27" t="s">
        <v>21</v>
      </c>
      <c r="J16" s="41">
        <f t="shared" si="8"/>
        <v>2</v>
      </c>
      <c r="K16" s="50">
        <v>3.0</v>
      </c>
      <c r="L16" s="2"/>
      <c r="M16" s="57" t="s">
        <v>99</v>
      </c>
      <c r="N16" s="53"/>
      <c r="O16" s="53"/>
      <c r="P16" s="54">
        <f t="shared" si="6"/>
        <v>40</v>
      </c>
      <c r="Q16" s="52"/>
      <c r="R16" s="53"/>
      <c r="S16" s="2" t="str">
        <f t="shared" si="7"/>
        <v>WIN</v>
      </c>
      <c r="T16" s="41">
        <f t="shared" si="9"/>
        <v>1</v>
      </c>
      <c r="U16" s="2"/>
      <c r="V16" s="2"/>
      <c r="W16" s="2"/>
      <c r="X16" s="2"/>
      <c r="Y16" s="2"/>
      <c r="Z16" s="2"/>
      <c r="AA16" s="2"/>
      <c r="AB16" s="2"/>
    </row>
    <row r="17">
      <c r="A17" s="50">
        <v>4.0</v>
      </c>
      <c r="B17" s="2" t="s">
        <v>35</v>
      </c>
      <c r="C17" s="57" t="s">
        <v>100</v>
      </c>
      <c r="D17" s="53"/>
      <c r="E17" s="53"/>
      <c r="F17" s="54">
        <f t="shared" si="5"/>
        <v>44</v>
      </c>
      <c r="G17" s="52"/>
      <c r="H17" s="53"/>
      <c r="I17" s="27" t="s">
        <v>21</v>
      </c>
      <c r="J17" s="41">
        <f t="shared" si="8"/>
        <v>2</v>
      </c>
      <c r="K17" s="50">
        <v>4.0</v>
      </c>
      <c r="L17" s="2"/>
      <c r="M17" s="57" t="s">
        <v>101</v>
      </c>
      <c r="N17" s="52"/>
      <c r="O17" s="53"/>
      <c r="P17" s="54">
        <f t="shared" si="6"/>
        <v>53</v>
      </c>
      <c r="Q17" s="52"/>
      <c r="R17" s="53"/>
      <c r="S17" s="2" t="str">
        <f t="shared" si="7"/>
        <v>WIN</v>
      </c>
      <c r="T17" s="41">
        <f t="shared" si="9"/>
        <v>2</v>
      </c>
      <c r="U17" s="2"/>
      <c r="V17" s="2"/>
      <c r="W17" s="2"/>
      <c r="X17" s="2"/>
      <c r="Y17" s="2"/>
      <c r="Z17" s="2"/>
      <c r="AA17" s="2"/>
      <c r="AB17" s="2"/>
    </row>
    <row r="18">
      <c r="A18" s="50">
        <v>5.0</v>
      </c>
      <c r="B18" s="2" t="s">
        <v>35</v>
      </c>
      <c r="C18" s="58" t="s">
        <v>102</v>
      </c>
      <c r="D18" s="53"/>
      <c r="E18" s="53"/>
      <c r="F18" s="54">
        <f t="shared" si="5"/>
        <v>44</v>
      </c>
      <c r="G18" s="53"/>
      <c r="H18" s="53"/>
      <c r="I18" s="27" t="s">
        <v>21</v>
      </c>
      <c r="J18" s="59">
        <f t="shared" si="8"/>
        <v>2</v>
      </c>
      <c r="K18" s="50">
        <v>5.0</v>
      </c>
      <c r="L18" s="2"/>
      <c r="M18" s="58" t="s">
        <v>103</v>
      </c>
      <c r="N18" s="53"/>
      <c r="O18" s="53"/>
      <c r="P18" s="54">
        <f t="shared" si="6"/>
        <v>70</v>
      </c>
      <c r="Q18" s="53"/>
      <c r="R18" s="53"/>
      <c r="S18" s="2" t="str">
        <f t="shared" si="7"/>
        <v>WIN</v>
      </c>
      <c r="T18" s="59">
        <f t="shared" si="9"/>
        <v>3</v>
      </c>
      <c r="U18" s="2"/>
      <c r="V18" s="2"/>
      <c r="W18" s="2"/>
      <c r="X18" s="2"/>
      <c r="Y18" s="2"/>
      <c r="Z18" s="2"/>
      <c r="AA18" s="2"/>
      <c r="AB18" s="2"/>
    </row>
    <row r="19">
      <c r="A19" s="60">
        <v>1.0</v>
      </c>
      <c r="B19" s="61"/>
      <c r="C19" s="2" t="str">
        <f t="shared" ref="C19:C23" si="10">C14</f>
        <v>Johnny Braxton</v>
      </c>
      <c r="D19" s="63"/>
      <c r="E19" s="63"/>
      <c r="F19" s="64">
        <f>SUM(F14:F18)</f>
        <v>237</v>
      </c>
      <c r="G19" s="63"/>
      <c r="H19" s="62"/>
      <c r="I19" s="65" t="s">
        <v>20</v>
      </c>
      <c r="J19" s="41">
        <f t="shared" si="8"/>
        <v>3</v>
      </c>
      <c r="K19" s="60">
        <v>2.0</v>
      </c>
      <c r="L19" s="61" t="s">
        <v>35</v>
      </c>
      <c r="M19" s="2" t="str">
        <f t="shared" ref="M19:M22" si="11">M15</f>
        <v>Trent Bailey</v>
      </c>
      <c r="N19" s="62"/>
      <c r="O19" s="63"/>
      <c r="P19" s="64">
        <f>SUM(P14:P18)</f>
        <v>241</v>
      </c>
      <c r="Q19" s="63"/>
      <c r="R19" s="63"/>
      <c r="S19" s="61" t="str">
        <f t="shared" si="7"/>
        <v>LOSS</v>
      </c>
      <c r="T19" s="41">
        <f t="shared" si="9"/>
        <v>3</v>
      </c>
      <c r="U19" s="2"/>
      <c r="V19" s="2"/>
      <c r="W19" s="2"/>
      <c r="X19" s="2"/>
      <c r="Y19" s="2"/>
      <c r="Z19" s="2"/>
      <c r="AA19" s="2"/>
      <c r="AB19" s="2"/>
    </row>
    <row r="20">
      <c r="A20" s="50">
        <v>2.0</v>
      </c>
      <c r="B20" s="2"/>
      <c r="C20" s="2" t="str">
        <f t="shared" si="10"/>
        <v>Ed Carle</v>
      </c>
      <c r="D20" s="52" t="b">
        <v>1</v>
      </c>
      <c r="E20" s="53"/>
      <c r="F20" s="2"/>
      <c r="G20" s="53"/>
      <c r="H20" s="53"/>
      <c r="I20" s="27" t="s">
        <v>21</v>
      </c>
      <c r="J20" s="41">
        <f t="shared" si="8"/>
        <v>3</v>
      </c>
      <c r="K20" s="50">
        <v>3.0</v>
      </c>
      <c r="L20" s="2" t="s">
        <v>35</v>
      </c>
      <c r="M20" s="2" t="str">
        <f t="shared" si="11"/>
        <v>Rick Bergevin Sr.</v>
      </c>
      <c r="N20" s="53"/>
      <c r="O20" s="53"/>
      <c r="P20" s="2"/>
      <c r="Q20" s="52"/>
      <c r="R20" s="53"/>
      <c r="S20" s="2" t="str">
        <f t="shared" si="7"/>
        <v>WIN</v>
      </c>
      <c r="T20" s="41">
        <f t="shared" si="9"/>
        <v>4</v>
      </c>
      <c r="U20" s="2"/>
      <c r="V20" s="2"/>
      <c r="W20" s="2"/>
      <c r="X20" s="2"/>
      <c r="Y20" s="2"/>
      <c r="Z20" s="2"/>
      <c r="AA20" s="2"/>
      <c r="AB20" s="2"/>
    </row>
    <row r="21">
      <c r="A21" s="50">
        <v>3.0</v>
      </c>
      <c r="B21" s="2"/>
      <c r="C21" s="2" t="str">
        <f t="shared" si="10"/>
        <v>Jimmy Newsome</v>
      </c>
      <c r="D21" s="52"/>
      <c r="E21" s="53"/>
      <c r="F21" s="2"/>
      <c r="G21" s="52"/>
      <c r="H21" s="53"/>
      <c r="I21" s="27" t="s">
        <v>20</v>
      </c>
      <c r="J21" s="41">
        <f t="shared" si="8"/>
        <v>4</v>
      </c>
      <c r="K21" s="50">
        <v>4.0</v>
      </c>
      <c r="L21" s="2" t="s">
        <v>35</v>
      </c>
      <c r="M21" s="2" t="str">
        <f t="shared" si="11"/>
        <v>Tim Carpenter</v>
      </c>
      <c r="N21" s="52"/>
      <c r="O21" s="53"/>
      <c r="P21" s="2"/>
      <c r="Q21" s="52"/>
      <c r="R21" s="52"/>
      <c r="S21" s="2" t="str">
        <f t="shared" si="7"/>
        <v>LOSS</v>
      </c>
      <c r="T21" s="41">
        <f t="shared" si="9"/>
        <v>4</v>
      </c>
      <c r="U21" s="2"/>
      <c r="V21" s="2"/>
      <c r="W21" s="2"/>
      <c r="X21" s="2"/>
      <c r="Y21" s="2"/>
      <c r="Z21" s="2"/>
      <c r="AA21" s="2"/>
      <c r="AB21" s="2"/>
    </row>
    <row r="22">
      <c r="A22" s="50">
        <v>4.0</v>
      </c>
      <c r="B22" s="2"/>
      <c r="C22" s="2" t="str">
        <f t="shared" si="10"/>
        <v>Ed Phillips</v>
      </c>
      <c r="D22" s="53"/>
      <c r="E22" s="53"/>
      <c r="F22" s="2"/>
      <c r="G22" s="53"/>
      <c r="H22" s="53"/>
      <c r="I22" s="27" t="s">
        <v>21</v>
      </c>
      <c r="J22" s="41">
        <f t="shared" si="8"/>
        <v>4</v>
      </c>
      <c r="K22" s="50">
        <v>5.0</v>
      </c>
      <c r="L22" s="2" t="s">
        <v>35</v>
      </c>
      <c r="M22" s="2" t="str">
        <f t="shared" si="11"/>
        <v>Gerald Knierim</v>
      </c>
      <c r="N22" s="52"/>
      <c r="O22" s="53"/>
      <c r="P22" s="2"/>
      <c r="Q22" s="53"/>
      <c r="R22" s="53"/>
      <c r="S22" s="2" t="str">
        <f t="shared" si="7"/>
        <v>WIN</v>
      </c>
      <c r="T22" s="41">
        <f t="shared" si="9"/>
        <v>5</v>
      </c>
      <c r="U22" s="2"/>
      <c r="V22" s="2"/>
      <c r="W22" s="2"/>
      <c r="X22" s="2"/>
      <c r="Y22" s="2"/>
      <c r="Z22" s="2"/>
      <c r="AA22" s="2"/>
      <c r="AB22" s="2"/>
    </row>
    <row r="23">
      <c r="A23" s="50">
        <v>5.0</v>
      </c>
      <c r="B23" s="2"/>
      <c r="C23" s="2" t="str">
        <f t="shared" si="10"/>
        <v>Bill Holly</v>
      </c>
      <c r="D23" s="53"/>
      <c r="E23" s="53"/>
      <c r="F23" s="2"/>
      <c r="G23" s="53"/>
      <c r="H23" s="53"/>
      <c r="I23" s="27" t="s">
        <v>20</v>
      </c>
      <c r="J23" s="59">
        <f t="shared" si="8"/>
        <v>5</v>
      </c>
      <c r="K23" s="67">
        <v>1.0</v>
      </c>
      <c r="L23" s="2" t="s">
        <v>35</v>
      </c>
      <c r="M23" s="2" t="str">
        <f>M14</f>
        <v>Hot Rod Zalewski</v>
      </c>
      <c r="N23" s="53"/>
      <c r="O23" s="53"/>
      <c r="P23" s="2"/>
      <c r="Q23" s="52"/>
      <c r="R23" s="53"/>
      <c r="S23" s="2" t="str">
        <f t="shared" si="7"/>
        <v>LOSS</v>
      </c>
      <c r="T23" s="59">
        <f t="shared" si="9"/>
        <v>5</v>
      </c>
      <c r="U23" s="2"/>
      <c r="V23" s="2"/>
      <c r="W23" s="2"/>
      <c r="X23" s="2"/>
      <c r="Y23" s="2"/>
      <c r="Z23" s="2"/>
      <c r="AA23" s="2"/>
      <c r="AB23" s="2"/>
    </row>
    <row r="24">
      <c r="A24" s="60">
        <v>1.0</v>
      </c>
      <c r="B24" s="61" t="s">
        <v>35</v>
      </c>
      <c r="C24" s="61" t="str">
        <f t="shared" ref="C24:C28" si="12">C14</f>
        <v>Johnny Braxton</v>
      </c>
      <c r="D24" s="63"/>
      <c r="E24" s="63"/>
      <c r="F24" s="61"/>
      <c r="G24" s="62"/>
      <c r="H24" s="63"/>
      <c r="I24" s="65" t="s">
        <v>20</v>
      </c>
      <c r="J24" s="41">
        <f t="shared" si="8"/>
        <v>6</v>
      </c>
      <c r="K24" s="60">
        <v>3.0</v>
      </c>
      <c r="L24" s="61"/>
      <c r="M24" s="61" t="str">
        <f t="shared" ref="M24:M26" si="13">M16</f>
        <v>Rick Bergevin Sr.</v>
      </c>
      <c r="N24" s="63"/>
      <c r="O24" s="63"/>
      <c r="P24" s="61"/>
      <c r="Q24" s="63"/>
      <c r="R24" s="63"/>
      <c r="S24" s="61" t="str">
        <f t="shared" si="7"/>
        <v>LOSS</v>
      </c>
      <c r="T24" s="41">
        <f t="shared" si="9"/>
        <v>5</v>
      </c>
      <c r="U24" s="2"/>
      <c r="V24" s="2"/>
      <c r="W24" s="2"/>
      <c r="X24" s="2"/>
      <c r="Y24" s="2"/>
      <c r="Z24" s="2"/>
      <c r="AA24" s="2"/>
      <c r="AB24" s="2"/>
    </row>
    <row r="25">
      <c r="A25" s="50">
        <v>2.0</v>
      </c>
      <c r="B25" s="2" t="s">
        <v>35</v>
      </c>
      <c r="C25" s="2" t="str">
        <f t="shared" si="12"/>
        <v>Ed Carle</v>
      </c>
      <c r="D25" s="53"/>
      <c r="E25" s="53"/>
      <c r="F25" s="2"/>
      <c r="G25" s="53"/>
      <c r="H25" s="52"/>
      <c r="I25" s="27" t="s">
        <v>20</v>
      </c>
      <c r="J25" s="41">
        <f t="shared" si="8"/>
        <v>7</v>
      </c>
      <c r="K25" s="50">
        <v>4.0</v>
      </c>
      <c r="L25" s="2"/>
      <c r="M25" s="2" t="str">
        <f t="shared" si="13"/>
        <v>Tim Carpenter</v>
      </c>
      <c r="N25" s="52"/>
      <c r="O25" s="53"/>
      <c r="P25" s="2"/>
      <c r="Q25" s="53"/>
      <c r="R25" s="53"/>
      <c r="S25" s="2" t="str">
        <f t="shared" si="7"/>
        <v>LOSS</v>
      </c>
      <c r="T25" s="41">
        <f t="shared" si="9"/>
        <v>5</v>
      </c>
      <c r="U25" s="2"/>
      <c r="V25" s="2"/>
      <c r="W25" s="2"/>
      <c r="X25" s="2"/>
      <c r="Y25" s="2"/>
      <c r="Z25" s="2"/>
      <c r="AA25" s="2"/>
      <c r="AB25" s="2"/>
    </row>
    <row r="26">
      <c r="A26" s="50">
        <v>3.0</v>
      </c>
      <c r="B26" s="2" t="s">
        <v>35</v>
      </c>
      <c r="C26" s="2" t="str">
        <f t="shared" si="12"/>
        <v>Jimmy Newsome</v>
      </c>
      <c r="D26" s="53"/>
      <c r="E26" s="53"/>
      <c r="F26" s="2"/>
      <c r="G26" s="53"/>
      <c r="H26" s="53"/>
      <c r="I26" s="27" t="s">
        <v>20</v>
      </c>
      <c r="J26" s="41">
        <f t="shared" si="8"/>
        <v>8</v>
      </c>
      <c r="K26" s="50">
        <v>5.0</v>
      </c>
      <c r="L26" s="2"/>
      <c r="M26" s="2" t="str">
        <f t="shared" si="13"/>
        <v>Gerald Knierim</v>
      </c>
      <c r="N26" s="53"/>
      <c r="O26" s="53"/>
      <c r="P26" s="2"/>
      <c r="Q26" s="53"/>
      <c r="R26" s="53"/>
      <c r="S26" s="2" t="str">
        <f t="shared" si="7"/>
        <v>LOSS</v>
      </c>
      <c r="T26" s="41">
        <f t="shared" si="9"/>
        <v>5</v>
      </c>
      <c r="U26" s="2"/>
      <c r="V26" s="2"/>
      <c r="W26" s="2"/>
      <c r="X26" s="2"/>
      <c r="Y26" s="2"/>
      <c r="Z26" s="2"/>
      <c r="AA26" s="2"/>
      <c r="AB26" s="2"/>
    </row>
    <row r="27">
      <c r="A27" s="50">
        <v>4.0</v>
      </c>
      <c r="B27" s="2" t="s">
        <v>35</v>
      </c>
      <c r="C27" s="2" t="str">
        <f t="shared" si="12"/>
        <v>Ed Phillips</v>
      </c>
      <c r="D27" s="53"/>
      <c r="E27" s="53"/>
      <c r="F27" s="2"/>
      <c r="G27" s="53"/>
      <c r="H27" s="52"/>
      <c r="I27" s="65" t="s">
        <v>21</v>
      </c>
      <c r="J27" s="41">
        <f t="shared" si="8"/>
        <v>8</v>
      </c>
      <c r="K27" s="67">
        <v>1.0</v>
      </c>
      <c r="L27" s="2"/>
      <c r="M27" s="2" t="str">
        <f t="shared" ref="M27:M28" si="14">M14</f>
        <v>Hot Rod Zalewski</v>
      </c>
      <c r="N27" s="53"/>
      <c r="O27" s="53"/>
      <c r="P27" s="2"/>
      <c r="Q27" s="53"/>
      <c r="R27" s="53"/>
      <c r="S27" s="2" t="str">
        <f t="shared" si="7"/>
        <v>WIN</v>
      </c>
      <c r="T27" s="41">
        <f t="shared" si="9"/>
        <v>6</v>
      </c>
      <c r="U27" s="2"/>
      <c r="V27" s="2"/>
      <c r="W27" s="2"/>
      <c r="X27" s="2"/>
      <c r="Y27" s="2"/>
      <c r="Z27" s="2"/>
      <c r="AA27" s="2"/>
      <c r="AB27" s="2"/>
    </row>
    <row r="28">
      <c r="A28" s="50">
        <v>5.0</v>
      </c>
      <c r="B28" s="2" t="s">
        <v>35</v>
      </c>
      <c r="C28" s="2" t="str">
        <f t="shared" si="12"/>
        <v>Bill Holly</v>
      </c>
      <c r="D28" s="53"/>
      <c r="E28" s="53"/>
      <c r="F28" s="2"/>
      <c r="G28" s="52"/>
      <c r="H28" s="52"/>
      <c r="I28" s="65" t="s">
        <v>21</v>
      </c>
      <c r="J28" s="59">
        <f t="shared" si="8"/>
        <v>8</v>
      </c>
      <c r="K28" s="67">
        <v>2.0</v>
      </c>
      <c r="L28" s="2"/>
      <c r="M28" s="2" t="str">
        <f t="shared" si="14"/>
        <v>Trent Bailey</v>
      </c>
      <c r="N28" s="53"/>
      <c r="O28" s="53"/>
      <c r="P28" s="2"/>
      <c r="Q28" s="53"/>
      <c r="R28" s="53"/>
      <c r="S28" s="2" t="str">
        <f t="shared" si="7"/>
        <v>WIN</v>
      </c>
      <c r="T28" s="59">
        <f t="shared" si="9"/>
        <v>7</v>
      </c>
      <c r="U28" s="2"/>
      <c r="V28" s="2"/>
      <c r="W28" s="2"/>
      <c r="X28" s="2"/>
      <c r="Y28" s="2"/>
      <c r="Z28" s="2"/>
      <c r="AA28" s="2"/>
      <c r="AB28" s="2"/>
    </row>
    <row r="29">
      <c r="A29" s="60">
        <v>1.0</v>
      </c>
      <c r="B29" s="61"/>
      <c r="C29" s="61" t="str">
        <f t="shared" ref="C29:C33" si="15">C14</f>
        <v>Johnny Braxton</v>
      </c>
      <c r="D29" s="63"/>
      <c r="E29" s="63"/>
      <c r="F29" s="61"/>
      <c r="G29" s="62"/>
      <c r="H29" s="63"/>
      <c r="I29" s="65" t="s">
        <v>21</v>
      </c>
      <c r="J29" s="41">
        <f t="shared" ref="J29:J30" si="16">IF(I30&lt;&gt;"", COUNTIF(I30,"WIN")+J28,"")</f>
        <v>8</v>
      </c>
      <c r="K29" s="60">
        <v>4.0</v>
      </c>
      <c r="L29" s="61" t="s">
        <v>35</v>
      </c>
      <c r="M29" s="61" t="str">
        <f t="shared" ref="M29:M30" si="17">M17</f>
        <v>Tim Carpenter</v>
      </c>
      <c r="N29" s="62"/>
      <c r="O29" s="63"/>
      <c r="P29" s="61"/>
      <c r="Q29" s="63"/>
      <c r="R29" s="63"/>
      <c r="S29" s="61" t="str">
        <f t="shared" ref="S29:S30" si="18">IF(I30="WIN","LOSS",IF(I30="LOSS","WIN",""))</f>
        <v>WIN</v>
      </c>
      <c r="T29" s="41">
        <f t="shared" si="9"/>
        <v>8</v>
      </c>
      <c r="U29" s="2"/>
      <c r="V29" s="2"/>
      <c r="W29" s="2"/>
      <c r="X29" s="2"/>
      <c r="Y29" s="2"/>
      <c r="Z29" s="2"/>
      <c r="AA29" s="2"/>
      <c r="AB29" s="2"/>
    </row>
    <row r="30">
      <c r="A30" s="50">
        <v>2.0</v>
      </c>
      <c r="B30" s="2"/>
      <c r="C30" s="2" t="str">
        <f t="shared" si="15"/>
        <v>Ed Carle</v>
      </c>
      <c r="D30" s="53"/>
      <c r="E30" s="53"/>
      <c r="F30" s="2"/>
      <c r="G30" s="53"/>
      <c r="H30" s="53"/>
      <c r="I30" s="65" t="s">
        <v>21</v>
      </c>
      <c r="J30" s="41">
        <f t="shared" si="16"/>
        <v>9</v>
      </c>
      <c r="K30" s="50">
        <v>5.0</v>
      </c>
      <c r="L30" s="2" t="s">
        <v>35</v>
      </c>
      <c r="M30" s="2" t="str">
        <f t="shared" si="17"/>
        <v>Gerald Knierim</v>
      </c>
      <c r="N30" s="52"/>
      <c r="O30" s="53"/>
      <c r="P30" s="2"/>
      <c r="Q30" s="53"/>
      <c r="R30" s="53"/>
      <c r="S30" s="2" t="str">
        <f t="shared" si="18"/>
        <v>LOSS</v>
      </c>
      <c r="T30" s="41">
        <f t="shared" si="9"/>
        <v>8</v>
      </c>
      <c r="U30" s="2"/>
      <c r="V30" s="2"/>
      <c r="W30" s="2"/>
      <c r="X30" s="2"/>
      <c r="Y30" s="2"/>
      <c r="Z30" s="2"/>
      <c r="AA30" s="2"/>
      <c r="AB30" s="2"/>
    </row>
    <row r="31">
      <c r="A31" s="50">
        <v>3.0</v>
      </c>
      <c r="B31" s="2"/>
      <c r="C31" s="2" t="str">
        <f t="shared" si="15"/>
        <v>Jimmy Newsome</v>
      </c>
      <c r="D31" s="53"/>
      <c r="E31" s="53"/>
      <c r="F31" s="2"/>
      <c r="G31" s="53"/>
      <c r="H31" s="53"/>
      <c r="I31" s="27" t="s">
        <v>20</v>
      </c>
      <c r="J31" s="41" t="str">
        <f>IF(#REF!&lt;&gt;"", COUNTIF(#REF!,"WIN")+J30,"")</f>
        <v>#REF!</v>
      </c>
      <c r="K31" s="67">
        <v>1.0</v>
      </c>
      <c r="L31" s="2" t="s">
        <v>35</v>
      </c>
      <c r="M31" s="2" t="str">
        <f t="shared" ref="M31:M33" si="19">M14</f>
        <v>Hot Rod Zalewski</v>
      </c>
      <c r="N31" s="53"/>
      <c r="O31" s="53"/>
      <c r="P31" s="2"/>
      <c r="Q31" s="53"/>
      <c r="R31" s="52"/>
      <c r="S31" s="2" t="str">
        <f>IF(#REF!="WIN","LOSS",IF(#REF!="LOSS","WIN",""))</f>
        <v>#REF!</v>
      </c>
      <c r="T31" s="41" t="str">
        <f t="shared" si="9"/>
        <v>#REF!</v>
      </c>
      <c r="U31" s="2"/>
      <c r="V31" s="2"/>
      <c r="W31" s="2"/>
      <c r="X31" s="2"/>
      <c r="Y31" s="2"/>
      <c r="Z31" s="2"/>
      <c r="AA31" s="2"/>
      <c r="AB31" s="2"/>
    </row>
    <row r="32">
      <c r="A32" s="50">
        <v>4.0</v>
      </c>
      <c r="B32" s="2"/>
      <c r="C32" s="2" t="str">
        <f t="shared" si="15"/>
        <v>Ed Phillips</v>
      </c>
      <c r="D32" s="53"/>
      <c r="E32" s="53"/>
      <c r="F32" s="2"/>
      <c r="G32" s="53"/>
      <c r="H32" s="53"/>
      <c r="I32" s="27" t="s">
        <v>20</v>
      </c>
      <c r="J32" s="41" t="str">
        <f t="shared" ref="J32:J33" si="20">IF(I32&lt;&gt;"", COUNTIF(I32,"WIN")+J31,"")</f>
        <v>#REF!</v>
      </c>
      <c r="K32" s="67">
        <v>2.0</v>
      </c>
      <c r="L32" s="2" t="s">
        <v>35</v>
      </c>
      <c r="M32" s="2" t="str">
        <f t="shared" si="19"/>
        <v>Trent Bailey</v>
      </c>
      <c r="N32" s="52"/>
      <c r="O32" s="53"/>
      <c r="P32" s="2"/>
      <c r="Q32" s="53"/>
      <c r="R32" s="53"/>
      <c r="S32" s="2" t="str">
        <f t="shared" ref="S32:S33" si="21">IF(I32="WIN","LOSS",IF(I32="LOSS","WIN",""))</f>
        <v>LOSS</v>
      </c>
      <c r="T32" s="41" t="str">
        <f t="shared" si="9"/>
        <v>#REF!</v>
      </c>
      <c r="U32" s="2"/>
      <c r="V32" s="2"/>
      <c r="W32" s="2"/>
      <c r="X32" s="2"/>
      <c r="Y32" s="2"/>
      <c r="Z32" s="2"/>
      <c r="AA32" s="2"/>
      <c r="AB32" s="2"/>
    </row>
    <row r="33">
      <c r="A33" s="50">
        <v>5.0</v>
      </c>
      <c r="B33" s="2"/>
      <c r="C33" s="2" t="str">
        <f t="shared" si="15"/>
        <v>Bill Holly</v>
      </c>
      <c r="D33" s="52" t="b">
        <v>1</v>
      </c>
      <c r="E33" s="53"/>
      <c r="F33" s="2"/>
      <c r="G33" s="53"/>
      <c r="H33" s="53"/>
      <c r="I33" s="27" t="s">
        <v>20</v>
      </c>
      <c r="J33" s="41" t="str">
        <f t="shared" si="20"/>
        <v>#REF!</v>
      </c>
      <c r="K33" s="67">
        <v>3.0</v>
      </c>
      <c r="L33" s="2" t="s">
        <v>35</v>
      </c>
      <c r="M33" s="2" t="str">
        <f t="shared" si="19"/>
        <v>Rick Bergevin Sr.</v>
      </c>
      <c r="N33" s="53"/>
      <c r="O33" s="53"/>
      <c r="P33" s="2"/>
      <c r="Q33" s="53"/>
      <c r="R33" s="53"/>
      <c r="S33" s="2" t="str">
        <f t="shared" si="21"/>
        <v>LOSS</v>
      </c>
      <c r="T33" s="41" t="str">
        <f t="shared" si="9"/>
        <v>#REF!</v>
      </c>
      <c r="U33" s="2"/>
      <c r="V33" s="2"/>
      <c r="W33" s="2"/>
      <c r="X33" s="2"/>
      <c r="Y33" s="2"/>
      <c r="Z33" s="2"/>
      <c r="AA33" s="2"/>
      <c r="AB33" s="2"/>
    </row>
    <row r="34">
      <c r="A34" s="70"/>
      <c r="B34" s="61"/>
      <c r="C34" s="61"/>
      <c r="D34" s="61"/>
      <c r="E34" s="61"/>
      <c r="F34" s="61"/>
      <c r="G34" s="61"/>
      <c r="H34" s="61"/>
      <c r="I34" s="61"/>
      <c r="J34" s="71"/>
      <c r="K34" s="70"/>
      <c r="L34" s="61"/>
      <c r="M34" s="61"/>
      <c r="N34" s="61"/>
      <c r="O34" s="61"/>
      <c r="P34" s="61"/>
      <c r="Q34" s="61"/>
      <c r="R34" s="61"/>
      <c r="S34" s="61"/>
      <c r="T34" s="71"/>
      <c r="U34" s="2"/>
      <c r="V34" s="2"/>
      <c r="W34" s="2"/>
      <c r="X34" s="2"/>
      <c r="Y34" s="2"/>
      <c r="Z34" s="2"/>
      <c r="AA34" s="2"/>
      <c r="AB34" s="2"/>
    </row>
    <row r="35">
      <c r="A35" s="60">
        <v>1.0</v>
      </c>
      <c r="B35" s="61" t="s">
        <v>35</v>
      </c>
      <c r="C35" s="61" t="str">
        <f t="shared" ref="C35:C39" si="22">C14</f>
        <v>Johnny Braxton</v>
      </c>
      <c r="D35" s="63"/>
      <c r="E35" s="63"/>
      <c r="F35" s="61"/>
      <c r="G35" s="62"/>
      <c r="H35" s="63"/>
      <c r="I35" s="65" t="s">
        <v>21</v>
      </c>
      <c r="J35" s="72">
        <f t="shared" ref="J35:J39" si="23">COUNTIFS($C$14:$C$39,C35,$I$14:$I$39,"WIN")</f>
        <v>3</v>
      </c>
      <c r="K35" s="60">
        <v>5.0</v>
      </c>
      <c r="L35" s="61"/>
      <c r="M35" s="61" t="str">
        <f>M18</f>
        <v>Gerald Knierim</v>
      </c>
      <c r="N35" s="63"/>
      <c r="O35" s="63"/>
      <c r="P35" s="61"/>
      <c r="Q35" s="63"/>
      <c r="R35" s="63"/>
      <c r="S35" s="61" t="str">
        <f t="shared" ref="S35:S39" si="24">IF(I35="WIN","LOSS",IF(I35="LOSS","WIN",""))</f>
        <v>WIN</v>
      </c>
      <c r="T35" s="72">
        <f t="shared" ref="T35:T39" si="25">COUNTIFS($M$14:$M$39,M35,$S$14:$S$39,"WIN")</f>
        <v>3</v>
      </c>
      <c r="U35" s="2"/>
      <c r="V35" s="2"/>
      <c r="W35" s="2"/>
      <c r="X35" s="2"/>
      <c r="Y35" s="2"/>
      <c r="Z35" s="2"/>
      <c r="AA35" s="2"/>
      <c r="AB35" s="2"/>
    </row>
    <row r="36">
      <c r="A36" s="50">
        <v>2.0</v>
      </c>
      <c r="B36" s="2"/>
      <c r="C36" s="2" t="str">
        <f t="shared" si="22"/>
        <v>Ed Carle</v>
      </c>
      <c r="D36" s="53"/>
      <c r="E36" s="53"/>
      <c r="F36" s="2"/>
      <c r="G36" s="53"/>
      <c r="H36" s="52" t="b">
        <v>1</v>
      </c>
      <c r="I36" s="27" t="s">
        <v>20</v>
      </c>
      <c r="J36" s="55">
        <f t="shared" si="23"/>
        <v>3</v>
      </c>
      <c r="K36" s="67">
        <v>1.0</v>
      </c>
      <c r="L36" s="2" t="s">
        <v>35</v>
      </c>
      <c r="M36" s="2" t="str">
        <f t="shared" ref="M36:M39" si="26">M14</f>
        <v>Hot Rod Zalewski</v>
      </c>
      <c r="N36" s="52" t="b">
        <v>1</v>
      </c>
      <c r="O36" s="53"/>
      <c r="P36" s="2"/>
      <c r="Q36" s="53"/>
      <c r="R36" s="53"/>
      <c r="S36" s="2" t="str">
        <f t="shared" si="24"/>
        <v>LOSS</v>
      </c>
      <c r="T36" s="55">
        <f t="shared" si="25"/>
        <v>1</v>
      </c>
      <c r="U36" s="2"/>
      <c r="V36" s="2"/>
      <c r="W36" s="2"/>
      <c r="X36" s="2"/>
      <c r="Y36" s="2"/>
      <c r="Z36" s="2"/>
      <c r="AA36" s="2"/>
      <c r="AB36" s="2"/>
    </row>
    <row r="37">
      <c r="A37" s="50">
        <v>3.0</v>
      </c>
      <c r="B37" s="2" t="s">
        <v>35</v>
      </c>
      <c r="C37" s="2" t="str">
        <f t="shared" si="22"/>
        <v>Jimmy Newsome</v>
      </c>
      <c r="D37" s="53"/>
      <c r="E37" s="53"/>
      <c r="F37" s="2"/>
      <c r="G37" s="53"/>
      <c r="H37" s="52" t="b">
        <v>0</v>
      </c>
      <c r="I37" s="27" t="s">
        <v>20</v>
      </c>
      <c r="J37" s="55">
        <f t="shared" si="23"/>
        <v>4</v>
      </c>
      <c r="K37" s="67">
        <v>2.0</v>
      </c>
      <c r="L37" s="2"/>
      <c r="M37" s="2" t="str">
        <f t="shared" si="26"/>
        <v>Trent Bailey</v>
      </c>
      <c r="N37" s="53"/>
      <c r="O37" s="53"/>
      <c r="P37" s="2"/>
      <c r="Q37" s="53"/>
      <c r="R37" s="53"/>
      <c r="S37" s="2" t="str">
        <f t="shared" si="24"/>
        <v>LOSS</v>
      </c>
      <c r="T37" s="55">
        <f t="shared" si="25"/>
        <v>1</v>
      </c>
      <c r="U37" s="2"/>
      <c r="V37" s="2"/>
      <c r="W37" s="2"/>
      <c r="X37" s="2"/>
      <c r="Y37" s="2"/>
      <c r="Z37" s="2"/>
      <c r="AA37" s="2"/>
      <c r="AB37" s="2"/>
    </row>
    <row r="38">
      <c r="A38" s="50">
        <v>4.0</v>
      </c>
      <c r="B38" s="2"/>
      <c r="C38" s="2" t="str">
        <f t="shared" si="22"/>
        <v>Ed Phillips</v>
      </c>
      <c r="D38" s="53"/>
      <c r="E38" s="53"/>
      <c r="F38" s="2"/>
      <c r="G38" s="53"/>
      <c r="H38" s="53"/>
      <c r="I38" s="27" t="s">
        <v>21</v>
      </c>
      <c r="J38" s="55">
        <f t="shared" si="23"/>
        <v>1</v>
      </c>
      <c r="K38" s="67">
        <v>3.0</v>
      </c>
      <c r="L38" s="2" t="s">
        <v>35</v>
      </c>
      <c r="M38" s="2" t="str">
        <f t="shared" si="26"/>
        <v>Rick Bergevin Sr.</v>
      </c>
      <c r="N38" s="52" t="b">
        <v>1</v>
      </c>
      <c r="O38" s="53"/>
      <c r="P38" s="2"/>
      <c r="Q38" s="52"/>
      <c r="R38" s="52"/>
      <c r="S38" s="2" t="str">
        <f t="shared" si="24"/>
        <v>WIN</v>
      </c>
      <c r="T38" s="55">
        <f t="shared" si="25"/>
        <v>3</v>
      </c>
      <c r="U38" s="2"/>
      <c r="V38" s="2"/>
      <c r="W38" s="2"/>
      <c r="X38" s="2"/>
      <c r="Y38" s="2"/>
      <c r="Z38" s="2"/>
      <c r="AA38" s="2"/>
      <c r="AB38" s="2"/>
    </row>
    <row r="39">
      <c r="A39" s="50">
        <v>5.0</v>
      </c>
      <c r="B39" s="2" t="s">
        <v>35</v>
      </c>
      <c r="C39" s="2" t="str">
        <f t="shared" si="22"/>
        <v>Bill Holly</v>
      </c>
      <c r="D39" s="52" t="b">
        <v>1</v>
      </c>
      <c r="E39" s="53"/>
      <c r="F39" s="2"/>
      <c r="G39" s="53"/>
      <c r="H39" s="53"/>
      <c r="I39" s="27" t="s">
        <v>21</v>
      </c>
      <c r="J39" s="55">
        <f t="shared" si="23"/>
        <v>2</v>
      </c>
      <c r="K39" s="67">
        <v>4.0</v>
      </c>
      <c r="L39" s="2"/>
      <c r="M39" s="2" t="str">
        <f t="shared" si="26"/>
        <v>Tim Carpenter</v>
      </c>
      <c r="N39" s="53"/>
      <c r="O39" s="53"/>
      <c r="P39" s="2"/>
      <c r="Q39" s="52"/>
      <c r="R39" s="52"/>
      <c r="S39" s="2" t="str">
        <f t="shared" si="24"/>
        <v>WIN</v>
      </c>
      <c r="T39" s="55">
        <f t="shared" si="25"/>
        <v>3</v>
      </c>
      <c r="U39" s="2"/>
      <c r="V39" s="2"/>
      <c r="W39" s="2"/>
      <c r="X39" s="2"/>
      <c r="Y39" s="2"/>
      <c r="Z39" s="2"/>
      <c r="AA39" s="2"/>
      <c r="AB39" s="2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2"/>
      <c r="V40" s="2"/>
      <c r="W40" s="2"/>
      <c r="X40" s="2"/>
      <c r="Y40" s="2"/>
      <c r="Z40" s="2"/>
      <c r="AA40" s="2"/>
      <c r="AB40" s="2"/>
    </row>
    <row r="41">
      <c r="A41" s="33"/>
      <c r="B41" s="2"/>
      <c r="C41" s="2"/>
      <c r="D41" s="2"/>
      <c r="E41" s="2"/>
      <c r="F41" s="2"/>
      <c r="G41" s="2"/>
      <c r="H41" s="2" t="s">
        <v>46</v>
      </c>
      <c r="I41" s="2"/>
      <c r="J41" s="74">
        <f>IF(F19&gt;P19,F19,P19)</f>
        <v>241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3"/>
      <c r="B42" s="2"/>
      <c r="C42" s="2"/>
      <c r="D42" s="2"/>
      <c r="E42" s="2"/>
      <c r="F42" s="2"/>
      <c r="G42" s="2"/>
      <c r="H42" s="2" t="s">
        <v>47</v>
      </c>
      <c r="I42" s="2"/>
      <c r="J42" s="74">
        <f>IF(F19&lt;P19,F19,P19)</f>
        <v>237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3"/>
      <c r="B43" s="2"/>
      <c r="C43" s="2"/>
      <c r="D43" s="2"/>
      <c r="E43" s="2"/>
      <c r="F43" s="2"/>
      <c r="G43" s="2"/>
      <c r="H43" s="2" t="s">
        <v>48</v>
      </c>
      <c r="I43" s="2"/>
      <c r="J43" s="74">
        <f>J41-J42</f>
        <v>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 t="s">
        <v>49</v>
      </c>
      <c r="D44" s="2"/>
      <c r="E44" s="2"/>
      <c r="F44" s="2"/>
      <c r="G44" s="2"/>
      <c r="H44" s="2"/>
      <c r="I44" s="2"/>
      <c r="J44" s="74">
        <f>COUNTIF(J35:J39,5)</f>
        <v>0</v>
      </c>
      <c r="K44" s="2"/>
      <c r="L44" s="2"/>
      <c r="M44" s="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 t="s">
        <v>50</v>
      </c>
      <c r="D45" s="2"/>
      <c r="E45" s="2"/>
      <c r="F45" s="2"/>
      <c r="G45" s="2"/>
      <c r="H45" s="2"/>
      <c r="I45" s="2"/>
      <c r="J45" s="74">
        <f>COUNTIF($G$14:$G$39, TRUE)</f>
        <v>0</v>
      </c>
      <c r="K45" s="2"/>
      <c r="L45" s="2"/>
      <c r="M45" s="2" t="s">
        <v>50</v>
      </c>
      <c r="N45" s="2"/>
      <c r="O45" s="2"/>
      <c r="P45" s="2"/>
      <c r="Q45" s="2"/>
      <c r="R45" s="2"/>
      <c r="S45" s="2"/>
      <c r="T45" s="74">
        <f>COUNTIF(Q14:Q39, TRUE)</f>
        <v>0</v>
      </c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 t="s">
        <v>51</v>
      </c>
      <c r="D46" s="2"/>
      <c r="E46" s="2"/>
      <c r="F46" s="2"/>
      <c r="G46" s="2"/>
      <c r="H46" s="2"/>
      <c r="I46" s="2"/>
      <c r="J46" s="74">
        <f>COUNTIF(H14:H39, TRUE)</f>
        <v>1</v>
      </c>
      <c r="K46" s="2"/>
      <c r="L46" s="2"/>
      <c r="M46" s="2" t="s">
        <v>51</v>
      </c>
      <c r="N46" s="2"/>
      <c r="O46" s="2"/>
      <c r="P46" s="2"/>
      <c r="Q46" s="2"/>
      <c r="R46" s="2"/>
      <c r="S46" s="2"/>
      <c r="T46" s="74">
        <f>COUNTIF(R14:R39, TRUE)</f>
        <v>0</v>
      </c>
      <c r="U46" s="2"/>
      <c r="V46" s="2"/>
      <c r="W46" s="2"/>
      <c r="X46" s="2"/>
      <c r="Y46" s="2"/>
      <c r="Z46" s="2"/>
      <c r="AA46" s="2"/>
      <c r="AB46" s="2"/>
    </row>
    <row r="47">
      <c r="A47" s="2"/>
      <c r="B47" s="74">
        <f>IF(F19&gt;P19,2,3)</f>
        <v>3</v>
      </c>
      <c r="C47" s="2" t="s">
        <v>52</v>
      </c>
      <c r="D47" s="2"/>
      <c r="E47" s="2"/>
      <c r="F47" s="2"/>
      <c r="G47" s="2"/>
      <c r="H47" s="2"/>
      <c r="I47" s="2"/>
      <c r="J47" s="74">
        <f>VLOOKUP(J43,CHARTS!$A$1:$C$7,B47,TRUE)</f>
        <v>13</v>
      </c>
      <c r="K47" s="2"/>
      <c r="L47" s="74">
        <f>IF(P19&gt;F19,2,3)</f>
        <v>2</v>
      </c>
      <c r="M47" s="2" t="s">
        <v>52</v>
      </c>
      <c r="N47" s="2"/>
      <c r="O47" s="2"/>
      <c r="P47" s="2"/>
      <c r="Q47" s="2"/>
      <c r="R47" s="2"/>
      <c r="S47" s="2"/>
      <c r="T47" s="74">
        <f>VLOOKUP(J43,CHARTS!$A$1:$C$7,L47,TRUE)</f>
        <v>13</v>
      </c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 t="s">
        <v>53</v>
      </c>
      <c r="D48" s="2"/>
      <c r="E48" s="2"/>
      <c r="F48" s="2"/>
      <c r="G48" s="2"/>
      <c r="H48" s="2"/>
      <c r="I48" s="2"/>
      <c r="J48" s="74">
        <f>ROUND(J47*0.7,0)</f>
        <v>9</v>
      </c>
      <c r="K48" s="2"/>
      <c r="L48" s="2"/>
      <c r="M48" s="2" t="s">
        <v>53</v>
      </c>
      <c r="N48" s="2"/>
      <c r="O48" s="2"/>
      <c r="P48" s="2"/>
      <c r="Q48" s="2"/>
      <c r="R48" s="2"/>
      <c r="S48" s="2"/>
      <c r="T48" s="74">
        <f>ROUND(T47*0.7,0)</f>
        <v>9</v>
      </c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 t="s">
        <v>54</v>
      </c>
      <c r="D49" s="2"/>
      <c r="E49" s="2"/>
      <c r="F49" s="2"/>
      <c r="G49" s="2"/>
      <c r="H49" s="2"/>
      <c r="I49" s="2"/>
      <c r="J49" s="74">
        <f>COUNTIF($I$14:$I$39,"WIN")</f>
        <v>13</v>
      </c>
      <c r="K49" s="2"/>
      <c r="L49" s="2"/>
      <c r="M49" s="2" t="s">
        <v>54</v>
      </c>
      <c r="N49" s="2"/>
      <c r="O49" s="2"/>
      <c r="P49" s="2"/>
      <c r="Q49" s="2"/>
      <c r="R49" s="2"/>
      <c r="S49" s="2"/>
      <c r="T49" s="74">
        <f>COUNTIF($S$14:$S$39,"WIN")</f>
        <v>11</v>
      </c>
      <c r="U49" s="2"/>
      <c r="V49" s="2"/>
      <c r="W49" s="2"/>
      <c r="X49" s="2"/>
      <c r="Y49" s="2"/>
      <c r="Z49" s="2"/>
      <c r="AA49" s="2"/>
      <c r="AB49" s="2"/>
    </row>
    <row r="50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3"/>
      <c r="B55" s="2"/>
      <c r="C55" s="2" t="str">
        <f t="array" ref="C55:D64">INDIRECT("TEAM" &amp; B4)
</f>
        <v>Team 5</v>
      </c>
      <c r="D55" s="2"/>
      <c r="E55" s="2"/>
      <c r="F55" s="2"/>
      <c r="G55" s="2"/>
      <c r="H55" s="2"/>
      <c r="I55" s="2"/>
      <c r="J55" s="2"/>
      <c r="K55" s="2"/>
      <c r="L55" s="2"/>
      <c r="M55" s="2" t="str">
        <f t="array" ref="M55:N64">INDIRECT("TEAM" &amp; L4)
</f>
        <v>Team 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3"/>
      <c r="B56" s="2"/>
      <c r="C56" s="2" t="s">
        <v>104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105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3"/>
      <c r="B57" s="2"/>
      <c r="C57" s="2" t="s">
        <v>94</v>
      </c>
      <c r="D57" s="75">
        <v>57.99999999999999</v>
      </c>
      <c r="E57" s="2"/>
      <c r="F57" s="2"/>
      <c r="G57" s="2"/>
      <c r="H57" s="2"/>
      <c r="I57" s="2"/>
      <c r="J57" s="2"/>
      <c r="K57" s="2"/>
      <c r="L57" s="2"/>
      <c r="M57" s="2" t="s">
        <v>101</v>
      </c>
      <c r="N57" s="75">
        <v>53.0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3"/>
      <c r="B58" s="2"/>
      <c r="C58" s="2" t="s">
        <v>100</v>
      </c>
      <c r="D58" s="75">
        <v>44.0</v>
      </c>
      <c r="E58" s="2"/>
      <c r="F58" s="2"/>
      <c r="G58" s="2"/>
      <c r="H58" s="2"/>
      <c r="I58" s="2"/>
      <c r="J58" s="2"/>
      <c r="K58" s="2"/>
      <c r="L58" s="2"/>
      <c r="M58" s="2" t="s">
        <v>106</v>
      </c>
      <c r="N58" s="75">
        <v>38.0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3"/>
      <c r="B59" s="2"/>
      <c r="C59" s="2" t="s">
        <v>98</v>
      </c>
      <c r="D59" s="75">
        <v>42.0</v>
      </c>
      <c r="E59" s="2"/>
      <c r="F59" s="2"/>
      <c r="G59" s="2"/>
      <c r="H59" s="2"/>
      <c r="I59" s="2"/>
      <c r="J59" s="2"/>
      <c r="K59" s="2"/>
      <c r="L59" s="2"/>
      <c r="M59" s="2" t="s">
        <v>103</v>
      </c>
      <c r="N59" s="75">
        <v>70.0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3"/>
      <c r="B60" s="2"/>
      <c r="C60" s="2" t="s">
        <v>107</v>
      </c>
      <c r="D60" s="75">
        <v>23.0</v>
      </c>
      <c r="E60" s="2"/>
      <c r="F60" s="2"/>
      <c r="G60" s="2"/>
      <c r="H60" s="2"/>
      <c r="I60" s="2"/>
      <c r="J60" s="2"/>
      <c r="K60" s="2"/>
      <c r="L60" s="2"/>
      <c r="M60" s="2" t="s">
        <v>95</v>
      </c>
      <c r="N60" s="75">
        <v>38.0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3"/>
      <c r="B61" s="2"/>
      <c r="C61" s="2" t="s">
        <v>96</v>
      </c>
      <c r="D61" s="75">
        <v>49.0</v>
      </c>
      <c r="E61" s="2"/>
      <c r="F61" s="2"/>
      <c r="G61" s="2"/>
      <c r="H61" s="2"/>
      <c r="I61" s="2"/>
      <c r="J61" s="2"/>
      <c r="K61" s="2"/>
      <c r="L61" s="2"/>
      <c r="M61" s="2" t="s">
        <v>97</v>
      </c>
      <c r="N61" s="75">
        <v>40.0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3"/>
      <c r="B62" s="2"/>
      <c r="C62" s="2" t="s">
        <v>102</v>
      </c>
      <c r="D62" s="75">
        <v>44.0</v>
      </c>
      <c r="E62" s="2"/>
      <c r="F62" s="2"/>
      <c r="G62" s="2"/>
      <c r="H62" s="2"/>
      <c r="I62" s="2"/>
      <c r="J62" s="2"/>
      <c r="K62" s="2"/>
      <c r="L62" s="2"/>
      <c r="M62" s="2" t="s">
        <v>108</v>
      </c>
      <c r="N62" s="75">
        <v>77.0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3"/>
      <c r="B63" s="2"/>
      <c r="C63" s="2" t="s">
        <v>109</v>
      </c>
      <c r="D63" s="75">
        <v>42.0</v>
      </c>
      <c r="E63" s="2"/>
      <c r="F63" s="2"/>
      <c r="G63" s="2"/>
      <c r="H63" s="2"/>
      <c r="I63" s="2"/>
      <c r="J63" s="2"/>
      <c r="K63" s="2"/>
      <c r="L63" s="2"/>
      <c r="M63" s="2" t="s">
        <v>110</v>
      </c>
      <c r="N63" s="75">
        <v>54.0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3"/>
      <c r="B64" s="2"/>
      <c r="C64" s="2" t="s">
        <v>111</v>
      </c>
      <c r="D64" s="76">
        <v>28.000000000000004</v>
      </c>
      <c r="E64" s="2"/>
      <c r="F64" s="2"/>
      <c r="G64" s="2"/>
      <c r="H64" s="2"/>
      <c r="I64" s="2"/>
      <c r="J64" s="2"/>
      <c r="K64" s="2"/>
      <c r="L64" s="2"/>
      <c r="M64" s="2" t="s">
        <v>99</v>
      </c>
      <c r="N64" s="76">
        <v>40.0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7"/>
      <c r="B116" s="20"/>
      <c r="C116" s="20"/>
      <c r="D116" s="20"/>
      <c r="E116" s="20"/>
      <c r="F116" s="20"/>
      <c r="G116" s="20"/>
      <c r="H116" s="20"/>
      <c r="I116" s="20"/>
      <c r="J116" s="2"/>
      <c r="K116" s="2"/>
      <c r="L116" s="20"/>
      <c r="M116" s="2"/>
      <c r="N116" s="20"/>
      <c r="O116" s="20"/>
      <c r="P116" s="20"/>
      <c r="Q116" s="20"/>
      <c r="R116" s="20"/>
      <c r="S116" s="20"/>
      <c r="T116" s="20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C4:H4"/>
    <mergeCell ref="M4:S4"/>
  </mergeCells>
  <conditionalFormatting sqref="A19:T39">
    <cfRule type="expression" dxfId="3" priority="1">
      <formula>NOT(ISBLANK($I19))</formula>
    </cfRule>
  </conditionalFormatting>
  <conditionalFormatting sqref="G14:I39">
    <cfRule type="expression" dxfId="0" priority="2">
      <formula>IF(AND($I14 &lt;&gt; "WIN", OR($G14=TRUE,$H14=TRUE)),TRUE,FALSE)</formula>
    </cfRule>
  </conditionalFormatting>
  <conditionalFormatting sqref="Q14:S39">
    <cfRule type="expression" dxfId="0" priority="3">
      <formula>IF(AND($S14 &lt;&gt; "WIN", OR($Q14=TRUE,$R14=TRUE)),TRUE,FALSE)</formula>
    </cfRule>
  </conditionalFormatting>
  <conditionalFormatting sqref="C14:C18 M14:M18">
    <cfRule type="containsBlanks" dxfId="0" priority="4">
      <formula>LEN(TRIM(C14))=0</formula>
    </cfRule>
  </conditionalFormatting>
  <conditionalFormatting sqref="M14:M18">
    <cfRule type="containsBlanks" dxfId="0" priority="5">
      <formula>LEN(TRIM(M14))=0</formula>
    </cfRule>
  </conditionalFormatting>
  <conditionalFormatting sqref="C14:C18 M14:M18">
    <cfRule type="expression" dxfId="4" priority="6">
      <formula>COUNTIF($C$14:$M$18, C14) &gt; 1</formula>
    </cfRule>
  </conditionalFormatting>
  <conditionalFormatting sqref="C14:C18 M14:M18">
    <cfRule type="notContainsBlanks" dxfId="2" priority="7">
      <formula>LEN(TRIM(C14))&gt;0</formula>
    </cfRule>
  </conditionalFormatting>
  <conditionalFormatting sqref="M14:M18">
    <cfRule type="notContainsBlanks" dxfId="2" priority="8">
      <formula>LEN(TRIM(M14))&gt;0</formula>
    </cfRule>
  </conditionalFormatting>
  <dataValidations>
    <dataValidation type="list" allowBlank="1" showErrorMessage="1" sqref="I14:I33 I35:I39">
      <formula1>"WIN,LOSS"</formula1>
    </dataValidation>
    <dataValidation type="list" allowBlank="1" showErrorMessage="1" sqref="C14:C18">
      <formula1>'MATCH 6'!$C$57:$C$64</formula1>
    </dataValidation>
    <dataValidation type="list" allowBlank="1" showErrorMessage="1" sqref="M14:M18">
      <formula1>'MATCH 6'!$M$57:$M$64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7.63"/>
    <col customWidth="1" min="7" max="7" width="16.5"/>
    <col customWidth="1" min="8" max="8" width="2.5"/>
    <col customWidth="1" min="9" max="9" width="7.63"/>
    <col customWidth="1" min="10" max="10" width="16.5"/>
  </cols>
  <sheetData>
    <row r="1">
      <c r="A1" s="34" t="str">
        <f>IFERROR(__xludf.DUMMYFUNCTION("IMPORTRANGE(hidden!B1,hidden!A2)"),"Team 1")</f>
        <v>Team 1</v>
      </c>
      <c r="B1" s="39"/>
      <c r="C1" s="2"/>
      <c r="D1" s="2"/>
      <c r="E1" s="2" t="str">
        <f>IFERROR(__xludf.DUMMYFUNCTION("IMPORTRANGE(hidden!B1,hidden!A3)"),"Week #")</f>
        <v>Week #</v>
      </c>
      <c r="F1" s="74">
        <f>IFERROR(__xludf.DUMMYFUNCTION("""COMPUTED_VALUE"""),14.0)</f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0" t="str">
        <f>IFERROR(__xludf.DUMMYFUNCTION("""COMPUTED_VALUE"""),"8-Ball Gangster")</f>
        <v>8-Ball Gangster</v>
      </c>
      <c r="B2" s="4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0" t="str">
        <f>IFERROR(__xludf.DUMMYFUNCTION("""COMPUTED_VALUE"""),"Tim Carpenter")</f>
        <v>Tim Carpenter</v>
      </c>
      <c r="B3" s="86">
        <f>IFERROR(__xludf.DUMMYFUNCTION("""COMPUTED_VALUE"""),53.0)</f>
        <v>53</v>
      </c>
      <c r="C3" s="2"/>
      <c r="D3" s="2"/>
      <c r="E3" s="2"/>
      <c r="F3" s="87" t="str">
        <f>IFERROR(__xludf.DUMMYFUNCTION("""COMPUTED_VALUE"""),"Home")</f>
        <v>Home</v>
      </c>
      <c r="G3" s="88"/>
      <c r="H3" s="89"/>
      <c r="I3" s="87" t="str">
        <f>IFERROR(__xludf.DUMMYFUNCTION("""COMPUTED_VALUE"""),"Away")</f>
        <v>Away</v>
      </c>
      <c r="J3" s="8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0" t="str">
        <f>IFERROR(__xludf.DUMMYFUNCTION("""COMPUTED_VALUE"""),"Gynn Hathaway")</f>
        <v>Gynn Hathaway</v>
      </c>
      <c r="B4" s="86">
        <f>IFERROR(__xludf.DUMMYFUNCTION("""COMPUTED_VALUE"""),38.0)</f>
        <v>38</v>
      </c>
      <c r="C4" s="2"/>
      <c r="D4" s="2"/>
      <c r="E4" s="90" t="str">
        <f>IFERROR(__xludf.DUMMYFUNCTION("""COMPUTED_VALUE"""),"Match")</f>
        <v>Match</v>
      </c>
      <c r="F4" s="77" t="str">
        <f>IFERROR(__xludf.DUMMYFUNCTION("""COMPUTED_VALUE"""),"Team #")</f>
        <v>Team #</v>
      </c>
      <c r="G4" s="91" t="str">
        <f>IFERROR(__xludf.DUMMYFUNCTION("""COMPUTED_VALUE"""),"Name")</f>
        <v>Name</v>
      </c>
      <c r="H4" s="92"/>
      <c r="I4" s="77" t="str">
        <f>IFERROR(__xludf.DUMMYFUNCTION("""COMPUTED_VALUE"""),"Team #")</f>
        <v>Team #</v>
      </c>
      <c r="J4" s="91" t="str">
        <f>IFERROR(__xludf.DUMMYFUNCTION("""COMPUTED_VALUE"""),"Name")</f>
        <v>Name</v>
      </c>
      <c r="K4" s="90" t="str">
        <f>IFERROR(__xludf.DUMMYFUNCTION("""COMPUTED_VALUE"""),"Location")</f>
        <v>Location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0" t="str">
        <f>IFERROR(__xludf.DUMMYFUNCTION("""COMPUTED_VALUE"""),"Gerald Knierim")</f>
        <v>Gerald Knierim</v>
      </c>
      <c r="B5" s="86">
        <f>IFERROR(__xludf.DUMMYFUNCTION("""COMPUTED_VALUE"""),70.0)</f>
        <v>70</v>
      </c>
      <c r="C5" s="2"/>
      <c r="D5" s="2"/>
      <c r="E5" s="93">
        <f>IFERROR(__xludf.DUMMYFUNCTION("""COMPUTED_VALUE"""),1.0)</f>
        <v>1</v>
      </c>
      <c r="F5" s="94">
        <f>IFERROR(__xludf.DUMMYFUNCTION("""COMPUTED_VALUE"""),2.0)</f>
        <v>2</v>
      </c>
      <c r="G5" s="89" t="str">
        <f>IFERROR(__xludf.DUMMYFUNCTION("""COMPUTED_VALUE"""),"Crystalized")</f>
        <v>Crystalized</v>
      </c>
      <c r="H5" s="2"/>
      <c r="I5" s="94">
        <f>IFERROR(__xludf.DUMMYFUNCTION("""COMPUTED_VALUE"""),9.0)</f>
        <v>9</v>
      </c>
      <c r="J5" s="89" t="str">
        <f>IFERROR(__xludf.DUMMYFUNCTION("""COMPUTED_VALUE"""),"Familia")</f>
        <v>Familia</v>
      </c>
      <c r="K5" s="95" t="str">
        <f>IFERROR(__xludf.DUMMYFUNCTION("""COMPUTED_VALUE"""),"Crystal Bar")</f>
        <v>Crystal Bar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0" t="str">
        <f>IFERROR(__xludf.DUMMYFUNCTION("""COMPUTED_VALUE"""),"Hot Rod Zalewski")</f>
        <v>Hot Rod Zalewski</v>
      </c>
      <c r="B6" s="86">
        <f>IFERROR(__xludf.DUMMYFUNCTION("""COMPUTED_VALUE"""),38.0)</f>
        <v>38</v>
      </c>
      <c r="C6" s="2"/>
      <c r="D6" s="2"/>
      <c r="E6" s="93">
        <f>IFERROR(__xludf.DUMMYFUNCTION("""COMPUTED_VALUE"""),2.0)</f>
        <v>2</v>
      </c>
      <c r="F6" s="94">
        <f>IFERROR(__xludf.DUMMYFUNCTION("""COMPUTED_VALUE"""),3.0)</f>
        <v>3</v>
      </c>
      <c r="G6" s="89" t="str">
        <f>IFERROR(__xludf.DUMMYFUNCTION("""COMPUTED_VALUE"""),"BYE")</f>
        <v>BYE</v>
      </c>
      <c r="H6" s="2"/>
      <c r="I6" s="94">
        <f>IFERROR(__xludf.DUMMYFUNCTION("""COMPUTED_VALUE"""),8.0)</f>
        <v>8</v>
      </c>
      <c r="J6" s="89" t="str">
        <f>IFERROR(__xludf.DUMMYFUNCTION("""COMPUTED_VALUE"""),"Q-Tips")</f>
        <v>Q-Tips</v>
      </c>
      <c r="K6" s="95" t="str">
        <f>IFERROR(__xludf.DUMMYFUNCTION("""COMPUTED_VALUE"""),"Crystal Bar")</f>
        <v>Crystal Bar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0" t="str">
        <f>IFERROR(__xludf.DUMMYFUNCTION("""COMPUTED_VALUE"""),"Trent Bailey")</f>
        <v>Trent Bailey</v>
      </c>
      <c r="B7" s="86">
        <f>IFERROR(__xludf.DUMMYFUNCTION("""COMPUTED_VALUE"""),40.0)</f>
        <v>40</v>
      </c>
      <c r="C7" s="2"/>
      <c r="D7" s="2"/>
      <c r="E7" s="93">
        <f>IFERROR(__xludf.DUMMYFUNCTION("""COMPUTED_VALUE"""),3.0)</f>
        <v>3</v>
      </c>
      <c r="F7" s="94"/>
      <c r="G7" s="89"/>
      <c r="H7" s="2"/>
      <c r="I7" s="94"/>
      <c r="J7" s="89"/>
      <c r="K7" s="9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0" t="str">
        <f>IFERROR(__xludf.DUMMYFUNCTION("""COMPUTED_VALUE"""),"Rick Bergevin Jr.")</f>
        <v>Rick Bergevin Jr.</v>
      </c>
      <c r="B8" s="86">
        <f>IFERROR(__xludf.DUMMYFUNCTION("""COMPUTED_VALUE"""),77.0)</f>
        <v>77</v>
      </c>
      <c r="C8" s="2"/>
      <c r="D8" s="2"/>
      <c r="E8" s="93">
        <f>IFERROR(__xludf.DUMMYFUNCTION("""COMPUTED_VALUE"""),4.0)</f>
        <v>4</v>
      </c>
      <c r="F8" s="94"/>
      <c r="G8" s="89"/>
      <c r="H8" s="2"/>
      <c r="I8" s="94"/>
      <c r="J8" s="89"/>
      <c r="K8" s="9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0" t="str">
        <f>IFERROR(__xludf.DUMMYFUNCTION("""COMPUTED_VALUE"""),"Mike Patten")</f>
        <v>Mike Patten</v>
      </c>
      <c r="B9" s="86">
        <f>IFERROR(__xludf.DUMMYFUNCTION("""COMPUTED_VALUE"""),54.0)</f>
        <v>54</v>
      </c>
      <c r="C9" s="2"/>
      <c r="D9" s="2"/>
      <c r="E9" s="93">
        <f>IFERROR(__xludf.DUMMYFUNCTION("""COMPUTED_VALUE"""),5.0)</f>
        <v>5</v>
      </c>
      <c r="F9" s="94">
        <f>IFERROR(__xludf.DUMMYFUNCTION("""COMPUTED_VALUE"""),4.0)</f>
        <v>4</v>
      </c>
      <c r="G9" s="89" t="str">
        <f>IFERROR(__xludf.DUMMYFUNCTION("""COMPUTED_VALUE"""),"Misfitz")</f>
        <v>Misfitz</v>
      </c>
      <c r="H9" s="2"/>
      <c r="I9" s="94">
        <f>IFERROR(__xludf.DUMMYFUNCTION("""COMPUTED_VALUE"""),6.0)</f>
        <v>6</v>
      </c>
      <c r="J9" s="89" t="str">
        <f>IFERROR(__xludf.DUMMYFUNCTION("""COMPUTED_VALUE"""),"Felt Up")</f>
        <v>Felt Up</v>
      </c>
      <c r="K9" s="95" t="str">
        <f>IFERROR(__xludf.DUMMYFUNCTION("""COMPUTED_VALUE"""),"Happy Dayz")</f>
        <v>Happy Dayz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5" t="str">
        <f>IFERROR(__xludf.DUMMYFUNCTION("""COMPUTED_VALUE"""),"Rick Bergevin Sr.")</f>
        <v>Rick Bergevin Sr.</v>
      </c>
      <c r="B10" s="96">
        <f>IFERROR(__xludf.DUMMYFUNCTION("""COMPUTED_VALUE"""),40.0)</f>
        <v>40</v>
      </c>
      <c r="C10" s="2"/>
      <c r="D10" s="2"/>
      <c r="E10" s="93">
        <f>IFERROR(__xludf.DUMMYFUNCTION("""COMPUTED_VALUE"""),6.0)</f>
        <v>6</v>
      </c>
      <c r="F10" s="94">
        <f>IFERROR(__xludf.DUMMYFUNCTION("""COMPUTED_VALUE"""),5.0)</f>
        <v>5</v>
      </c>
      <c r="G10" s="89" t="str">
        <f>IFERROR(__xludf.DUMMYFUNCTION("""COMPUTED_VALUE"""),"The Undertakers")</f>
        <v>The Undertakers</v>
      </c>
      <c r="H10" s="2"/>
      <c r="I10" s="94">
        <f>IFERROR(__xludf.DUMMYFUNCTION("""COMPUTED_VALUE"""),1.0)</f>
        <v>1</v>
      </c>
      <c r="J10" s="89" t="str">
        <f>IFERROR(__xludf.DUMMYFUNCTION("""COMPUTED_VALUE"""),"8-Ball Gangster")</f>
        <v>8-Ball Gangster</v>
      </c>
      <c r="K10" s="95" t="str">
        <f>IFERROR(__xludf.DUMMYFUNCTION("""COMPUTED_VALUE"""),"Happy Dayz")</f>
        <v>Happy Dayz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93"/>
      <c r="F11" s="94"/>
      <c r="G11" s="89"/>
      <c r="H11" s="2"/>
      <c r="I11" s="94"/>
      <c r="J11" s="89"/>
      <c r="K11" s="9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4" t="str">
        <f>IFERROR(__xludf.DUMMYFUNCTION("""COMPUTED_VALUE"""),"Team 2")</f>
        <v>Team 2</v>
      </c>
      <c r="B12" s="39"/>
      <c r="C12" s="2"/>
      <c r="D12" s="2"/>
      <c r="E12" s="93"/>
      <c r="F12" s="94"/>
      <c r="G12" s="89"/>
      <c r="H12" s="2"/>
      <c r="I12" s="94"/>
      <c r="J12" s="89"/>
      <c r="K12" s="9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0" t="str">
        <f>IFERROR(__xludf.DUMMYFUNCTION("""COMPUTED_VALUE"""),"Crystalized")</f>
        <v>Crystalized</v>
      </c>
      <c r="B13" s="41"/>
      <c r="C13" s="2"/>
      <c r="D13" s="2"/>
      <c r="E13" s="93"/>
      <c r="F13" s="94"/>
      <c r="G13" s="89"/>
      <c r="H13" s="2"/>
      <c r="I13" s="94"/>
      <c r="J13" s="89"/>
      <c r="K13" s="9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0" t="str">
        <f>IFERROR(__xludf.DUMMYFUNCTION("""COMPUTED_VALUE"""),"Larry Walls")</f>
        <v>Larry Walls</v>
      </c>
      <c r="B14" s="86">
        <f>IFERROR(__xludf.DUMMYFUNCTION("""COMPUTED_VALUE"""),66.0)</f>
        <v>66</v>
      </c>
      <c r="C14" s="2"/>
      <c r="D14" s="2"/>
      <c r="E14" s="93"/>
      <c r="F14" s="94"/>
      <c r="G14" s="89"/>
      <c r="H14" s="2"/>
      <c r="I14" s="94"/>
      <c r="J14" s="89"/>
      <c r="K14" s="9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0" t="str">
        <f>IFERROR(__xludf.DUMMYFUNCTION("""COMPUTED_VALUE"""),"Kurt Geddes")</f>
        <v>Kurt Geddes</v>
      </c>
      <c r="B15" s="86">
        <f>IFERROR(__xludf.DUMMYFUNCTION("""COMPUTED_VALUE"""),69.0)</f>
        <v>69</v>
      </c>
      <c r="C15" s="2"/>
      <c r="D15" s="2"/>
      <c r="E15" s="93"/>
      <c r="F15" s="94"/>
      <c r="G15" s="89"/>
      <c r="H15" s="2"/>
      <c r="I15" s="94"/>
      <c r="J15" s="89"/>
      <c r="K15" s="9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0" t="str">
        <f>IFERROR(__xludf.DUMMYFUNCTION("""COMPUTED_VALUE"""),"Ron Moffett")</f>
        <v>Ron Moffett</v>
      </c>
      <c r="B16" s="86">
        <f>IFERROR(__xludf.DUMMYFUNCTION("""COMPUTED_VALUE"""),52.0)</f>
        <v>52</v>
      </c>
      <c r="C16" s="2"/>
      <c r="D16" s="2"/>
      <c r="E16" s="97"/>
      <c r="F16" s="77"/>
      <c r="G16" s="91"/>
      <c r="H16" s="2"/>
      <c r="I16" s="77"/>
      <c r="J16" s="91"/>
      <c r="K16" s="9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0" t="str">
        <f>IFERROR(__xludf.DUMMYFUNCTION("""COMPUTED_VALUE"""),"Anthony Sherman")</f>
        <v>Anthony Sherman</v>
      </c>
      <c r="B17" s="86">
        <f>IFERROR(__xludf.DUMMYFUNCTION("""COMPUTED_VALUE"""),67.0)</f>
        <v>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0" t="str">
        <f>IFERROR(__xludf.DUMMYFUNCTION("""COMPUTED_VALUE"""),"Bill Steen")</f>
        <v>Bill Steen</v>
      </c>
      <c r="B18" s="86">
        <f>IFERROR(__xludf.DUMMYFUNCTION("""COMPUTED_VALUE"""),37.0)</f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0" t="str">
        <f>IFERROR(__xludf.DUMMYFUNCTION("""COMPUTED_VALUE"""),"Paul Miller")</f>
        <v>Paul Miller</v>
      </c>
      <c r="B19" s="86">
        <f>IFERROR(__xludf.DUMMYFUNCTION("""COMPUTED_VALUE"""),52.0)</f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0" t="str">
        <f>IFERROR(__xludf.DUMMYFUNCTION("""COMPUTED_VALUE"""),"Larry Griffin")</f>
        <v>Larry Griffin</v>
      </c>
      <c r="B20" s="86">
        <f>IFERROR(__xludf.DUMMYFUNCTION("""COMPUTED_VALUE"""),36.0)</f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5"/>
      <c r="B21" s="96">
        <f>IFERROR(__xludf.DUMMYFUNCTION("""COMPUTED_VALUE"""),0.0)</f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4" t="str">
        <f>IFERROR(__xludf.DUMMYFUNCTION("""COMPUTED_VALUE"""),"Team 3")</f>
        <v>Team 3</v>
      </c>
      <c r="B23" s="3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0" t="str">
        <f>IFERROR(__xludf.DUMMYFUNCTION("""COMPUTED_VALUE"""),"BYE")</f>
        <v>BYE</v>
      </c>
      <c r="B24" s="4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0"/>
      <c r="B25" s="86">
        <f>IFERROR(__xludf.DUMMYFUNCTION("""COMPUTED_VALUE"""),0.0)</f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0"/>
      <c r="B26" s="86">
        <f>IFERROR(__xludf.DUMMYFUNCTION("""COMPUTED_VALUE"""),0.0)</f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0"/>
      <c r="B27" s="86">
        <f>IFERROR(__xludf.DUMMYFUNCTION("""COMPUTED_VALUE"""),0.0)</f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0"/>
      <c r="B28" s="86">
        <f>IFERROR(__xludf.DUMMYFUNCTION("""COMPUTED_VALUE"""),0.0)</f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0"/>
      <c r="B29" s="86">
        <f>IFERROR(__xludf.DUMMYFUNCTION("""COMPUTED_VALUE"""),0.0)</f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0"/>
      <c r="B30" s="86">
        <f>IFERROR(__xludf.DUMMYFUNCTION("""COMPUTED_VALUE"""),0.0)</f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0"/>
      <c r="B31" s="86">
        <f>IFERROR(__xludf.DUMMYFUNCTION("""COMPUTED_VALUE"""),0.0)</f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5"/>
      <c r="B32" s="96">
        <f>IFERROR(__xludf.DUMMYFUNCTION("""COMPUTED_VALUE"""),0.0)</f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4" t="str">
        <f>IFERROR(__xludf.DUMMYFUNCTION("""COMPUTED_VALUE"""),"Team 4")</f>
        <v>Team 4</v>
      </c>
      <c r="B34" s="3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0" t="str">
        <f>IFERROR(__xludf.DUMMYFUNCTION("""COMPUTED_VALUE"""),"Misfitz")</f>
        <v>Misfitz</v>
      </c>
      <c r="B35" s="4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0" t="str">
        <f>IFERROR(__xludf.DUMMYFUNCTION("""COMPUTED_VALUE"""),"Eliseo Sandoval")</f>
        <v>Eliseo Sandoval</v>
      </c>
      <c r="B36" s="86">
        <f>IFERROR(__xludf.DUMMYFUNCTION("""COMPUTED_VALUE"""),60.0)</f>
        <v>60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0" t="str">
        <f>IFERROR(__xludf.DUMMYFUNCTION("""COMPUTED_VALUE"""),"John Finley")</f>
        <v>John Finley</v>
      </c>
      <c r="B37" s="86">
        <f>IFERROR(__xludf.DUMMYFUNCTION("""COMPUTED_VALUE"""),64.0)</f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0" t="str">
        <f>IFERROR(__xludf.DUMMYFUNCTION("""COMPUTED_VALUE"""),"Jose Sanabria")</f>
        <v>Jose Sanabria</v>
      </c>
      <c r="B38" s="86">
        <f>IFERROR(__xludf.DUMMYFUNCTION("""COMPUTED_VALUE"""),42.0)</f>
        <v>42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0" t="str">
        <f>IFERROR(__xludf.DUMMYFUNCTION("""COMPUTED_VALUE"""),"Paul Runyan")</f>
        <v>Paul Runyan</v>
      </c>
      <c r="B39" s="86">
        <f>IFERROR(__xludf.DUMMYFUNCTION("""COMPUTED_VALUE"""),76.0)</f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0" t="str">
        <f>IFERROR(__xludf.DUMMYFUNCTION("""COMPUTED_VALUE"""),"Margie Sandoval")</f>
        <v>Margie Sandoval</v>
      </c>
      <c r="B40" s="86">
        <f>IFERROR(__xludf.DUMMYFUNCTION("""COMPUTED_VALUE"""),27.0)</f>
        <v>27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0" t="str">
        <f>IFERROR(__xludf.DUMMYFUNCTION("""COMPUTED_VALUE"""),"David Grimes")</f>
        <v>David Grimes</v>
      </c>
      <c r="B41" s="86">
        <f>IFERROR(__xludf.DUMMYFUNCTION("""COMPUTED_VALUE"""),51.0)</f>
        <v>51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0" t="str">
        <f>IFERROR(__xludf.DUMMYFUNCTION("""COMPUTED_VALUE"""),"Kristine Guzman")</f>
        <v>Kristine Guzman</v>
      </c>
      <c r="B42" s="86">
        <f>IFERROR(__xludf.DUMMYFUNCTION("""COMPUTED_VALUE"""),43.0)</f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5" t="str">
        <f>IFERROR(__xludf.DUMMYFUNCTION("""COMPUTED_VALUE"""),"Donnie Sandoval")</f>
        <v>Donnie Sandoval</v>
      </c>
      <c r="B43" s="98">
        <f>IFERROR(__xludf.DUMMYFUNCTION("""COMPUTED_VALUE"""),42.0)</f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4" t="str">
        <f>IFERROR(__xludf.DUMMYFUNCTION("""COMPUTED_VALUE"""),"Team 5")</f>
        <v>Team 5</v>
      </c>
      <c r="B46" s="3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0" t="str">
        <f>IFERROR(__xludf.DUMMYFUNCTION("""COMPUTED_VALUE"""),"The Undertakers")</f>
        <v>The Undertakers</v>
      </c>
      <c r="B47" s="4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0" t="str">
        <f>IFERROR(__xludf.DUMMYFUNCTION("""COMPUTED_VALUE"""),"Johnny Braxton")</f>
        <v>Johnny Braxton</v>
      </c>
      <c r="B48" s="86">
        <f>IFERROR(__xludf.DUMMYFUNCTION("""COMPUTED_VALUE"""),57.99999999999999)</f>
        <v>58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0" t="str">
        <f>IFERROR(__xludf.DUMMYFUNCTION("""COMPUTED_VALUE"""),"Ed Phillips")</f>
        <v>Ed Phillips</v>
      </c>
      <c r="B49" s="86">
        <f>IFERROR(__xludf.DUMMYFUNCTION("""COMPUTED_VALUE"""),44.0)</f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0" t="str">
        <f>IFERROR(__xludf.DUMMYFUNCTION("""COMPUTED_VALUE"""),"Jimmy Newsome")</f>
        <v>Jimmy Newsome</v>
      </c>
      <c r="B50" s="86">
        <f>IFERROR(__xludf.DUMMYFUNCTION("""COMPUTED_VALUE"""),42.0)</f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0" t="str">
        <f>IFERROR(__xludf.DUMMYFUNCTION("""COMPUTED_VALUE"""),"Melinda Newsome")</f>
        <v>Melinda Newsome</v>
      </c>
      <c r="B51" s="86">
        <f>IFERROR(__xludf.DUMMYFUNCTION("""COMPUTED_VALUE"""),23.0)</f>
        <v>23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0" t="str">
        <f>IFERROR(__xludf.DUMMYFUNCTION("""COMPUTED_VALUE"""),"Ed Carle")</f>
        <v>Ed Carle</v>
      </c>
      <c r="B52" s="86">
        <f>IFERROR(__xludf.DUMMYFUNCTION("""COMPUTED_VALUE"""),49.0)</f>
        <v>49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0" t="str">
        <f>IFERROR(__xludf.DUMMYFUNCTION("""COMPUTED_VALUE"""),"Bill Holly")</f>
        <v>Bill Holly</v>
      </c>
      <c r="B53" s="86">
        <f>IFERROR(__xludf.DUMMYFUNCTION("""COMPUTED_VALUE"""),44.0)</f>
        <v>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0" t="str">
        <f>IFERROR(__xludf.DUMMYFUNCTION("""COMPUTED_VALUE"""),"Derrick")</f>
        <v>Derrick</v>
      </c>
      <c r="B54" s="86">
        <f>IFERROR(__xludf.DUMMYFUNCTION("""COMPUTED_VALUE"""),42.0)</f>
        <v>42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5" t="str">
        <f>IFERROR(__xludf.DUMMYFUNCTION("""COMPUTED_VALUE"""),"Sherie Grayling")</f>
        <v>Sherie Grayling</v>
      </c>
      <c r="B55" s="98">
        <f>IFERROR(__xludf.DUMMYFUNCTION("""COMPUTED_VALUE"""),28.000000000000004)</f>
        <v>28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4" t="str">
        <f>IFERROR(__xludf.DUMMYFUNCTION("""COMPUTED_VALUE"""),"Team 6")</f>
        <v>Team 6</v>
      </c>
      <c r="B58" s="3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0" t="str">
        <f>IFERROR(__xludf.DUMMYFUNCTION("""COMPUTED_VALUE"""),"Felt Up")</f>
        <v>Felt Up</v>
      </c>
      <c r="B59" s="4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0" t="str">
        <f>IFERROR(__xludf.DUMMYFUNCTION("""COMPUTED_VALUE"""),"Justin Whidden")</f>
        <v>Justin Whidden</v>
      </c>
      <c r="B60" s="86">
        <f>IFERROR(__xludf.DUMMYFUNCTION("""COMPUTED_VALUE"""),54.0)</f>
        <v>54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0" t="str">
        <f>IFERROR(__xludf.DUMMYFUNCTION("""COMPUTED_VALUE"""),"Ed Poplet")</f>
        <v>Ed Poplet</v>
      </c>
      <c r="B61" s="86">
        <f>IFERROR(__xludf.DUMMYFUNCTION("""COMPUTED_VALUE"""),74.0)</f>
        <v>74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0" t="str">
        <f>IFERROR(__xludf.DUMMYFUNCTION("""COMPUTED_VALUE"""),"Glenn 'Shane' Lewis")</f>
        <v>Glenn 'Shane' Lewis</v>
      </c>
      <c r="B62" s="86">
        <f>IFERROR(__xludf.DUMMYFUNCTION("""COMPUTED_VALUE"""),45.0)</f>
        <v>45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0" t="str">
        <f>IFERROR(__xludf.DUMMYFUNCTION("""COMPUTED_VALUE"""),"Derek Samuels")</f>
        <v>Derek Samuels</v>
      </c>
      <c r="B63" s="86">
        <f>IFERROR(__xludf.DUMMYFUNCTION("""COMPUTED_VALUE"""),40.0)</f>
        <v>40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0" t="str">
        <f>IFERROR(__xludf.DUMMYFUNCTION("""COMPUTED_VALUE"""),"Kelvin Singleton")</f>
        <v>Kelvin Singleton</v>
      </c>
      <c r="B64" s="86">
        <f>IFERROR(__xludf.DUMMYFUNCTION("""COMPUTED_VALUE"""),28.999999999999996)</f>
        <v>29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0" t="str">
        <f>IFERROR(__xludf.DUMMYFUNCTION("""COMPUTED_VALUE"""),"Mike Stepp")</f>
        <v>Mike Stepp</v>
      </c>
      <c r="B65" s="86">
        <f>IFERROR(__xludf.DUMMYFUNCTION("""COMPUTED_VALUE"""),60.0)</f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0" t="str">
        <f>IFERROR(__xludf.DUMMYFUNCTION("""COMPUTED_VALUE"""),"Craig Pickard")</f>
        <v>Craig Pickard</v>
      </c>
      <c r="B66" s="86">
        <f>IFERROR(__xludf.DUMMYFUNCTION("""COMPUTED_VALUE"""),39.0)</f>
        <v>39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5" t="str">
        <f>IFERROR(__xludf.DUMMYFUNCTION("""COMPUTED_VALUE"""),"JB Almond")</f>
        <v>JB Almond</v>
      </c>
      <c r="B67" s="98">
        <f>IFERROR(__xludf.DUMMYFUNCTION("""COMPUTED_VALUE"""),24.0)</f>
        <v>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4" t="str">
        <f>IFERROR(__xludf.DUMMYFUNCTION("""COMPUTED_VALUE"""),"Team 7")</f>
        <v>Team 7</v>
      </c>
      <c r="B70" s="3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0" t="str">
        <f>IFERROR(__xludf.DUMMYFUNCTION("""COMPUTED_VALUE"""),"BYE")</f>
        <v>BYE</v>
      </c>
      <c r="B71" s="4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0" t="str">
        <f>IFERROR(__xludf.DUMMYFUNCTION("""COMPUTED_VALUE"""),"Player 1")</f>
        <v>Player 1</v>
      </c>
      <c r="B72" s="4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0" t="str">
        <f>IFERROR(__xludf.DUMMYFUNCTION("""COMPUTED_VALUE"""),"Player 2")</f>
        <v>Player 2</v>
      </c>
      <c r="B73" s="4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0" t="str">
        <f>IFERROR(__xludf.DUMMYFUNCTION("""COMPUTED_VALUE"""),"Player 3")</f>
        <v>Player 3</v>
      </c>
      <c r="B74" s="4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0" t="str">
        <f>IFERROR(__xludf.DUMMYFUNCTION("""COMPUTED_VALUE"""),"Player 4")</f>
        <v>Player 4</v>
      </c>
      <c r="B75" s="4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0" t="str">
        <f>IFERROR(__xludf.DUMMYFUNCTION("""COMPUTED_VALUE"""),"Player 5")</f>
        <v>Player 5</v>
      </c>
      <c r="B76" s="4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0" t="str">
        <f>IFERROR(__xludf.DUMMYFUNCTION("""COMPUTED_VALUE"""),"Player 6")</f>
        <v>Player 6</v>
      </c>
      <c r="B77" s="4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5" t="str">
        <f>IFERROR(__xludf.DUMMYFUNCTION("""COMPUTED_VALUE"""),"Player 7")</f>
        <v>Player 7</v>
      </c>
      <c r="B78" s="4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4" t="str">
        <f>IFERROR(__xludf.DUMMYFUNCTION("""COMPUTED_VALUE"""),"Team 8")</f>
        <v>Team 8</v>
      </c>
      <c r="B81" s="3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0" t="str">
        <f>IFERROR(__xludf.DUMMYFUNCTION("""COMPUTED_VALUE"""),"Q-Tips")</f>
        <v>Q-Tips</v>
      </c>
      <c r="B82" s="4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0" t="str">
        <f>IFERROR(__xludf.DUMMYFUNCTION("""COMPUTED_VALUE"""),"Quiahja Croson")</f>
        <v>Quiahja Croson</v>
      </c>
      <c r="B83" s="86">
        <f>IFERROR(__xludf.DUMMYFUNCTION("""COMPUTED_VALUE"""),35.0)</f>
        <v>35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0" t="str">
        <f>IFERROR(__xludf.DUMMYFUNCTION("""COMPUTED_VALUE"""),"Q Croson 'Captain'")</f>
        <v>Q Croson 'Captain'</v>
      </c>
      <c r="B84" s="86">
        <f>IFERROR(__xludf.DUMMYFUNCTION("""COMPUTED_VALUE"""),32.0)</f>
        <v>32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0" t="str">
        <f>IFERROR(__xludf.DUMMYFUNCTION("""COMPUTED_VALUE"""),"Bill Henry")</f>
        <v>Bill Henry</v>
      </c>
      <c r="B85" s="86">
        <f>IFERROR(__xludf.DUMMYFUNCTION("""COMPUTED_VALUE"""),36.0)</f>
        <v>36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0" t="str">
        <f>IFERROR(__xludf.DUMMYFUNCTION("""COMPUTED_VALUE"""),"Heath Horsely")</f>
        <v>Heath Horsely</v>
      </c>
      <c r="B86" s="86">
        <f>IFERROR(__xludf.DUMMYFUNCTION("""COMPUTED_VALUE"""),38.0)</f>
        <v>38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0" t="str">
        <f>IFERROR(__xludf.DUMMYFUNCTION("""COMPUTED_VALUE"""),"Morgan Skip Evans")</f>
        <v>Morgan Skip Evans</v>
      </c>
      <c r="B87" s="86">
        <f>IFERROR(__xludf.DUMMYFUNCTION("""COMPUTED_VALUE"""),50.0)</f>
        <v>50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0" t="str">
        <f>IFERROR(__xludf.DUMMYFUNCTION("""COMPUTED_VALUE"""),"David Nunez")</f>
        <v>David Nunez</v>
      </c>
      <c r="B88" s="86">
        <f>IFERROR(__xludf.DUMMYFUNCTION("""COMPUTED_VALUE"""),59.0)</f>
        <v>59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0" t="str">
        <f>IFERROR(__xludf.DUMMYFUNCTION("""COMPUTED_VALUE"""),"Randy Fox")</f>
        <v>Randy Fox</v>
      </c>
      <c r="B89" s="86">
        <f>IFERROR(__xludf.DUMMYFUNCTION("""COMPUTED_VALUE"""),47.0)</f>
        <v>47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5" t="str">
        <f>IFERROR(__xludf.DUMMYFUNCTION("""COMPUTED_VALUE"""),"Airetta Fox")</f>
        <v>Airetta Fox</v>
      </c>
      <c r="B90" s="98">
        <f>IFERROR(__xludf.DUMMYFUNCTION("""COMPUTED_VALUE"""),31.0)</f>
        <v>31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4" t="str">
        <f>IFERROR(__xludf.DUMMYFUNCTION("""COMPUTED_VALUE"""),"Team 9")</f>
        <v>Team 9</v>
      </c>
      <c r="B93" s="3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0" t="str">
        <f>IFERROR(__xludf.DUMMYFUNCTION("""COMPUTED_VALUE"""),"Familia")</f>
        <v>Familia</v>
      </c>
      <c r="B94" s="4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0" t="str">
        <f>IFERROR(__xludf.DUMMYFUNCTION("""COMPUTED_VALUE"""),"Litos Davila")</f>
        <v>Litos Davila</v>
      </c>
      <c r="B95" s="86">
        <f>IFERROR(__xludf.DUMMYFUNCTION("""COMPUTED_VALUE"""),90.0)</f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0" t="str">
        <f>IFERROR(__xludf.DUMMYFUNCTION("""COMPUTED_VALUE"""),"Carlos Davila")</f>
        <v>Carlos Davila</v>
      </c>
      <c r="B96" s="86">
        <f>IFERROR(__xludf.DUMMYFUNCTION("""COMPUTED_VALUE"""),54.0)</f>
        <v>54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0" t="str">
        <f>IFERROR(__xludf.DUMMYFUNCTION("""COMPUTED_VALUE"""),"Desarae Davila")</f>
        <v>Desarae Davila</v>
      </c>
      <c r="B97" s="86">
        <f>IFERROR(__xludf.DUMMYFUNCTION("""COMPUTED_VALUE"""),20.0)</f>
        <v>20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0" t="str">
        <f>IFERROR(__xludf.DUMMYFUNCTION("""COMPUTED_VALUE"""),"Mark Karppe")</f>
        <v>Mark Karppe</v>
      </c>
      <c r="B98" s="86">
        <f>IFERROR(__xludf.DUMMYFUNCTION("""COMPUTED_VALUE"""),48.0)</f>
        <v>48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0" t="str">
        <f>IFERROR(__xludf.DUMMYFUNCTION("""COMPUTED_VALUE"""),"Michael Gonzalez")</f>
        <v>Michael Gonzalez</v>
      </c>
      <c r="B99" s="86">
        <f>IFERROR(__xludf.DUMMYFUNCTION("""COMPUTED_VALUE"""),39.0)</f>
        <v>39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0" t="str">
        <f>IFERROR(__xludf.DUMMYFUNCTION("""COMPUTED_VALUE"""),"JL Smith")</f>
        <v>JL Smith</v>
      </c>
      <c r="B100" s="86">
        <f>IFERROR(__xludf.DUMMYFUNCTION("""COMPUTED_VALUE"""),45.0)</f>
        <v>45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0" t="str">
        <f>IFERROR(__xludf.DUMMYFUNCTION("""COMPUTED_VALUE"""),"Garrett Foxworth")</f>
        <v>Garrett Foxworth</v>
      </c>
      <c r="B101" s="41">
        <f>IFERROR(__xludf.DUMMYFUNCTION("""COMPUTED_VALUE"""),40.0)</f>
        <v>40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5"/>
      <c r="B102" s="96">
        <f>IFERROR(__xludf.DUMMYFUNCTION("""COMPUTED_VALUE"""),0.0)</f>
        <v>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4">
        <v>0.0</v>
      </c>
      <c r="B1" s="74">
        <v>13.0</v>
      </c>
      <c r="C1" s="74">
        <v>13.0</v>
      </c>
    </row>
    <row r="2">
      <c r="A2" s="74">
        <v>15.0</v>
      </c>
      <c r="B2" s="74">
        <v>14.0</v>
      </c>
      <c r="C2" s="74">
        <v>12.0</v>
      </c>
    </row>
    <row r="3">
      <c r="A3" s="74">
        <v>41.0</v>
      </c>
      <c r="B3" s="74">
        <v>15.0</v>
      </c>
      <c r="C3" s="74">
        <v>11.0</v>
      </c>
    </row>
    <row r="4">
      <c r="A4" s="74">
        <v>67.0</v>
      </c>
      <c r="B4" s="74">
        <v>16.0</v>
      </c>
      <c r="C4" s="74">
        <v>10.0</v>
      </c>
    </row>
    <row r="5">
      <c r="A5" s="74">
        <v>93.0</v>
      </c>
      <c r="B5" s="74">
        <v>17.0</v>
      </c>
      <c r="C5" s="74">
        <v>9.0</v>
      </c>
    </row>
    <row r="6">
      <c r="A6" s="74">
        <v>119.0</v>
      </c>
      <c r="B6" s="74">
        <v>18.0</v>
      </c>
      <c r="C6" s="74">
        <v>8.0</v>
      </c>
    </row>
    <row r="7">
      <c r="A7" s="74">
        <v>145.0</v>
      </c>
      <c r="B7" s="74">
        <v>19.0</v>
      </c>
      <c r="C7" s="74">
        <v>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6" width="5.75"/>
    <col customWidth="1" min="8" max="8" width="14.25"/>
    <col customWidth="1" min="9" max="9" width="17.25"/>
    <col customWidth="1" min="10" max="13" width="7.0"/>
  </cols>
  <sheetData>
    <row r="1">
      <c r="A1" s="83" t="s">
        <v>112</v>
      </c>
      <c r="B1" s="83" t="s">
        <v>113</v>
      </c>
      <c r="C1" s="83" t="s">
        <v>114</v>
      </c>
      <c r="D1" s="83" t="s">
        <v>31</v>
      </c>
      <c r="E1" s="83" t="s">
        <v>32</v>
      </c>
      <c r="F1" s="99" t="s">
        <v>115</v>
      </c>
      <c r="H1" s="100" t="str">
        <f>IFERROR(__xludf.DUMMYFUNCTION("IMPORTRANGE(hidden!B1,hidden!A4)"),"TEAM NAME")</f>
        <v>TEAM NAME</v>
      </c>
      <c r="I1" s="100" t="str">
        <f>IFERROR(__xludf.DUMMYFUNCTION("""COMPUTED_VALUE"""),"PLAYER NAME")</f>
        <v>PLAYER NAME</v>
      </c>
      <c r="J1" s="83" t="s">
        <v>113</v>
      </c>
      <c r="K1" s="83" t="s">
        <v>114</v>
      </c>
      <c r="L1" s="83" t="s">
        <v>31</v>
      </c>
      <c r="M1" s="83" t="s">
        <v>32</v>
      </c>
    </row>
    <row r="2">
      <c r="A2" s="101" t="str">
        <f>'MATCH 1'!$C$35</f>
        <v>Kurt Geddes</v>
      </c>
      <c r="B2" s="102">
        <f>'MATCH 1'!$J$35</f>
        <v>1</v>
      </c>
      <c r="C2" s="102">
        <f t="shared" ref="C2:C61" si="1">5 -B2</f>
        <v>4</v>
      </c>
      <c r="D2" s="102">
        <f>COUNTIFS('MATCH 1'!$C$14:$C$39,A2,'MATCH 1'!$G$14:$G$39,TRUE)</f>
        <v>0</v>
      </c>
      <c r="E2" s="102">
        <f>COUNTIFS('MATCH 1'!$C$14:$C$39,A2,'MATCH 1'!$H$14:$H$39,TRUE)</f>
        <v>0</v>
      </c>
      <c r="F2" s="103">
        <f t="shared" ref="F2:F61" si="2">if(B2=5,1,0)</f>
        <v>0</v>
      </c>
      <c r="H2" s="100" t="str">
        <f>IFERROR(__xludf.DUMMYFUNCTION("""COMPUTED_VALUE"""),"Misfitz")</f>
        <v>Misfitz</v>
      </c>
      <c r="I2" s="100" t="str">
        <f>IFERROR(__xludf.DUMMYFUNCTION("""COMPUTED_VALUE"""),"Eliseo Sandoval")</f>
        <v>Eliseo Sandoval</v>
      </c>
      <c r="J2" s="100">
        <f>IFERROR(VLOOKUP(I2,RAWRESULTS,2,0),"")</f>
        <v>4</v>
      </c>
      <c r="K2" s="100">
        <f>IFERROR(VLOOKUP(I2,RAWRESULTS,3,0),"")</f>
        <v>1</v>
      </c>
      <c r="L2" s="100">
        <f>IFERROR(VLOOKUP(I2,RAWRESULTS,4,0),"")</f>
        <v>0</v>
      </c>
      <c r="M2" s="100">
        <f>IFERROR(VLOOKUP(I2,RAWRESULTS,5,0),"")</f>
        <v>0</v>
      </c>
    </row>
    <row r="3">
      <c r="A3" s="104" t="str">
        <f>'MATCH 1'!C36</f>
        <v>Larry Griffin</v>
      </c>
      <c r="B3" s="100">
        <f>'MATCH 1'!J36</f>
        <v>1</v>
      </c>
      <c r="C3" s="100">
        <f t="shared" si="1"/>
        <v>4</v>
      </c>
      <c r="D3" s="100">
        <f>COUNTIFS('MATCH 1'!$C$14:$C$39,A3,'MATCH 1'!$G$14:$G$39,TRUE)</f>
        <v>0</v>
      </c>
      <c r="E3" s="100">
        <f>COUNTIFS('MATCH 1'!$C$14:$C$39,A3,'MATCH 1'!$H$14:$H$39,TRUE)</f>
        <v>0</v>
      </c>
      <c r="F3" s="103">
        <f t="shared" si="2"/>
        <v>0</v>
      </c>
      <c r="H3" s="100"/>
      <c r="I3" s="100" t="str">
        <f>IFERROR(__xludf.DUMMYFUNCTION("""COMPUTED_VALUE"""),"John Finley")</f>
        <v>John Finley</v>
      </c>
      <c r="J3" s="100">
        <f>IFERROR(VLOOKUP(I3,RAWRESULTS,2,0),"")</f>
        <v>4</v>
      </c>
      <c r="K3" s="100">
        <f>IFERROR(VLOOKUP(I3,RAWRESULTS,3,0),"")</f>
        <v>1</v>
      </c>
      <c r="L3" s="100">
        <f>IFERROR(VLOOKUP(I3,RAWRESULTS,4,0),"")</f>
        <v>1</v>
      </c>
      <c r="M3" s="100">
        <f>IFERROR(VLOOKUP(I3,RAWRESULTS,5,0),"")</f>
        <v>0</v>
      </c>
    </row>
    <row r="4">
      <c r="A4" s="104" t="str">
        <f>'MATCH 1'!C37</f>
        <v>Ron Moffett</v>
      </c>
      <c r="B4" s="100">
        <f>'MATCH 1'!J37</f>
        <v>1</v>
      </c>
      <c r="C4" s="100">
        <f t="shared" si="1"/>
        <v>4</v>
      </c>
      <c r="D4" s="100">
        <f>COUNTIFS('MATCH 1'!$C$14:$C$39,A4,'MATCH 1'!$G$14:$G$39,TRUE)</f>
        <v>0</v>
      </c>
      <c r="E4" s="100">
        <f>COUNTIFS('MATCH 1'!$C$14:$C$39,A4,'MATCH 1'!$H$14:$H$39,TRUE)</f>
        <v>0</v>
      </c>
      <c r="F4" s="103">
        <f t="shared" si="2"/>
        <v>0</v>
      </c>
      <c r="H4" s="100"/>
      <c r="I4" s="100" t="str">
        <f>IFERROR(__xludf.DUMMYFUNCTION("""COMPUTED_VALUE"""),"Jose Sanabria")</f>
        <v>Jose Sanabria</v>
      </c>
      <c r="J4" s="100">
        <f>IFERROR(VLOOKUP(I4,RAWRESULTS,2,0),"")</f>
        <v>1</v>
      </c>
      <c r="K4" s="100">
        <f>IFERROR(VLOOKUP(I4,RAWRESULTS,3,0),"")</f>
        <v>4</v>
      </c>
      <c r="L4" s="100">
        <f>IFERROR(VLOOKUP(I4,RAWRESULTS,4,0),"")</f>
        <v>0</v>
      </c>
      <c r="M4" s="100">
        <f>IFERROR(VLOOKUP(I4,RAWRESULTS,5,0),"")</f>
        <v>0</v>
      </c>
    </row>
    <row r="5">
      <c r="A5" s="104" t="str">
        <f>'MATCH 1'!C38</f>
        <v>Bill Steen</v>
      </c>
      <c r="B5" s="100">
        <f>'MATCH 1'!J38</f>
        <v>3</v>
      </c>
      <c r="C5" s="100">
        <f t="shared" si="1"/>
        <v>2</v>
      </c>
      <c r="D5" s="100">
        <f>COUNTIFS('MATCH 1'!$C$14:$C$39,A5,'MATCH 1'!$G$14:$G$39,TRUE)</f>
        <v>0</v>
      </c>
      <c r="E5" s="100">
        <f>COUNTIFS('MATCH 1'!$C$14:$C$39,A5,'MATCH 1'!$H$14:$H$39,TRUE)</f>
        <v>0</v>
      </c>
      <c r="F5" s="103">
        <f t="shared" si="2"/>
        <v>0</v>
      </c>
      <c r="H5" s="100"/>
      <c r="I5" s="100" t="str">
        <f>IFERROR(__xludf.DUMMYFUNCTION("""COMPUTED_VALUE"""),"Paul Runyan")</f>
        <v>Paul Runyan</v>
      </c>
      <c r="J5" s="100" t="str">
        <f>IFERROR(VLOOKUP(I5,RAWRESULTS,2,0),"")</f>
        <v/>
      </c>
      <c r="K5" s="100" t="str">
        <f>IFERROR(VLOOKUP(I5,RAWRESULTS,3,0),"")</f>
        <v/>
      </c>
      <c r="L5" s="100" t="str">
        <f>IFERROR(VLOOKUP(I5,RAWRESULTS,4,0),"")</f>
        <v/>
      </c>
      <c r="M5" s="100" t="str">
        <f>IFERROR(VLOOKUP(I5,RAWRESULTS,5,0),"")</f>
        <v/>
      </c>
    </row>
    <row r="6">
      <c r="A6" s="105" t="str">
        <f>'MATCH 1'!C39</f>
        <v>Larry Walls</v>
      </c>
      <c r="B6" s="106">
        <f>'MATCH 1'!J39</f>
        <v>2</v>
      </c>
      <c r="C6" s="106">
        <f t="shared" si="1"/>
        <v>3</v>
      </c>
      <c r="D6" s="106">
        <f>COUNTIFS('MATCH 1'!$C$14:$C$39,A6,'MATCH 1'!$G$14:$G$39,TRUE)</f>
        <v>0</v>
      </c>
      <c r="E6" s="106">
        <f>COUNTIFS('MATCH 1'!$C$14:$C$39,A6,'MATCH 1'!$H$14:$H$39,TRUE)</f>
        <v>0</v>
      </c>
      <c r="F6" s="103">
        <f t="shared" si="2"/>
        <v>0</v>
      </c>
      <c r="H6" s="100"/>
      <c r="I6" s="100" t="str">
        <f>IFERROR(__xludf.DUMMYFUNCTION("""COMPUTED_VALUE"""),"Margie Sandoval")</f>
        <v>Margie Sandoval</v>
      </c>
      <c r="J6" s="100">
        <f>IFERROR(VLOOKUP(I6,RAWRESULTS,2,0),"")</f>
        <v>3</v>
      </c>
      <c r="K6" s="100">
        <f>IFERROR(VLOOKUP(I6,RAWRESULTS,3,0),"")</f>
        <v>2</v>
      </c>
      <c r="L6" s="100">
        <f>IFERROR(VLOOKUP(I6,RAWRESULTS,4,0),"")</f>
        <v>0</v>
      </c>
      <c r="M6" s="100">
        <f>IFERROR(VLOOKUP(I6,RAWRESULTS,5,0),"")</f>
        <v>0</v>
      </c>
    </row>
    <row r="7">
      <c r="A7" s="101" t="str">
        <f>'MATCH 1'!$M$35</f>
        <v>Michael Gonzalez</v>
      </c>
      <c r="B7" s="102">
        <f>'MATCH 1'!$T$35</f>
        <v>1</v>
      </c>
      <c r="C7" s="102">
        <f t="shared" si="1"/>
        <v>4</v>
      </c>
      <c r="D7" s="102">
        <f>COUNTIFS('MATCH 1'!$M$14:$M$39,A7,'MATCH 1'!$Q$14:$Q$39,TRUE)</f>
        <v>0</v>
      </c>
      <c r="E7" s="102">
        <f>COUNTIFS('MATCH 1'!$M$14:$M$39,A7,'MATCH 1'!$R$14:$R$39,TRUE)</f>
        <v>0</v>
      </c>
      <c r="F7" s="103">
        <f t="shared" si="2"/>
        <v>0</v>
      </c>
      <c r="H7" s="100"/>
      <c r="I7" s="100" t="str">
        <f>IFERROR(__xludf.DUMMYFUNCTION("""COMPUTED_VALUE"""),"David Grimes")</f>
        <v>David Grimes</v>
      </c>
      <c r="J7" s="100">
        <f>IFERROR(VLOOKUP(I7,RAWRESULTS,2,0),"")</f>
        <v>4</v>
      </c>
      <c r="K7" s="100">
        <f>IFERROR(VLOOKUP(I7,RAWRESULTS,3,0),"")</f>
        <v>1</v>
      </c>
      <c r="L7" s="100">
        <f>IFERROR(VLOOKUP(I7,RAWRESULTS,4,0),"")</f>
        <v>0</v>
      </c>
      <c r="M7" s="100">
        <f>IFERROR(VLOOKUP(I7,RAWRESULTS,5,0),"")</f>
        <v>0</v>
      </c>
    </row>
    <row r="8">
      <c r="A8" s="104" t="str">
        <f>'MATCH 1'!M36</f>
        <v>Litos Davila</v>
      </c>
      <c r="B8" s="100">
        <f>'MATCH 1'!T36</f>
        <v>5</v>
      </c>
      <c r="C8" s="100">
        <f t="shared" si="1"/>
        <v>0</v>
      </c>
      <c r="D8" s="100">
        <f>COUNTIFS('MATCH 1'!$M$14:$M$39,A8,'MATCH 1'!$Q$14:$Q$39,TRUE)</f>
        <v>0</v>
      </c>
      <c r="E8" s="100">
        <f>COUNTIFS('MATCH 1'!$M$14:$M$39,A8,'MATCH 1'!$R$14:$R$39,TRUE)</f>
        <v>0</v>
      </c>
      <c r="F8" s="103">
        <f t="shared" si="2"/>
        <v>1</v>
      </c>
      <c r="H8" s="100"/>
      <c r="I8" s="100" t="str">
        <f>IFERROR(__xludf.DUMMYFUNCTION("""COMPUTED_VALUE"""),"Kristine Guzman")</f>
        <v>Kristine Guzman</v>
      </c>
      <c r="J8" s="100" t="str">
        <f>IFERROR(VLOOKUP(I8,RAWRESULTS,2,0),"")</f>
        <v/>
      </c>
      <c r="K8" s="100" t="str">
        <f>IFERROR(VLOOKUP(I8,RAWRESULTS,3,0),"")</f>
        <v/>
      </c>
      <c r="L8" s="100" t="str">
        <f>IFERROR(VLOOKUP(I8,RAWRESULTS,4,0),"")</f>
        <v/>
      </c>
      <c r="M8" s="100" t="str">
        <f>IFERROR(VLOOKUP(I8,RAWRESULTS,5,0),"")</f>
        <v/>
      </c>
    </row>
    <row r="9">
      <c r="A9" s="104" t="str">
        <f>'MATCH 1'!M37</f>
        <v>Mark Karppe</v>
      </c>
      <c r="B9" s="100">
        <f>'MATCH 1'!T37</f>
        <v>5</v>
      </c>
      <c r="C9" s="100">
        <f t="shared" si="1"/>
        <v>0</v>
      </c>
      <c r="D9" s="100">
        <f>COUNTIFS('MATCH 1'!$M$14:$M$39,A9,'MATCH 1'!$Q$14:$Q$39,TRUE)</f>
        <v>0</v>
      </c>
      <c r="E9" s="100">
        <f>COUNTIFS('MATCH 1'!$M$14:$M$39,A9,'MATCH 1'!$R$14:$R$39,TRUE)</f>
        <v>0</v>
      </c>
      <c r="F9" s="103">
        <f t="shared" si="2"/>
        <v>1</v>
      </c>
      <c r="H9" s="100"/>
      <c r="I9" s="100" t="str">
        <f>IFERROR(__xludf.DUMMYFUNCTION("""COMPUTED_VALUE"""),"Donnie Sandoval")</f>
        <v>Donnie Sandoval</v>
      </c>
      <c r="J9" s="100" t="str">
        <f>IFERROR(VLOOKUP(I9,RAWRESULTS,2,0),"")</f>
        <v/>
      </c>
      <c r="K9" s="100" t="str">
        <f>IFERROR(VLOOKUP(I9,RAWRESULTS,3,0),"")</f>
        <v/>
      </c>
      <c r="L9" s="100" t="str">
        <f>IFERROR(VLOOKUP(I9,RAWRESULTS,4,0),"")</f>
        <v/>
      </c>
      <c r="M9" s="100" t="str">
        <f>IFERROR(VLOOKUP(I9,RAWRESULTS,5,0),"")</f>
        <v/>
      </c>
    </row>
    <row r="10">
      <c r="A10" s="104" t="str">
        <f>'MATCH 1'!M38</f>
        <v>Carlos Davila</v>
      </c>
      <c r="B10" s="100">
        <f>'MATCH 1'!T38</f>
        <v>4</v>
      </c>
      <c r="C10" s="100">
        <f t="shared" si="1"/>
        <v>1</v>
      </c>
      <c r="D10" s="100">
        <f>COUNTIFS('MATCH 1'!$M$14:$M$39,A10,'MATCH 1'!$Q$14:$Q$39,TRUE)</f>
        <v>1</v>
      </c>
      <c r="E10" s="100">
        <f>COUNTIFS('MATCH 1'!$M$14:$M$39,A10,'MATCH 1'!$R$14:$R$39,TRUE)</f>
        <v>0</v>
      </c>
      <c r="F10" s="103">
        <f t="shared" si="2"/>
        <v>0</v>
      </c>
      <c r="H10" s="100" t="str">
        <f>IFERROR(__xludf.DUMMYFUNCTION("""COMPUTED_VALUE"""),"8-Ball Gangster")</f>
        <v>8-Ball Gangster</v>
      </c>
      <c r="I10" s="100" t="str">
        <f>IFERROR(__xludf.DUMMYFUNCTION("""COMPUTED_VALUE"""),"Tim Carpenter")</f>
        <v>Tim Carpenter</v>
      </c>
      <c r="J10" s="100">
        <f>IFERROR(VLOOKUP(I10,RAWRESULTS,2,0),"")</f>
        <v>3</v>
      </c>
      <c r="K10" s="100">
        <f>IFERROR(VLOOKUP(I10,RAWRESULTS,3,0),"")</f>
        <v>2</v>
      </c>
      <c r="L10" s="100">
        <f>IFERROR(VLOOKUP(I10,RAWRESULTS,4,0),"")</f>
        <v>0</v>
      </c>
      <c r="M10" s="100">
        <f>IFERROR(VLOOKUP(I10,RAWRESULTS,5,0),"")</f>
        <v>0</v>
      </c>
    </row>
    <row r="11">
      <c r="A11" s="105" t="str">
        <f>'MATCH 1'!M39</f>
        <v>JL Smith</v>
      </c>
      <c r="B11" s="106">
        <f>'MATCH 1'!T39</f>
        <v>2</v>
      </c>
      <c r="C11" s="106">
        <f t="shared" si="1"/>
        <v>3</v>
      </c>
      <c r="D11" s="106">
        <f>COUNTIFS('MATCH 1'!$M$14:$M$39,A11,'MATCH 1'!$Q$14:$Q$39,TRUE)</f>
        <v>0</v>
      </c>
      <c r="E11" s="106">
        <f>COUNTIFS('MATCH 1'!$M$14:$M$39,A11,'MATCH 1'!$R$14:$R$39,TRUE)</f>
        <v>0</v>
      </c>
      <c r="F11" s="103">
        <f t="shared" si="2"/>
        <v>0</v>
      </c>
      <c r="H11" s="100"/>
      <c r="I11" s="100" t="str">
        <f>IFERROR(__xludf.DUMMYFUNCTION("""COMPUTED_VALUE"""),"Gynn Hathaway")</f>
        <v>Gynn Hathaway</v>
      </c>
      <c r="J11" s="100" t="str">
        <f>IFERROR(VLOOKUP(I11,RAWRESULTS,2,0),"")</f>
        <v/>
      </c>
      <c r="K11" s="100" t="str">
        <f>IFERROR(VLOOKUP(I11,RAWRESULTS,3,0),"")</f>
        <v/>
      </c>
      <c r="L11" s="100" t="str">
        <f>IFERROR(VLOOKUP(I11,RAWRESULTS,4,0),"")</f>
        <v/>
      </c>
      <c r="M11" s="100" t="str">
        <f>IFERROR(VLOOKUP(I11,RAWRESULTS,5,0),"")</f>
        <v/>
      </c>
    </row>
    <row r="12">
      <c r="A12" s="101" t="str">
        <f>'MATCH 2'!C35</f>
        <v/>
      </c>
      <c r="B12" s="102">
        <f>'MATCH 2'!J35</f>
        <v>0</v>
      </c>
      <c r="C12" s="102">
        <f t="shared" si="1"/>
        <v>5</v>
      </c>
      <c r="D12" s="102">
        <f>COUNTIFS('MATCH 2'!$C$14:$C$39,A12,'MATCH 2'!$G$14:$G$39,TRUE)</f>
        <v>0</v>
      </c>
      <c r="E12" s="102">
        <f>COUNTIFS('MATCH 2'!$C$14:$C$39,A12,'MATCH 2'!$H$14:$H$39,TRUE)</f>
        <v>0</v>
      </c>
      <c r="F12" s="103">
        <f t="shared" si="2"/>
        <v>0</v>
      </c>
      <c r="H12" s="100"/>
      <c r="I12" s="100" t="str">
        <f>IFERROR(__xludf.DUMMYFUNCTION("""COMPUTED_VALUE"""),"Gerald Knierim")</f>
        <v>Gerald Knierim</v>
      </c>
      <c r="J12" s="100">
        <f>IFERROR(VLOOKUP(I12,RAWRESULTS,2,0),"")</f>
        <v>3</v>
      </c>
      <c r="K12" s="100">
        <f>IFERROR(VLOOKUP(I12,RAWRESULTS,3,0),"")</f>
        <v>2</v>
      </c>
      <c r="L12" s="100">
        <f>IFERROR(VLOOKUP(I12,RAWRESULTS,4,0),"")</f>
        <v>0</v>
      </c>
      <c r="M12" s="100">
        <f>IFERROR(VLOOKUP(I12,RAWRESULTS,5,0),"")</f>
        <v>0</v>
      </c>
    </row>
    <row r="13">
      <c r="A13" s="104" t="str">
        <f>'MATCH 2'!C36</f>
        <v/>
      </c>
      <c r="B13" s="100">
        <f>'MATCH 2'!J36</f>
        <v>0</v>
      </c>
      <c r="C13" s="100">
        <f t="shared" si="1"/>
        <v>5</v>
      </c>
      <c r="D13" s="100">
        <f>COUNTIFS('MATCH 2'!$C$14:$C$39,A13,'MATCH 2'!$G$14:$G$39,TRUE)</f>
        <v>0</v>
      </c>
      <c r="E13" s="100">
        <f>COUNTIFS('MATCH 2'!$C$14:$C$39,A13,'MATCH 2'!$H$14:$H$39,TRUE)</f>
        <v>0</v>
      </c>
      <c r="F13" s="103">
        <f t="shared" si="2"/>
        <v>0</v>
      </c>
      <c r="H13" s="100"/>
      <c r="I13" s="100" t="str">
        <f>IFERROR(__xludf.DUMMYFUNCTION("""COMPUTED_VALUE"""),"Hot Rod Zalewski")</f>
        <v>Hot Rod Zalewski</v>
      </c>
      <c r="J13" s="100">
        <f>IFERROR(VLOOKUP(I13,RAWRESULTS,2,0),"")</f>
        <v>1</v>
      </c>
      <c r="K13" s="100">
        <f>IFERROR(VLOOKUP(I13,RAWRESULTS,3,0),"")</f>
        <v>4</v>
      </c>
      <c r="L13" s="100">
        <f>IFERROR(VLOOKUP(I13,RAWRESULTS,4,0),"")</f>
        <v>0</v>
      </c>
      <c r="M13" s="100">
        <f>IFERROR(VLOOKUP(I13,RAWRESULTS,5,0),"")</f>
        <v>0</v>
      </c>
    </row>
    <row r="14">
      <c r="A14" s="104" t="str">
        <f>'MATCH 2'!C37</f>
        <v/>
      </c>
      <c r="B14" s="100">
        <f>'MATCH 2'!J37</f>
        <v>0</v>
      </c>
      <c r="C14" s="100">
        <f t="shared" si="1"/>
        <v>5</v>
      </c>
      <c r="D14" s="100">
        <f>COUNTIFS('MATCH 2'!$C$14:$C$39,A14,'MATCH 2'!$G$14:$G$39,TRUE)</f>
        <v>0</v>
      </c>
      <c r="E14" s="100">
        <f>COUNTIFS('MATCH 2'!$C$14:$C$39,A14,'MATCH 2'!$H$14:$H$39,TRUE)</f>
        <v>0</v>
      </c>
      <c r="F14" s="103">
        <f t="shared" si="2"/>
        <v>0</v>
      </c>
      <c r="H14" s="100"/>
      <c r="I14" s="100" t="str">
        <f>IFERROR(__xludf.DUMMYFUNCTION("""COMPUTED_VALUE"""),"Trent Bailey")</f>
        <v>Trent Bailey</v>
      </c>
      <c r="J14" s="100">
        <f>IFERROR(VLOOKUP(I14,RAWRESULTS,2,0),"")</f>
        <v>1</v>
      </c>
      <c r="K14" s="100">
        <f>IFERROR(VLOOKUP(I14,RAWRESULTS,3,0),"")</f>
        <v>4</v>
      </c>
      <c r="L14" s="100">
        <f>IFERROR(VLOOKUP(I14,RAWRESULTS,4,0),"")</f>
        <v>0</v>
      </c>
      <c r="M14" s="100">
        <f>IFERROR(VLOOKUP(I14,RAWRESULTS,5,0),"")</f>
        <v>0</v>
      </c>
    </row>
    <row r="15">
      <c r="A15" s="104" t="str">
        <f>'MATCH 2'!C38</f>
        <v/>
      </c>
      <c r="B15" s="100">
        <f>'MATCH 2'!J38</f>
        <v>0</v>
      </c>
      <c r="C15" s="100">
        <f t="shared" si="1"/>
        <v>5</v>
      </c>
      <c r="D15" s="100">
        <f>COUNTIFS('MATCH 2'!$C$14:$C$39,A15,'MATCH 2'!$G$14:$G$39,TRUE)</f>
        <v>0</v>
      </c>
      <c r="E15" s="100">
        <f>COUNTIFS('MATCH 2'!$C$14:$C$39,A15,'MATCH 2'!$H$14:$H$39,TRUE)</f>
        <v>0</v>
      </c>
      <c r="F15" s="103">
        <f t="shared" si="2"/>
        <v>0</v>
      </c>
      <c r="H15" s="100"/>
      <c r="I15" s="100" t="str">
        <f>IFERROR(__xludf.DUMMYFUNCTION("""COMPUTED_VALUE"""),"Rick Bergevin Jr.")</f>
        <v>Rick Bergevin Jr.</v>
      </c>
      <c r="J15" s="100" t="str">
        <f>IFERROR(VLOOKUP(I15,RAWRESULTS,2,0),"")</f>
        <v/>
      </c>
      <c r="K15" s="100" t="str">
        <f>IFERROR(VLOOKUP(I15,RAWRESULTS,3,0),"")</f>
        <v/>
      </c>
      <c r="L15" s="100" t="str">
        <f>IFERROR(VLOOKUP(I15,RAWRESULTS,4,0),"")</f>
        <v/>
      </c>
      <c r="M15" s="100" t="str">
        <f>IFERROR(VLOOKUP(I15,RAWRESULTS,5,0),"")</f>
        <v/>
      </c>
    </row>
    <row r="16">
      <c r="A16" s="105" t="str">
        <f>'MATCH 2'!C39</f>
        <v/>
      </c>
      <c r="B16" s="106">
        <f>'MATCH 2'!J39</f>
        <v>0</v>
      </c>
      <c r="C16" s="106">
        <f t="shared" si="1"/>
        <v>5</v>
      </c>
      <c r="D16" s="106">
        <f>COUNTIFS('MATCH 2'!$C$14:$C$39,A16,'MATCH 2'!$G$14:$G$39,TRUE)</f>
        <v>0</v>
      </c>
      <c r="E16" s="106">
        <f>COUNTIFS('MATCH 2'!$C$14:$C$39,A16,'MATCH 2'!$H$14:$H$39,TRUE)</f>
        <v>0</v>
      </c>
      <c r="F16" s="103">
        <f t="shared" si="2"/>
        <v>0</v>
      </c>
      <c r="H16" s="100"/>
      <c r="I16" s="100" t="str">
        <f>IFERROR(__xludf.DUMMYFUNCTION("""COMPUTED_VALUE"""),"Mike Patten")</f>
        <v>Mike Patten</v>
      </c>
      <c r="J16" s="100" t="str">
        <f>IFERROR(VLOOKUP(I16,RAWRESULTS,2,0),"")</f>
        <v/>
      </c>
      <c r="K16" s="100" t="str">
        <f>IFERROR(VLOOKUP(I16,RAWRESULTS,3,0),"")</f>
        <v/>
      </c>
      <c r="L16" s="100" t="str">
        <f>IFERROR(VLOOKUP(I16,RAWRESULTS,4,0),"")</f>
        <v/>
      </c>
      <c r="M16" s="100" t="str">
        <f>IFERROR(VLOOKUP(I16,RAWRESULTS,5,0),"")</f>
        <v/>
      </c>
    </row>
    <row r="17">
      <c r="A17" s="101" t="str">
        <f>'MATCH 2'!M35</f>
        <v/>
      </c>
      <c r="B17" s="102">
        <f>'MATCH 2'!T35</f>
        <v>0</v>
      </c>
      <c r="C17" s="102">
        <f t="shared" si="1"/>
        <v>5</v>
      </c>
      <c r="D17" s="102">
        <f>COUNTIFS('MATCH 2'!$M$14:$M$39,A17,'MATCH 2'!$Q$14:$Q$39,TRUE)</f>
        <v>0</v>
      </c>
      <c r="E17" s="102">
        <f>COUNTIFS('MATCH 2'!$M$14:$M$39,A17,'MATCH 2'!$R$14:$R$39,TRUE)</f>
        <v>0</v>
      </c>
      <c r="F17" s="103">
        <f t="shared" si="2"/>
        <v>0</v>
      </c>
      <c r="H17" s="100"/>
      <c r="I17" s="100" t="str">
        <f>IFERROR(__xludf.DUMMYFUNCTION("""COMPUTED_VALUE"""),"Rick Bergevin Sr.")</f>
        <v>Rick Bergevin Sr.</v>
      </c>
      <c r="J17" s="100">
        <f>IFERROR(VLOOKUP(I17,RAWRESULTS,2,0),"")</f>
        <v>3</v>
      </c>
      <c r="K17" s="100">
        <f>IFERROR(VLOOKUP(I17,RAWRESULTS,3,0),"")</f>
        <v>2</v>
      </c>
      <c r="L17" s="100">
        <f>IFERROR(VLOOKUP(I17,RAWRESULTS,4,0),"")</f>
        <v>0</v>
      </c>
      <c r="M17" s="100">
        <f>IFERROR(VLOOKUP(I17,RAWRESULTS,5,0),"")</f>
        <v>0</v>
      </c>
    </row>
    <row r="18">
      <c r="A18" s="104" t="str">
        <f>'MATCH 2'!M36</f>
        <v/>
      </c>
      <c r="B18" s="100">
        <f>'MATCH 2'!T36</f>
        <v>0</v>
      </c>
      <c r="C18" s="100">
        <f t="shared" si="1"/>
        <v>5</v>
      </c>
      <c r="D18" s="100">
        <f>COUNTIFS('MATCH 2'!$M$14:$M$39,A18,'MATCH 2'!$Q$14:$Q$39,TRUE)</f>
        <v>0</v>
      </c>
      <c r="E18" s="100">
        <f>COUNTIFS('MATCH 2'!$M$14:$M$39,A18,'MATCH 2'!$R$14:$R$39,TRUE)</f>
        <v>0</v>
      </c>
      <c r="F18" s="103">
        <f t="shared" si="2"/>
        <v>0</v>
      </c>
      <c r="H18" s="100" t="str">
        <f>IFERROR(__xludf.DUMMYFUNCTION("""COMPUTED_VALUE"""),"Crystalized")</f>
        <v>Crystalized</v>
      </c>
      <c r="I18" s="100" t="str">
        <f>IFERROR(__xludf.DUMMYFUNCTION("""COMPUTED_VALUE"""),"Larry Walls")</f>
        <v>Larry Walls</v>
      </c>
      <c r="J18" s="100">
        <f>IFERROR(VLOOKUP(I18,RAWRESULTS,2,0),"")</f>
        <v>2</v>
      </c>
      <c r="K18" s="100">
        <f>IFERROR(VLOOKUP(I18,RAWRESULTS,3,0),"")</f>
        <v>3</v>
      </c>
      <c r="L18" s="100">
        <f>IFERROR(VLOOKUP(I18,RAWRESULTS,4,0),"")</f>
        <v>0</v>
      </c>
      <c r="M18" s="100">
        <f>IFERROR(VLOOKUP(I18,RAWRESULTS,5,0),"")</f>
        <v>0</v>
      </c>
    </row>
    <row r="19">
      <c r="A19" s="104" t="str">
        <f>'MATCH 2'!M37</f>
        <v/>
      </c>
      <c r="B19" s="100">
        <f>'MATCH 2'!T37</f>
        <v>0</v>
      </c>
      <c r="C19" s="100">
        <f t="shared" si="1"/>
        <v>5</v>
      </c>
      <c r="D19" s="100">
        <f>COUNTIFS('MATCH 2'!$M$14:$M$39,A19,'MATCH 2'!$Q$14:$Q$39,TRUE)</f>
        <v>0</v>
      </c>
      <c r="E19" s="100">
        <f>COUNTIFS('MATCH 2'!$M$14:$M$39,A19,'MATCH 2'!$R$14:$R$39,TRUE)</f>
        <v>0</v>
      </c>
      <c r="F19" s="103">
        <f t="shared" si="2"/>
        <v>0</v>
      </c>
      <c r="H19" s="100"/>
      <c r="I19" s="100" t="str">
        <f>IFERROR(__xludf.DUMMYFUNCTION("""COMPUTED_VALUE"""),"Kurt Geddes")</f>
        <v>Kurt Geddes</v>
      </c>
      <c r="J19" s="100">
        <f>IFERROR(VLOOKUP(I19,RAWRESULTS,2,0),"")</f>
        <v>1</v>
      </c>
      <c r="K19" s="100">
        <f>IFERROR(VLOOKUP(I19,RAWRESULTS,3,0),"")</f>
        <v>4</v>
      </c>
      <c r="L19" s="100">
        <f>IFERROR(VLOOKUP(I19,RAWRESULTS,4,0),"")</f>
        <v>0</v>
      </c>
      <c r="M19" s="100">
        <f>IFERROR(VLOOKUP(I19,RAWRESULTS,5,0),"")</f>
        <v>0</v>
      </c>
    </row>
    <row r="20">
      <c r="A20" s="104" t="str">
        <f>'MATCH 2'!M38</f>
        <v/>
      </c>
      <c r="B20" s="100">
        <f>'MATCH 2'!T38</f>
        <v>0</v>
      </c>
      <c r="C20" s="100">
        <f t="shared" si="1"/>
        <v>5</v>
      </c>
      <c r="D20" s="100">
        <f>COUNTIFS('MATCH 2'!$M$14:$M$39,A20,'MATCH 2'!$Q$14:$Q$39,TRUE)</f>
        <v>0</v>
      </c>
      <c r="E20" s="100">
        <f>COUNTIFS('MATCH 2'!$M$14:$M$39,A20,'MATCH 2'!$R$14:$R$39,TRUE)</f>
        <v>0</v>
      </c>
      <c r="F20" s="103">
        <f t="shared" si="2"/>
        <v>0</v>
      </c>
      <c r="H20" s="100"/>
      <c r="I20" s="100" t="str">
        <f>IFERROR(__xludf.DUMMYFUNCTION("""COMPUTED_VALUE"""),"Ron Moffett")</f>
        <v>Ron Moffett</v>
      </c>
      <c r="J20" s="100">
        <f>IFERROR(VLOOKUP(I20,RAWRESULTS,2,0),"")</f>
        <v>1</v>
      </c>
      <c r="K20" s="100">
        <f>IFERROR(VLOOKUP(I20,RAWRESULTS,3,0),"")</f>
        <v>4</v>
      </c>
      <c r="L20" s="100">
        <f>IFERROR(VLOOKUP(I20,RAWRESULTS,4,0),"")</f>
        <v>0</v>
      </c>
      <c r="M20" s="100">
        <f>IFERROR(VLOOKUP(I20,RAWRESULTS,5,0),"")</f>
        <v>0</v>
      </c>
    </row>
    <row r="21">
      <c r="A21" s="105" t="str">
        <f>'MATCH 2'!M39</f>
        <v/>
      </c>
      <c r="B21" s="106">
        <f>'MATCH 2'!T39</f>
        <v>0</v>
      </c>
      <c r="C21" s="106">
        <f t="shared" si="1"/>
        <v>5</v>
      </c>
      <c r="D21" s="106">
        <f>COUNTIFS('MATCH 2'!$M$14:$M$39,A21,'MATCH 2'!$Q$14:$Q$39,TRUE)</f>
        <v>0</v>
      </c>
      <c r="E21" s="106">
        <f>COUNTIFS('MATCH 2'!$M$14:$M$39,A21,'MATCH 2'!$R$14:$R$39,TRUE)</f>
        <v>0</v>
      </c>
      <c r="F21" s="103">
        <f t="shared" si="2"/>
        <v>0</v>
      </c>
      <c r="H21" s="100"/>
      <c r="I21" s="100" t="str">
        <f>IFERROR(__xludf.DUMMYFUNCTION("""COMPUTED_VALUE"""),"Anthony Sherman")</f>
        <v>Anthony Sherman</v>
      </c>
      <c r="J21" s="100" t="str">
        <f>IFERROR(VLOOKUP(I21,RAWRESULTS,2,0),"")</f>
        <v/>
      </c>
      <c r="K21" s="100" t="str">
        <f>IFERROR(VLOOKUP(I21,RAWRESULTS,3,0),"")</f>
        <v/>
      </c>
      <c r="L21" s="100" t="str">
        <f>IFERROR(VLOOKUP(I21,RAWRESULTS,4,0),"")</f>
        <v/>
      </c>
      <c r="M21" s="100" t="str">
        <f>IFERROR(VLOOKUP(I21,RAWRESULTS,5,0),"")</f>
        <v/>
      </c>
    </row>
    <row r="22">
      <c r="A22" s="101" t="str">
        <f>'MATCH 3'!C35</f>
        <v/>
      </c>
      <c r="B22" s="102">
        <f>'MATCH 3'!J35</f>
        <v>0</v>
      </c>
      <c r="C22" s="102">
        <f t="shared" si="1"/>
        <v>5</v>
      </c>
      <c r="D22" s="102">
        <f>COUNTIFS('MATCH 3'!$C$14:$C$39,A22,'MATCH 3'!$G$14:$G$39,TRUE)</f>
        <v>0</v>
      </c>
      <c r="E22" s="102">
        <f>COUNTIFS('MATCH 3'!$C$14:$C$39,A22,'MATCH 3'!$H$14:$H$39,TRUE)</f>
        <v>0</v>
      </c>
      <c r="F22" s="103">
        <f t="shared" si="2"/>
        <v>0</v>
      </c>
      <c r="H22" s="100"/>
      <c r="I22" s="100" t="str">
        <f>IFERROR(__xludf.DUMMYFUNCTION("""COMPUTED_VALUE"""),"Bill Steen")</f>
        <v>Bill Steen</v>
      </c>
      <c r="J22" s="100">
        <f>IFERROR(VLOOKUP(I22,RAWRESULTS,2,0),"")</f>
        <v>3</v>
      </c>
      <c r="K22" s="100">
        <f>IFERROR(VLOOKUP(I22,RAWRESULTS,3,0),"")</f>
        <v>2</v>
      </c>
      <c r="L22" s="100">
        <f>IFERROR(VLOOKUP(I22,RAWRESULTS,4,0),"")</f>
        <v>0</v>
      </c>
      <c r="M22" s="100">
        <f>IFERROR(VLOOKUP(I22,RAWRESULTS,5,0),"")</f>
        <v>0</v>
      </c>
    </row>
    <row r="23">
      <c r="A23" s="104" t="str">
        <f>'MATCH 3'!C36</f>
        <v/>
      </c>
      <c r="B23" s="100">
        <f>'MATCH 3'!J36</f>
        <v>0</v>
      </c>
      <c r="C23" s="100">
        <f t="shared" si="1"/>
        <v>5</v>
      </c>
      <c r="D23" s="100">
        <f>COUNTIFS('MATCH 3'!$C$14:$C$39,A23,'MATCH 3'!$G$14:$G$39,TRUE)</f>
        <v>0</v>
      </c>
      <c r="E23" s="100">
        <f>COUNTIFS('MATCH 3'!$C$14:$C$39,A23,'MATCH 3'!$H$14:$H$39,TRUE)</f>
        <v>0</v>
      </c>
      <c r="F23" s="103">
        <f t="shared" si="2"/>
        <v>0</v>
      </c>
      <c r="H23" s="100"/>
      <c r="I23" s="100" t="str">
        <f>IFERROR(__xludf.DUMMYFUNCTION("""COMPUTED_VALUE"""),"Paul Miller")</f>
        <v>Paul Miller</v>
      </c>
      <c r="J23" s="100" t="str">
        <f>IFERROR(VLOOKUP(I23,RAWRESULTS,2,0),"")</f>
        <v/>
      </c>
      <c r="K23" s="100" t="str">
        <f>IFERROR(VLOOKUP(I23,RAWRESULTS,3,0),"")</f>
        <v/>
      </c>
      <c r="L23" s="100" t="str">
        <f>IFERROR(VLOOKUP(I23,RAWRESULTS,4,0),"")</f>
        <v/>
      </c>
      <c r="M23" s="100" t="str">
        <f>IFERROR(VLOOKUP(I23,RAWRESULTS,5,0),"")</f>
        <v/>
      </c>
    </row>
    <row r="24">
      <c r="A24" s="104" t="str">
        <f>'MATCH 3'!C37</f>
        <v/>
      </c>
      <c r="B24" s="100">
        <f>'MATCH 3'!J37</f>
        <v>0</v>
      </c>
      <c r="C24" s="100">
        <f t="shared" si="1"/>
        <v>5</v>
      </c>
      <c r="D24" s="100">
        <f>COUNTIFS('MATCH 3'!$C$14:$C$39,A24,'MATCH 3'!$G$14:$G$39,TRUE)</f>
        <v>0</v>
      </c>
      <c r="E24" s="100">
        <f>COUNTIFS('MATCH 3'!$C$14:$C$39,A24,'MATCH 3'!$H$14:$H$39,TRUE)</f>
        <v>0</v>
      </c>
      <c r="F24" s="103">
        <f t="shared" si="2"/>
        <v>0</v>
      </c>
      <c r="H24" s="100"/>
      <c r="I24" s="100" t="str">
        <f>IFERROR(__xludf.DUMMYFUNCTION("""COMPUTED_VALUE"""),"Larry Griffin")</f>
        <v>Larry Griffin</v>
      </c>
      <c r="J24" s="100">
        <f>IFERROR(VLOOKUP(I24,RAWRESULTS,2,0),"")</f>
        <v>1</v>
      </c>
      <c r="K24" s="100">
        <f>IFERROR(VLOOKUP(I24,RAWRESULTS,3,0),"")</f>
        <v>4</v>
      </c>
      <c r="L24" s="100">
        <f>IFERROR(VLOOKUP(I24,RAWRESULTS,4,0),"")</f>
        <v>0</v>
      </c>
      <c r="M24" s="100">
        <f>IFERROR(VLOOKUP(I24,RAWRESULTS,5,0),"")</f>
        <v>0</v>
      </c>
    </row>
    <row r="25">
      <c r="A25" s="104" t="str">
        <f>'MATCH 3'!C38</f>
        <v/>
      </c>
      <c r="B25" s="100">
        <f>'MATCH 3'!J38</f>
        <v>0</v>
      </c>
      <c r="C25" s="100">
        <f t="shared" si="1"/>
        <v>5</v>
      </c>
      <c r="D25" s="100">
        <f>COUNTIFS('MATCH 3'!$C$14:$C$39,A25,'MATCH 3'!$G$14:$G$39,TRUE)</f>
        <v>0</v>
      </c>
      <c r="E25" s="100">
        <f>COUNTIFS('MATCH 3'!$C$14:$C$39,A25,'MATCH 3'!$H$14:$H$39,TRUE)</f>
        <v>0</v>
      </c>
      <c r="F25" s="103">
        <f t="shared" si="2"/>
        <v>0</v>
      </c>
      <c r="H25" s="100"/>
      <c r="I25" s="100"/>
      <c r="J25" s="100" t="str">
        <f>IFERROR(VLOOKUP(I25,RAWRESULTS,2,0),"")</f>
        <v/>
      </c>
      <c r="K25" s="100" t="str">
        <f>IFERROR(VLOOKUP(I25,RAWRESULTS,3,0),"")</f>
        <v/>
      </c>
      <c r="L25" s="100" t="str">
        <f>IFERROR(VLOOKUP(I25,RAWRESULTS,4,0),"")</f>
        <v/>
      </c>
      <c r="M25" s="100" t="str">
        <f>IFERROR(VLOOKUP(I25,RAWRESULTS,5,0),"")</f>
        <v/>
      </c>
    </row>
    <row r="26">
      <c r="A26" s="105" t="str">
        <f>'MATCH 3'!C39</f>
        <v/>
      </c>
      <c r="B26" s="106">
        <f>'MATCH 3'!J39</f>
        <v>0</v>
      </c>
      <c r="C26" s="106">
        <f t="shared" si="1"/>
        <v>5</v>
      </c>
      <c r="D26" s="106">
        <f>COUNTIFS('MATCH 3'!$C$14:$C$39,A26,'MATCH 3'!$G$14:$G$39,TRUE)</f>
        <v>0</v>
      </c>
      <c r="E26" s="106">
        <f>COUNTIFS('MATCH 3'!$C$14:$C$39,A26,'MATCH 3'!$H$14:$H$39,TRUE)</f>
        <v>0</v>
      </c>
      <c r="F26" s="103">
        <f t="shared" si="2"/>
        <v>0</v>
      </c>
      <c r="H26" s="100" t="str">
        <f>IFERROR(__xludf.DUMMYFUNCTION("""COMPUTED_VALUE"""),"The Undertakers")</f>
        <v>The Undertakers</v>
      </c>
      <c r="I26" s="100" t="str">
        <f>IFERROR(__xludf.DUMMYFUNCTION("""COMPUTED_VALUE"""),"Johnny Braxton")</f>
        <v>Johnny Braxton</v>
      </c>
      <c r="J26" s="100">
        <f>IFERROR(VLOOKUP(I26,RAWRESULTS,2,0),"")</f>
        <v>3</v>
      </c>
      <c r="K26" s="100">
        <f>IFERROR(VLOOKUP(I26,RAWRESULTS,3,0),"")</f>
        <v>2</v>
      </c>
      <c r="L26" s="100">
        <f>IFERROR(VLOOKUP(I26,RAWRESULTS,4,0),"")</f>
        <v>0</v>
      </c>
      <c r="M26" s="100">
        <f>IFERROR(VLOOKUP(I26,RAWRESULTS,5,0),"")</f>
        <v>0</v>
      </c>
    </row>
    <row r="27">
      <c r="A27" s="101" t="str">
        <f>'MATCH 3'!M35</f>
        <v/>
      </c>
      <c r="B27" s="102">
        <f>'MATCH 3'!T35</f>
        <v>0</v>
      </c>
      <c r="C27" s="102">
        <f t="shared" si="1"/>
        <v>5</v>
      </c>
      <c r="D27" s="102">
        <f>COUNTIFS('MATCH 3'!$M$14:$M$39,A27,'MATCH 3'!$Q$14:$Q$39,TRUE)</f>
        <v>0</v>
      </c>
      <c r="E27" s="102">
        <f>COUNTIFS('MATCH 3'!$M$14:$M$39,A27,'MATCH 3'!$R$14:$R$39,TRUE)</f>
        <v>0</v>
      </c>
      <c r="F27" s="103">
        <f t="shared" si="2"/>
        <v>0</v>
      </c>
      <c r="H27" s="100"/>
      <c r="I27" s="100" t="str">
        <f>IFERROR(__xludf.DUMMYFUNCTION("""COMPUTED_VALUE"""),"Ed Phillips")</f>
        <v>Ed Phillips</v>
      </c>
      <c r="J27" s="100">
        <f>IFERROR(VLOOKUP(I27,RAWRESULTS,2,0),"")</f>
        <v>1</v>
      </c>
      <c r="K27" s="100">
        <f>IFERROR(VLOOKUP(I27,RAWRESULTS,3,0),"")</f>
        <v>4</v>
      </c>
      <c r="L27" s="100">
        <f>IFERROR(VLOOKUP(I27,RAWRESULTS,4,0),"")</f>
        <v>0</v>
      </c>
      <c r="M27" s="100">
        <f>IFERROR(VLOOKUP(I27,RAWRESULTS,5,0),"")</f>
        <v>0</v>
      </c>
    </row>
    <row r="28">
      <c r="A28" s="104" t="str">
        <f>'MATCH 3'!M36</f>
        <v/>
      </c>
      <c r="B28" s="100">
        <f>'MATCH 3'!T36</f>
        <v>0</v>
      </c>
      <c r="C28" s="100">
        <f t="shared" si="1"/>
        <v>5</v>
      </c>
      <c r="D28" s="100">
        <f>COUNTIFS('MATCH 3'!$M$14:$M$39,A28,'MATCH 3'!$Q$14:$Q$39,TRUE)</f>
        <v>0</v>
      </c>
      <c r="E28" s="100">
        <f>COUNTIFS('MATCH 3'!$M$14:$M$39,A28,'MATCH 3'!$R$14:$R$39,TRUE)</f>
        <v>0</v>
      </c>
      <c r="F28" s="103">
        <f t="shared" si="2"/>
        <v>0</v>
      </c>
      <c r="H28" s="100"/>
      <c r="I28" s="100" t="str">
        <f>IFERROR(__xludf.DUMMYFUNCTION("""COMPUTED_VALUE"""),"Jimmy Newsome")</f>
        <v>Jimmy Newsome</v>
      </c>
      <c r="J28" s="100">
        <f>IFERROR(VLOOKUP(I28,RAWRESULTS,2,0),"")</f>
        <v>4</v>
      </c>
      <c r="K28" s="100">
        <f>IFERROR(VLOOKUP(I28,RAWRESULTS,3,0),"")</f>
        <v>1</v>
      </c>
      <c r="L28" s="100">
        <f>IFERROR(VLOOKUP(I28,RAWRESULTS,4,0),"")</f>
        <v>0</v>
      </c>
      <c r="M28" s="100">
        <f>IFERROR(VLOOKUP(I28,RAWRESULTS,5,0),"")</f>
        <v>0</v>
      </c>
    </row>
    <row r="29">
      <c r="A29" s="104" t="str">
        <f>'MATCH 3'!M37</f>
        <v/>
      </c>
      <c r="B29" s="100">
        <f>'MATCH 3'!T37</f>
        <v>0</v>
      </c>
      <c r="C29" s="100">
        <f t="shared" si="1"/>
        <v>5</v>
      </c>
      <c r="D29" s="100">
        <f>COUNTIFS('MATCH 3'!$M$14:$M$39,A29,'MATCH 3'!$Q$14:$Q$39,TRUE)</f>
        <v>0</v>
      </c>
      <c r="E29" s="100">
        <f>COUNTIFS('MATCH 3'!$M$14:$M$39,A29,'MATCH 3'!$R$14:$R$39,TRUE)</f>
        <v>0</v>
      </c>
      <c r="F29" s="103">
        <f t="shared" si="2"/>
        <v>0</v>
      </c>
      <c r="H29" s="100"/>
      <c r="I29" s="100" t="str">
        <f>IFERROR(__xludf.DUMMYFUNCTION("""COMPUTED_VALUE"""),"Melinda Newsome")</f>
        <v>Melinda Newsome</v>
      </c>
      <c r="J29" s="100" t="str">
        <f>IFERROR(VLOOKUP(I29,RAWRESULTS,2,0),"")</f>
        <v/>
      </c>
      <c r="K29" s="100" t="str">
        <f>IFERROR(VLOOKUP(I29,RAWRESULTS,3,0),"")</f>
        <v/>
      </c>
      <c r="L29" s="100" t="str">
        <f>IFERROR(VLOOKUP(I29,RAWRESULTS,4,0),"")</f>
        <v/>
      </c>
      <c r="M29" s="100" t="str">
        <f>IFERROR(VLOOKUP(I29,RAWRESULTS,5,0),"")</f>
        <v/>
      </c>
    </row>
    <row r="30">
      <c r="A30" s="104" t="str">
        <f>'MATCH 3'!M38</f>
        <v/>
      </c>
      <c r="B30" s="100">
        <f>'MATCH 3'!T38</f>
        <v>0</v>
      </c>
      <c r="C30" s="100">
        <f t="shared" si="1"/>
        <v>5</v>
      </c>
      <c r="D30" s="100">
        <f>COUNTIFS('MATCH 3'!$M$14:$M$39,A30,'MATCH 3'!$Q$14:$Q$39,TRUE)</f>
        <v>0</v>
      </c>
      <c r="E30" s="100">
        <f>COUNTIFS('MATCH 3'!$M$14:$M$39,A30,'MATCH 3'!$R$14:$R$39,TRUE)</f>
        <v>0</v>
      </c>
      <c r="F30" s="103">
        <f t="shared" si="2"/>
        <v>0</v>
      </c>
      <c r="H30" s="100"/>
      <c r="I30" s="100" t="str">
        <f>IFERROR(__xludf.DUMMYFUNCTION("""COMPUTED_VALUE"""),"Ed Carle")</f>
        <v>Ed Carle</v>
      </c>
      <c r="J30" s="100">
        <f>IFERROR(VLOOKUP(I30,RAWRESULTS,2,0),"")</f>
        <v>3</v>
      </c>
      <c r="K30" s="100">
        <f>IFERROR(VLOOKUP(I30,RAWRESULTS,3,0),"")</f>
        <v>2</v>
      </c>
      <c r="L30" s="100">
        <f>IFERROR(VLOOKUP(I30,RAWRESULTS,4,0),"")</f>
        <v>0</v>
      </c>
      <c r="M30" s="100">
        <f>IFERROR(VLOOKUP(I30,RAWRESULTS,5,0),"")</f>
        <v>1</v>
      </c>
    </row>
    <row r="31">
      <c r="A31" s="105" t="str">
        <f>'MATCH 3'!M39</f>
        <v/>
      </c>
      <c r="B31" s="106">
        <f>'MATCH 3'!T39</f>
        <v>0</v>
      </c>
      <c r="C31" s="106">
        <f t="shared" si="1"/>
        <v>5</v>
      </c>
      <c r="D31" s="106">
        <f>COUNTIFS('MATCH 3'!$M$14:$M$39,A31,'MATCH 3'!$Q$14:$Q$39,TRUE)</f>
        <v>0</v>
      </c>
      <c r="E31" s="106">
        <f>COUNTIFS('MATCH 3'!$M$14:$M$39,A31,'MATCH 3'!$R$14:$R$39,TRUE)</f>
        <v>0</v>
      </c>
      <c r="F31" s="103">
        <f t="shared" si="2"/>
        <v>0</v>
      </c>
      <c r="H31" s="100"/>
      <c r="I31" s="100" t="str">
        <f>IFERROR(__xludf.DUMMYFUNCTION("""COMPUTED_VALUE"""),"Bill Holly")</f>
        <v>Bill Holly</v>
      </c>
      <c r="J31" s="100">
        <f>IFERROR(VLOOKUP(I31,RAWRESULTS,2,0),"")</f>
        <v>2</v>
      </c>
      <c r="K31" s="100">
        <f>IFERROR(VLOOKUP(I31,RAWRESULTS,3,0),"")</f>
        <v>3</v>
      </c>
      <c r="L31" s="100">
        <f>IFERROR(VLOOKUP(I31,RAWRESULTS,4,0),"")</f>
        <v>0</v>
      </c>
      <c r="M31" s="100">
        <f>IFERROR(VLOOKUP(I31,RAWRESULTS,5,0),"")</f>
        <v>0</v>
      </c>
    </row>
    <row r="32">
      <c r="A32" s="101" t="str">
        <f>'MATCH 4'!C35</f>
        <v/>
      </c>
      <c r="B32" s="102">
        <f>'MATCH 4'!J35</f>
        <v>0</v>
      </c>
      <c r="C32" s="102">
        <f t="shared" si="1"/>
        <v>5</v>
      </c>
      <c r="D32" s="102">
        <f>COUNTIFS('MATCH 4'!$C$14:$C$39,A32,'MATCH 4'!$G$14:$G$39,TRUE)</f>
        <v>0</v>
      </c>
      <c r="E32" s="102">
        <f>COUNTIFS('MATCH 4'!$C$14:$C$39,A32,'MATCH 4'!$H$14:$H$39,TRUE)</f>
        <v>0</v>
      </c>
      <c r="F32" s="103">
        <f t="shared" si="2"/>
        <v>0</v>
      </c>
      <c r="H32" s="100"/>
      <c r="I32" s="100" t="str">
        <f>IFERROR(__xludf.DUMMYFUNCTION("""COMPUTED_VALUE"""),"Derrick")</f>
        <v>Derrick</v>
      </c>
      <c r="J32" s="100" t="str">
        <f>IFERROR(VLOOKUP(I32,RAWRESULTS,2,0),"")</f>
        <v/>
      </c>
      <c r="K32" s="100" t="str">
        <f>IFERROR(VLOOKUP(I32,RAWRESULTS,3,0),"")</f>
        <v/>
      </c>
      <c r="L32" s="100" t="str">
        <f>IFERROR(VLOOKUP(I32,RAWRESULTS,4,0),"")</f>
        <v/>
      </c>
      <c r="M32" s="100" t="str">
        <f>IFERROR(VLOOKUP(I32,RAWRESULTS,5,0),"")</f>
        <v/>
      </c>
    </row>
    <row r="33">
      <c r="A33" s="104" t="str">
        <f>'MATCH 4'!C36</f>
        <v/>
      </c>
      <c r="B33" s="100">
        <f>'MATCH 4'!J36</f>
        <v>0</v>
      </c>
      <c r="C33" s="100">
        <f t="shared" si="1"/>
        <v>5</v>
      </c>
      <c r="D33" s="100">
        <f>COUNTIFS('MATCH 4'!$C$14:$C$39,A33,'MATCH 4'!$G$14:$G$39,TRUE)</f>
        <v>0</v>
      </c>
      <c r="E33" s="100">
        <f>COUNTIFS('MATCH 4'!$C$14:$C$39,A33,'MATCH 4'!$H$14:$H$39,TRUE)</f>
        <v>0</v>
      </c>
      <c r="F33" s="103">
        <f t="shared" si="2"/>
        <v>0</v>
      </c>
      <c r="H33" s="100"/>
      <c r="I33" s="100" t="str">
        <f>IFERROR(__xludf.DUMMYFUNCTION("""COMPUTED_VALUE"""),"Sherie Grayling")</f>
        <v>Sherie Grayling</v>
      </c>
      <c r="J33" s="100" t="str">
        <f>IFERROR(VLOOKUP(I33,RAWRESULTS,2,0),"")</f>
        <v/>
      </c>
      <c r="K33" s="100" t="str">
        <f>IFERROR(VLOOKUP(I33,RAWRESULTS,3,0),"")</f>
        <v/>
      </c>
      <c r="L33" s="100" t="str">
        <f>IFERROR(VLOOKUP(I33,RAWRESULTS,4,0),"")</f>
        <v/>
      </c>
      <c r="M33" s="100" t="str">
        <f>IFERROR(VLOOKUP(I33,RAWRESULTS,5,0),"")</f>
        <v/>
      </c>
    </row>
    <row r="34">
      <c r="A34" s="104" t="str">
        <f>'MATCH 4'!C37</f>
        <v/>
      </c>
      <c r="B34" s="100">
        <f>'MATCH 4'!J37</f>
        <v>0</v>
      </c>
      <c r="C34" s="100">
        <f t="shared" si="1"/>
        <v>5</v>
      </c>
      <c r="D34" s="100">
        <f>COUNTIFS('MATCH 4'!$C$14:$C$39,A34,'MATCH 4'!$G$14:$G$39,TRUE)</f>
        <v>0</v>
      </c>
      <c r="E34" s="100">
        <f>COUNTIFS('MATCH 4'!$C$14:$C$39,A34,'MATCH 4'!$H$14:$H$39,TRUE)</f>
        <v>0</v>
      </c>
      <c r="F34" s="103">
        <f t="shared" si="2"/>
        <v>0</v>
      </c>
      <c r="H34" s="100" t="str">
        <f>IFERROR(__xludf.DUMMYFUNCTION("""COMPUTED_VALUE"""),"Felt Up")</f>
        <v>Felt Up</v>
      </c>
      <c r="I34" s="100" t="str">
        <f>IFERROR(__xludf.DUMMYFUNCTION("""COMPUTED_VALUE"""),"Justin Whidden")</f>
        <v>Justin Whidden</v>
      </c>
      <c r="J34" s="100">
        <f>IFERROR(VLOOKUP(I34,RAWRESULTS,2,0),"")</f>
        <v>3</v>
      </c>
      <c r="K34" s="100">
        <f>IFERROR(VLOOKUP(I34,RAWRESULTS,3,0),"")</f>
        <v>2</v>
      </c>
      <c r="L34" s="100">
        <f>IFERROR(VLOOKUP(I34,RAWRESULTS,4,0),"")</f>
        <v>0</v>
      </c>
      <c r="M34" s="100">
        <f>IFERROR(VLOOKUP(I34,RAWRESULTS,5,0),"")</f>
        <v>0</v>
      </c>
    </row>
    <row r="35">
      <c r="A35" s="104" t="str">
        <f>'MATCH 4'!C38</f>
        <v/>
      </c>
      <c r="B35" s="100">
        <f>'MATCH 4'!J38</f>
        <v>0</v>
      </c>
      <c r="C35" s="100">
        <f t="shared" si="1"/>
        <v>5</v>
      </c>
      <c r="D35" s="100">
        <f>COUNTIFS('MATCH 4'!$C$14:$C$39,A35,'MATCH 4'!$G$14:$G$39,TRUE)</f>
        <v>0</v>
      </c>
      <c r="E35" s="100">
        <f>COUNTIFS('MATCH 4'!$C$14:$C$39,A35,'MATCH 4'!$H$14:$H$39,TRUE)</f>
        <v>0</v>
      </c>
      <c r="F35" s="103">
        <f t="shared" si="2"/>
        <v>0</v>
      </c>
      <c r="H35" s="100"/>
      <c r="I35" s="100" t="str">
        <f>IFERROR(__xludf.DUMMYFUNCTION("""COMPUTED_VALUE"""),"Ed Poplet")</f>
        <v>Ed Poplet</v>
      </c>
      <c r="J35" s="100" t="str">
        <f>IFERROR(VLOOKUP(I35,RAWRESULTS,2,0),"")</f>
        <v/>
      </c>
      <c r="K35" s="100" t="str">
        <f>IFERROR(VLOOKUP(I35,RAWRESULTS,3,0),"")</f>
        <v/>
      </c>
      <c r="L35" s="100" t="str">
        <f>IFERROR(VLOOKUP(I35,RAWRESULTS,4,0),"")</f>
        <v/>
      </c>
      <c r="M35" s="100" t="str">
        <f>IFERROR(VLOOKUP(I35,RAWRESULTS,5,0),"")</f>
        <v/>
      </c>
    </row>
    <row r="36">
      <c r="A36" s="105" t="str">
        <f>'MATCH 4'!C39</f>
        <v/>
      </c>
      <c r="B36" s="106">
        <f>'MATCH 4'!J39</f>
        <v>0</v>
      </c>
      <c r="C36" s="106">
        <f t="shared" si="1"/>
        <v>5</v>
      </c>
      <c r="D36" s="106">
        <f>COUNTIFS('MATCH 4'!$C$14:$C$39,A36,'MATCH 4'!$G$14:$G$39,TRUE)</f>
        <v>0</v>
      </c>
      <c r="E36" s="106">
        <f>COUNTIFS('MATCH 4'!$C$14:$C$39,A36,'MATCH 4'!$H$14:$H$39,TRUE)</f>
        <v>0</v>
      </c>
      <c r="F36" s="103">
        <f t="shared" si="2"/>
        <v>0</v>
      </c>
      <c r="H36" s="100"/>
      <c r="I36" s="100" t="str">
        <f>IFERROR(__xludf.DUMMYFUNCTION("""COMPUTED_VALUE"""),"Glenn 'Shane' Lewis")</f>
        <v>Glenn 'Shane' Lewis</v>
      </c>
      <c r="J36" s="100">
        <f>IFERROR(VLOOKUP(I36,RAWRESULTS,2,0),"")</f>
        <v>1</v>
      </c>
      <c r="K36" s="100">
        <f>IFERROR(VLOOKUP(I36,RAWRESULTS,3,0),"")</f>
        <v>4</v>
      </c>
      <c r="L36" s="100">
        <f>IFERROR(VLOOKUP(I36,RAWRESULTS,4,0),"")</f>
        <v>0</v>
      </c>
      <c r="M36" s="100">
        <f>IFERROR(VLOOKUP(I36,RAWRESULTS,5,0),"")</f>
        <v>0</v>
      </c>
    </row>
    <row r="37">
      <c r="A37" s="101" t="str">
        <f>'MATCH 4'!M35</f>
        <v/>
      </c>
      <c r="B37" s="102">
        <f>'MATCH 4'!T35</f>
        <v>0</v>
      </c>
      <c r="C37" s="102">
        <f t="shared" si="1"/>
        <v>5</v>
      </c>
      <c r="D37" s="102">
        <f>COUNTIFS('MATCH 4'!$M$14:$M$39,A37,'MATCH 4'!$Q$14:$Q$39,TRUE)</f>
        <v>0</v>
      </c>
      <c r="E37" s="102">
        <f>COUNTIFS('MATCH 4'!$M$14:$M$39,A37,'MATCH 4'!$R$14:$R$39,TRUE)</f>
        <v>0</v>
      </c>
      <c r="F37" s="103">
        <f t="shared" si="2"/>
        <v>0</v>
      </c>
      <c r="H37" s="100"/>
      <c r="I37" s="100" t="str">
        <f>IFERROR(__xludf.DUMMYFUNCTION("""COMPUTED_VALUE"""),"Derek Samuels")</f>
        <v>Derek Samuels</v>
      </c>
      <c r="J37" s="100" t="str">
        <f>IFERROR(VLOOKUP(I37,RAWRESULTS,2,0),"")</f>
        <v/>
      </c>
      <c r="K37" s="100" t="str">
        <f>IFERROR(VLOOKUP(I37,RAWRESULTS,3,0),"")</f>
        <v/>
      </c>
      <c r="L37" s="100" t="str">
        <f>IFERROR(VLOOKUP(I37,RAWRESULTS,4,0),"")</f>
        <v/>
      </c>
      <c r="M37" s="100" t="str">
        <f>IFERROR(VLOOKUP(I37,RAWRESULTS,5,0),"")</f>
        <v/>
      </c>
    </row>
    <row r="38">
      <c r="A38" s="104" t="str">
        <f>'MATCH 4'!M36</f>
        <v/>
      </c>
      <c r="B38" s="100">
        <f>'MATCH 4'!T36</f>
        <v>0</v>
      </c>
      <c r="C38" s="100">
        <f t="shared" si="1"/>
        <v>5</v>
      </c>
      <c r="D38" s="100">
        <f>COUNTIFS('MATCH 4'!$M$14:$M$39,A38,'MATCH 4'!$Q$14:$Q$39,TRUE)</f>
        <v>0</v>
      </c>
      <c r="E38" s="100">
        <f>COUNTIFS('MATCH 4'!$M$14:$M$39,A38,'MATCH 4'!$R$14:$R$39,TRUE)</f>
        <v>0</v>
      </c>
      <c r="F38" s="103">
        <f t="shared" si="2"/>
        <v>0</v>
      </c>
      <c r="H38" s="100"/>
      <c r="I38" s="100" t="str">
        <f>IFERROR(__xludf.DUMMYFUNCTION("""COMPUTED_VALUE"""),"Kelvin Singleton")</f>
        <v>Kelvin Singleton</v>
      </c>
      <c r="J38" s="100">
        <f>IFERROR(VLOOKUP(I38,RAWRESULTS,2,0),"")</f>
        <v>4</v>
      </c>
      <c r="K38" s="100">
        <f>IFERROR(VLOOKUP(I38,RAWRESULTS,3,0),"")</f>
        <v>1</v>
      </c>
      <c r="L38" s="100">
        <f>IFERROR(VLOOKUP(I38,RAWRESULTS,4,0),"")</f>
        <v>0</v>
      </c>
      <c r="M38" s="100">
        <f>IFERROR(VLOOKUP(I38,RAWRESULTS,5,0),"")</f>
        <v>0</v>
      </c>
    </row>
    <row r="39">
      <c r="A39" s="104" t="str">
        <f>'MATCH 4'!M37</f>
        <v/>
      </c>
      <c r="B39" s="100">
        <f>'MATCH 4'!T37</f>
        <v>0</v>
      </c>
      <c r="C39" s="100">
        <f t="shared" si="1"/>
        <v>5</v>
      </c>
      <c r="D39" s="100">
        <f>COUNTIFS('MATCH 4'!$M$14:$M$39,A39,'MATCH 4'!$Q$14:$Q$39,TRUE)</f>
        <v>0</v>
      </c>
      <c r="E39" s="100">
        <f>COUNTIFS('MATCH 4'!$M$14:$M$39,A39,'MATCH 4'!$R$14:$R$39,TRUE)</f>
        <v>0</v>
      </c>
      <c r="F39" s="103">
        <f t="shared" si="2"/>
        <v>0</v>
      </c>
      <c r="H39" s="100"/>
      <c r="I39" s="100" t="str">
        <f>IFERROR(__xludf.DUMMYFUNCTION("""COMPUTED_VALUE"""),"Mike Stepp")</f>
        <v>Mike Stepp</v>
      </c>
      <c r="J39" s="100">
        <f>IFERROR(VLOOKUP(I39,RAWRESULTS,2,0),"")</f>
        <v>1</v>
      </c>
      <c r="K39" s="100">
        <f>IFERROR(VLOOKUP(I39,RAWRESULTS,3,0),"")</f>
        <v>4</v>
      </c>
      <c r="L39" s="100">
        <f>IFERROR(VLOOKUP(I39,RAWRESULTS,4,0),"")</f>
        <v>0</v>
      </c>
      <c r="M39" s="100">
        <f>IFERROR(VLOOKUP(I39,RAWRESULTS,5,0),"")</f>
        <v>0</v>
      </c>
    </row>
    <row r="40">
      <c r="A40" s="104" t="str">
        <f>'MATCH 4'!M38</f>
        <v/>
      </c>
      <c r="B40" s="100">
        <f>'MATCH 4'!T38</f>
        <v>0</v>
      </c>
      <c r="C40" s="100">
        <f t="shared" si="1"/>
        <v>5</v>
      </c>
      <c r="D40" s="100">
        <f>COUNTIFS('MATCH 4'!$M$14:$M$39,A40,'MATCH 4'!$Q$14:$Q$39,TRUE)</f>
        <v>0</v>
      </c>
      <c r="E40" s="100">
        <f>COUNTIFS('MATCH 4'!$M$14:$M$39,A40,'MATCH 4'!$R$14:$R$39,TRUE)</f>
        <v>0</v>
      </c>
      <c r="F40" s="103">
        <f t="shared" si="2"/>
        <v>0</v>
      </c>
      <c r="H40" s="100"/>
      <c r="I40" s="100" t="str">
        <f>IFERROR(__xludf.DUMMYFUNCTION("""COMPUTED_VALUE"""),"Craig Pickard")</f>
        <v>Craig Pickard</v>
      </c>
      <c r="J40" s="100" t="str">
        <f>IFERROR(VLOOKUP(I40,RAWRESULTS,2,0),"")</f>
        <v/>
      </c>
      <c r="K40" s="100" t="str">
        <f>IFERROR(VLOOKUP(I40,RAWRESULTS,3,0),"")</f>
        <v/>
      </c>
      <c r="L40" s="100" t="str">
        <f>IFERROR(VLOOKUP(I40,RAWRESULTS,4,0),"")</f>
        <v/>
      </c>
      <c r="M40" s="100" t="str">
        <f>IFERROR(VLOOKUP(I40,RAWRESULTS,5,0),"")</f>
        <v/>
      </c>
    </row>
    <row r="41">
      <c r="A41" s="105" t="str">
        <f>'MATCH 4'!M39</f>
        <v/>
      </c>
      <c r="B41" s="106">
        <f>'MATCH 4'!T39</f>
        <v>0</v>
      </c>
      <c r="C41" s="106">
        <f t="shared" si="1"/>
        <v>5</v>
      </c>
      <c r="D41" s="106">
        <f>COUNTIFS('MATCH 4'!$M$14:$M$39,A41,'MATCH 4'!$Q$14:$Q$39,TRUE)</f>
        <v>0</v>
      </c>
      <c r="E41" s="106">
        <f>COUNTIFS('MATCH 4'!$M$14:$M$39,A41,'MATCH 4'!$R$14:$R$39,TRUE)</f>
        <v>0</v>
      </c>
      <c r="F41" s="103">
        <f t="shared" si="2"/>
        <v>0</v>
      </c>
      <c r="H41" s="100"/>
      <c r="I41" s="100" t="str">
        <f>IFERROR(__xludf.DUMMYFUNCTION("""COMPUTED_VALUE"""),"JB Almond")</f>
        <v>JB Almond</v>
      </c>
      <c r="J41" s="100" t="str">
        <f>IFERROR(VLOOKUP(I41,RAWRESULTS,2,0),"")</f>
        <v/>
      </c>
      <c r="K41" s="100" t="str">
        <f>IFERROR(VLOOKUP(I41,RAWRESULTS,3,0),"")</f>
        <v/>
      </c>
      <c r="L41" s="100" t="str">
        <f>IFERROR(VLOOKUP(I41,RAWRESULTS,4,0),"")</f>
        <v/>
      </c>
      <c r="M41" s="100" t="str">
        <f>IFERROR(VLOOKUP(I41,RAWRESULTS,5,0),"")</f>
        <v/>
      </c>
    </row>
    <row r="42">
      <c r="A42" s="101" t="str">
        <f>'MATCH 5'!C35</f>
        <v>John Finley</v>
      </c>
      <c r="B42" s="102">
        <f>'MATCH 5'!J35</f>
        <v>4</v>
      </c>
      <c r="C42" s="102">
        <f t="shared" si="1"/>
        <v>1</v>
      </c>
      <c r="D42" s="102">
        <f>COUNTIFS('MATCH 5'!$C$14:$C$39,A42,'MATCH 5'!$G$14:$G$39,TRUE)</f>
        <v>1</v>
      </c>
      <c r="E42" s="102">
        <f>COUNTIFS('MATCH 5'!$C$14:$C$39,A42,'MATCH 5'!$H$14:$H$39,TRUE)</f>
        <v>0</v>
      </c>
      <c r="F42" s="103">
        <f t="shared" si="2"/>
        <v>0</v>
      </c>
      <c r="H42" s="100"/>
      <c r="I42" s="100"/>
      <c r="J42" s="100" t="str">
        <f>IFERROR(VLOOKUP(I42,RAWRESULTS,2,0),"")</f>
        <v/>
      </c>
      <c r="K42" s="100" t="str">
        <f>IFERROR(VLOOKUP(I42,RAWRESULTS,3,0),"")</f>
        <v/>
      </c>
      <c r="L42" s="100" t="str">
        <f>IFERROR(VLOOKUP(I42,RAWRESULTS,4,0),"")</f>
        <v/>
      </c>
      <c r="M42" s="100" t="str">
        <f>IFERROR(VLOOKUP(I42,RAWRESULTS,5,0),"")</f>
        <v/>
      </c>
    </row>
    <row r="43">
      <c r="A43" s="104" t="str">
        <f>'MATCH 5'!C36</f>
        <v>Margie Sandoval</v>
      </c>
      <c r="B43" s="100">
        <f>'MATCH 5'!J36</f>
        <v>3</v>
      </c>
      <c r="C43" s="100">
        <f t="shared" si="1"/>
        <v>2</v>
      </c>
      <c r="D43" s="100">
        <f>COUNTIFS('MATCH 5'!$C$14:$C$39,A43,'MATCH 5'!$G$14:$G$39,TRUE)</f>
        <v>0</v>
      </c>
      <c r="E43" s="100">
        <f>COUNTIFS('MATCH 5'!$C$14:$C$39,A43,'MATCH 5'!$H$14:$H$39,TRUE)</f>
        <v>0</v>
      </c>
      <c r="F43" s="103">
        <f t="shared" si="2"/>
        <v>0</v>
      </c>
      <c r="H43" s="100"/>
      <c r="I43" s="100"/>
      <c r="J43" s="100" t="str">
        <f>IFERROR(VLOOKUP(I43,RAWRESULTS,2,0),"")</f>
        <v/>
      </c>
      <c r="K43" s="100" t="str">
        <f>IFERROR(VLOOKUP(I43,RAWRESULTS,3,0),"")</f>
        <v/>
      </c>
      <c r="L43" s="100" t="str">
        <f>IFERROR(VLOOKUP(I43,RAWRESULTS,4,0),"")</f>
        <v/>
      </c>
      <c r="M43" s="100" t="str">
        <f>IFERROR(VLOOKUP(I43,RAWRESULTS,5,0),"")</f>
        <v/>
      </c>
    </row>
    <row r="44">
      <c r="A44" s="104" t="str">
        <f>'MATCH 5'!C37</f>
        <v>Jose Sanabria</v>
      </c>
      <c r="B44" s="100">
        <f>'MATCH 5'!J37</f>
        <v>1</v>
      </c>
      <c r="C44" s="100">
        <f t="shared" si="1"/>
        <v>4</v>
      </c>
      <c r="D44" s="100">
        <f>COUNTIFS('MATCH 5'!$C$14:$C$39,A44,'MATCH 5'!$G$14:$G$39,TRUE)</f>
        <v>0</v>
      </c>
      <c r="E44" s="100">
        <f>COUNTIFS('MATCH 5'!$C$14:$C$39,A44,'MATCH 5'!$H$14:$H$39,TRUE)</f>
        <v>0</v>
      </c>
      <c r="F44" s="103">
        <f t="shared" si="2"/>
        <v>0</v>
      </c>
      <c r="H44" s="100"/>
      <c r="I44" s="100"/>
      <c r="J44" s="100" t="str">
        <f>IFERROR(VLOOKUP(I44,RAWRESULTS,2,0),"")</f>
        <v/>
      </c>
      <c r="K44" s="100" t="str">
        <f>IFERROR(VLOOKUP(I44,RAWRESULTS,3,0),"")</f>
        <v/>
      </c>
      <c r="L44" s="100" t="str">
        <f>IFERROR(VLOOKUP(I44,RAWRESULTS,4,0),"")</f>
        <v/>
      </c>
      <c r="M44" s="100" t="str">
        <f>IFERROR(VLOOKUP(I44,RAWRESULTS,5,0),"")</f>
        <v/>
      </c>
    </row>
    <row r="45">
      <c r="A45" s="104" t="str">
        <f>'MATCH 5'!C38</f>
        <v>David Grimes</v>
      </c>
      <c r="B45" s="100">
        <f>'MATCH 5'!J38</f>
        <v>4</v>
      </c>
      <c r="C45" s="100">
        <f t="shared" si="1"/>
        <v>1</v>
      </c>
      <c r="D45" s="100">
        <f>COUNTIFS('MATCH 5'!$C$14:$C$39,A45,'MATCH 5'!$G$14:$G$39,TRUE)</f>
        <v>0</v>
      </c>
      <c r="E45" s="100">
        <f>COUNTIFS('MATCH 5'!$C$14:$C$39,A45,'MATCH 5'!$H$14:$H$39,TRUE)</f>
        <v>0</v>
      </c>
      <c r="F45" s="103">
        <f t="shared" si="2"/>
        <v>0</v>
      </c>
      <c r="H45" s="100"/>
      <c r="I45" s="100"/>
      <c r="J45" s="100" t="str">
        <f>IFERROR(VLOOKUP(I45,RAWRESULTS,2,0),"")</f>
        <v/>
      </c>
      <c r="K45" s="100" t="str">
        <f>IFERROR(VLOOKUP(I45,RAWRESULTS,3,0),"")</f>
        <v/>
      </c>
      <c r="L45" s="100" t="str">
        <f>IFERROR(VLOOKUP(I45,RAWRESULTS,4,0),"")</f>
        <v/>
      </c>
      <c r="M45" s="100" t="str">
        <f>IFERROR(VLOOKUP(I45,RAWRESULTS,5,0),"")</f>
        <v/>
      </c>
    </row>
    <row r="46">
      <c r="A46" s="105" t="str">
        <f>'MATCH 5'!C39</f>
        <v>Eliseo Sandoval</v>
      </c>
      <c r="B46" s="106">
        <f>'MATCH 5'!J39</f>
        <v>4</v>
      </c>
      <c r="C46" s="106">
        <f t="shared" si="1"/>
        <v>1</v>
      </c>
      <c r="D46" s="106">
        <f>COUNTIFS('MATCH 5'!$C$14:$C$39,A46,'MATCH 5'!$G$14:$G$39,TRUE)</f>
        <v>0</v>
      </c>
      <c r="E46" s="106">
        <f>COUNTIFS('MATCH 5'!$C$14:$C$39,A46,'MATCH 5'!$H$14:$H$39,TRUE)</f>
        <v>0</v>
      </c>
      <c r="F46" s="103">
        <f t="shared" si="2"/>
        <v>0</v>
      </c>
      <c r="H46" s="100"/>
      <c r="I46" s="100"/>
      <c r="J46" s="100" t="str">
        <f>IFERROR(VLOOKUP(I46,RAWRESULTS,2,0),"")</f>
        <v/>
      </c>
      <c r="K46" s="100" t="str">
        <f>IFERROR(VLOOKUP(I46,RAWRESULTS,3,0),"")</f>
        <v/>
      </c>
      <c r="L46" s="100" t="str">
        <f>IFERROR(VLOOKUP(I46,RAWRESULTS,4,0),"")</f>
        <v/>
      </c>
      <c r="M46" s="100" t="str">
        <f>IFERROR(VLOOKUP(I46,RAWRESULTS,5,0),"")</f>
        <v/>
      </c>
    </row>
    <row r="47">
      <c r="A47" s="101" t="str">
        <f>'MATCH 5'!M35</f>
        <v>Glenn 'Shane' Lewis</v>
      </c>
      <c r="B47" s="102">
        <f>'MATCH 5'!T35</f>
        <v>1</v>
      </c>
      <c r="C47" s="102">
        <f t="shared" si="1"/>
        <v>4</v>
      </c>
      <c r="D47" s="102">
        <f>COUNTIFS('MATCH 5'!$M$14:$M$39,A47,'MATCH 5'!$Q$14:$Q$39,TRUE)</f>
        <v>0</v>
      </c>
      <c r="E47" s="102">
        <f>COUNTIFS('MATCH 5'!$M$14:$M$39,A47,'MATCH 5'!$R$14:$R$39,TRUE)</f>
        <v>0</v>
      </c>
      <c r="F47" s="103">
        <f t="shared" si="2"/>
        <v>0</v>
      </c>
      <c r="H47" s="100"/>
      <c r="I47" s="100"/>
      <c r="J47" s="100" t="str">
        <f>IFERROR(VLOOKUP(I47,RAWRESULTS,2,0),"")</f>
        <v/>
      </c>
      <c r="K47" s="100" t="str">
        <f>IFERROR(VLOOKUP(I47,RAWRESULTS,3,0),"")</f>
        <v/>
      </c>
      <c r="L47" s="100" t="str">
        <f>IFERROR(VLOOKUP(I47,RAWRESULTS,4,0),"")</f>
        <v/>
      </c>
      <c r="M47" s="100" t="str">
        <f>IFERROR(VLOOKUP(I47,RAWRESULTS,5,0),"")</f>
        <v/>
      </c>
    </row>
    <row r="48">
      <c r="A48" s="104" t="str">
        <f>'MATCH 5'!M36</f>
        <v>Mike Stepp</v>
      </c>
      <c r="B48" s="100">
        <f>'MATCH 5'!T36</f>
        <v>1</v>
      </c>
      <c r="C48" s="100">
        <f t="shared" si="1"/>
        <v>4</v>
      </c>
      <c r="D48" s="100">
        <f>COUNTIFS('MATCH 5'!$M$14:$M$39,A48,'MATCH 5'!$Q$14:$Q$39,TRUE)</f>
        <v>0</v>
      </c>
      <c r="E48" s="100">
        <f>COUNTIFS('MATCH 5'!$M$14:$M$39,A48,'MATCH 5'!$R$14:$R$39,TRUE)</f>
        <v>0</v>
      </c>
      <c r="F48" s="103">
        <f t="shared" si="2"/>
        <v>0</v>
      </c>
      <c r="H48" s="100"/>
      <c r="I48" s="100"/>
      <c r="J48" s="100" t="str">
        <f>IFERROR(VLOOKUP(I48,RAWRESULTS,2,0),"")</f>
        <v/>
      </c>
      <c r="K48" s="100" t="str">
        <f>IFERROR(VLOOKUP(I48,RAWRESULTS,3,0),"")</f>
        <v/>
      </c>
      <c r="L48" s="100" t="str">
        <f>IFERROR(VLOOKUP(I48,RAWRESULTS,4,0),"")</f>
        <v/>
      </c>
      <c r="M48" s="100" t="str">
        <f>IFERROR(VLOOKUP(I48,RAWRESULTS,5,0),"")</f>
        <v/>
      </c>
    </row>
    <row r="49">
      <c r="A49" s="104" t="str">
        <f>'MATCH 5'!M37</f>
        <v>Kelvin Singleton</v>
      </c>
      <c r="B49" s="100">
        <f>'MATCH 5'!T37</f>
        <v>4</v>
      </c>
      <c r="C49" s="100">
        <f t="shared" si="1"/>
        <v>1</v>
      </c>
      <c r="D49" s="100">
        <f>COUNTIFS('MATCH 5'!$M$14:$M$39,A49,'MATCH 5'!$Q$14:$Q$39,TRUE)</f>
        <v>0</v>
      </c>
      <c r="E49" s="100">
        <f>COUNTIFS('MATCH 5'!$M$14:$M$39,A49,'MATCH 5'!$R$14:$R$39,TRUE)</f>
        <v>0</v>
      </c>
      <c r="F49" s="103">
        <f t="shared" si="2"/>
        <v>0</v>
      </c>
      <c r="H49" s="100"/>
      <c r="I49" s="100"/>
      <c r="J49" s="100" t="str">
        <f>IFERROR(VLOOKUP(I49,RAWRESULTS,2,0),"")</f>
        <v/>
      </c>
      <c r="K49" s="100" t="str">
        <f>IFERROR(VLOOKUP(I49,RAWRESULTS,3,0),"")</f>
        <v/>
      </c>
      <c r="L49" s="100" t="str">
        <f>IFERROR(VLOOKUP(I49,RAWRESULTS,4,0),"")</f>
        <v/>
      </c>
      <c r="M49" s="100" t="str">
        <f>IFERROR(VLOOKUP(I49,RAWRESULTS,5,0),"")</f>
        <v/>
      </c>
    </row>
    <row r="50">
      <c r="A50" s="104" t="str">
        <f>'MATCH 5'!M38</f>
        <v>Justin Whidden</v>
      </c>
      <c r="B50" s="100">
        <f>'MATCH 5'!T38</f>
        <v>3</v>
      </c>
      <c r="C50" s="100">
        <f t="shared" si="1"/>
        <v>2</v>
      </c>
      <c r="D50" s="100">
        <f>COUNTIFS('MATCH 5'!$M$14:$M$39,A50,'MATCH 5'!$Q$14:$Q$39,TRUE)</f>
        <v>0</v>
      </c>
      <c r="E50" s="100">
        <f>COUNTIFS('MATCH 5'!$M$14:$M$39,A50,'MATCH 5'!$R$14:$R$39,TRUE)</f>
        <v>0</v>
      </c>
      <c r="F50" s="103">
        <f t="shared" si="2"/>
        <v>0</v>
      </c>
      <c r="H50" s="100" t="str">
        <f>IFERROR(__xludf.DUMMYFUNCTION("""COMPUTED_VALUE"""),"Q-Tipz")</f>
        <v>Q-Tipz</v>
      </c>
      <c r="I50" s="100" t="str">
        <f>IFERROR(__xludf.DUMMYFUNCTION("""COMPUTED_VALUE"""),"Quiahja Croson")</f>
        <v>Quiahja Croson</v>
      </c>
      <c r="J50" s="100" t="str">
        <f>IFERROR(VLOOKUP(I50,RAWRESULTS,2,0),"")</f>
        <v/>
      </c>
      <c r="K50" s="100" t="str">
        <f>IFERROR(VLOOKUP(I50,RAWRESULTS,3,0),"")</f>
        <v/>
      </c>
      <c r="L50" s="100" t="str">
        <f>IFERROR(VLOOKUP(I50,RAWRESULTS,4,0),"")</f>
        <v/>
      </c>
      <c r="M50" s="100" t="str">
        <f>IFERROR(VLOOKUP(I50,RAWRESULTS,5,0),"")</f>
        <v/>
      </c>
    </row>
    <row r="51">
      <c r="A51" s="105" t="str">
        <f>'MATCH 5'!M39</f>
        <v>Kelvin Singleton</v>
      </c>
      <c r="B51" s="106">
        <f>'MATCH 5'!T39</f>
        <v>4</v>
      </c>
      <c r="C51" s="106">
        <f t="shared" si="1"/>
        <v>1</v>
      </c>
      <c r="D51" s="106">
        <f>COUNTIFS('MATCH 5'!$M$14:$M$39,A51,'MATCH 5'!$Q$14:$Q$39,TRUE)</f>
        <v>0</v>
      </c>
      <c r="E51" s="106">
        <f>COUNTIFS('MATCH 5'!$M$14:$M$39,A51,'MATCH 5'!$R$14:$R$39,TRUE)</f>
        <v>0</v>
      </c>
      <c r="F51" s="103">
        <f t="shared" si="2"/>
        <v>0</v>
      </c>
      <c r="H51" s="100" t="str">
        <f>IFERROR(__xludf.DUMMYFUNCTION("""COMPUTED_VALUE"""),"Co-Captain")</f>
        <v>Co-Captain</v>
      </c>
      <c r="I51" s="100" t="str">
        <f>IFERROR(__xludf.DUMMYFUNCTION("""COMPUTED_VALUE"""),"Q Croson 'Captain'")</f>
        <v>Q Croson 'Captain'</v>
      </c>
      <c r="J51" s="100" t="str">
        <f>IFERROR(VLOOKUP(I51,RAWRESULTS,2,0),"")</f>
        <v/>
      </c>
      <c r="K51" s="100" t="str">
        <f>IFERROR(VLOOKUP(I51,RAWRESULTS,3,0),"")</f>
        <v/>
      </c>
      <c r="L51" s="100" t="str">
        <f>IFERROR(VLOOKUP(I51,RAWRESULTS,4,0),"")</f>
        <v/>
      </c>
      <c r="M51" s="100" t="str">
        <f>IFERROR(VLOOKUP(I51,RAWRESULTS,5,0),"")</f>
        <v/>
      </c>
    </row>
    <row r="52">
      <c r="A52" s="101" t="str">
        <f>'MATCH 6'!C35</f>
        <v>Johnny Braxton</v>
      </c>
      <c r="B52" s="102">
        <f>'MATCH 6'!J35</f>
        <v>3</v>
      </c>
      <c r="C52" s="102">
        <f t="shared" si="1"/>
        <v>2</v>
      </c>
      <c r="D52" s="102">
        <f>COUNTIFS('MATCH 6'!$C$14:$C$39,A52,'MATCH 6'!$G$14:$G$39,TRUE)</f>
        <v>0</v>
      </c>
      <c r="E52" s="102">
        <f>COUNTIFS('MATCH 6'!$C$14:$C$39,A52,'MATCH 6'!$H$14:$H$39,TRUE)</f>
        <v>0</v>
      </c>
      <c r="F52" s="103">
        <f t="shared" si="2"/>
        <v>0</v>
      </c>
      <c r="H52" s="100"/>
      <c r="I52" s="100" t="str">
        <f>IFERROR(__xludf.DUMMYFUNCTION("""COMPUTED_VALUE"""),"Bill Henry")</f>
        <v>Bill Henry</v>
      </c>
      <c r="J52" s="100" t="str">
        <f>IFERROR(VLOOKUP(I52,RAWRESULTS,2,0),"")</f>
        <v/>
      </c>
      <c r="K52" s="100" t="str">
        <f>IFERROR(VLOOKUP(I52,RAWRESULTS,3,0),"")</f>
        <v/>
      </c>
      <c r="L52" s="100" t="str">
        <f>IFERROR(VLOOKUP(I52,RAWRESULTS,4,0),"")</f>
        <v/>
      </c>
      <c r="M52" s="100" t="str">
        <f>IFERROR(VLOOKUP(I52,RAWRESULTS,5,0),"")</f>
        <v/>
      </c>
    </row>
    <row r="53">
      <c r="A53" s="104" t="str">
        <f>'MATCH 6'!C36</f>
        <v>Ed Carle</v>
      </c>
      <c r="B53" s="100">
        <f>'MATCH 6'!J36</f>
        <v>3</v>
      </c>
      <c r="C53" s="100">
        <f t="shared" si="1"/>
        <v>2</v>
      </c>
      <c r="D53" s="100">
        <f>COUNTIFS('MATCH 6'!$C$14:$C$39,A53,'MATCH 6'!$G$14:$G$39,TRUE)</f>
        <v>0</v>
      </c>
      <c r="E53" s="100">
        <f>COUNTIFS('MATCH 6'!$C$14:$C$39,A53,'MATCH 6'!$H$14:$H$39,TRUE)</f>
        <v>1</v>
      </c>
      <c r="F53" s="103">
        <f t="shared" si="2"/>
        <v>0</v>
      </c>
      <c r="H53" s="100"/>
      <c r="I53" s="100" t="str">
        <f>IFERROR(__xludf.DUMMYFUNCTION("""COMPUTED_VALUE"""),"Heath Horsely")</f>
        <v>Heath Horsely</v>
      </c>
      <c r="J53" s="100" t="str">
        <f>IFERROR(VLOOKUP(I53,RAWRESULTS,2,0),"")</f>
        <v/>
      </c>
      <c r="K53" s="100" t="str">
        <f>IFERROR(VLOOKUP(I53,RAWRESULTS,3,0),"")</f>
        <v/>
      </c>
      <c r="L53" s="100" t="str">
        <f>IFERROR(VLOOKUP(I53,RAWRESULTS,4,0),"")</f>
        <v/>
      </c>
      <c r="M53" s="100" t="str">
        <f>IFERROR(VLOOKUP(I53,RAWRESULTS,5,0),"")</f>
        <v/>
      </c>
    </row>
    <row r="54">
      <c r="A54" s="104" t="str">
        <f>'MATCH 6'!C37</f>
        <v>Jimmy Newsome</v>
      </c>
      <c r="B54" s="100">
        <f>'MATCH 6'!J37</f>
        <v>4</v>
      </c>
      <c r="C54" s="100">
        <f t="shared" si="1"/>
        <v>1</v>
      </c>
      <c r="D54" s="100">
        <f>COUNTIFS('MATCH 6'!$C$14:$C$39,A54,'MATCH 6'!$G$14:$G$39,TRUE)</f>
        <v>0</v>
      </c>
      <c r="E54" s="100">
        <f>COUNTIFS('MATCH 6'!$C$14:$C$39,A54,'MATCH 6'!$H$14:$H$39,TRUE)</f>
        <v>0</v>
      </c>
      <c r="F54" s="103">
        <f t="shared" si="2"/>
        <v>0</v>
      </c>
      <c r="H54" s="100"/>
      <c r="I54" s="100" t="str">
        <f>IFERROR(__xludf.DUMMYFUNCTION("""COMPUTED_VALUE"""),"Morgan Skip Evans")</f>
        <v>Morgan Skip Evans</v>
      </c>
      <c r="J54" s="100" t="str">
        <f>IFERROR(VLOOKUP(I54,RAWRESULTS,2,0),"")</f>
        <v/>
      </c>
      <c r="K54" s="100" t="str">
        <f>IFERROR(VLOOKUP(I54,RAWRESULTS,3,0),"")</f>
        <v/>
      </c>
      <c r="L54" s="100" t="str">
        <f>IFERROR(VLOOKUP(I54,RAWRESULTS,4,0),"")</f>
        <v/>
      </c>
      <c r="M54" s="100" t="str">
        <f>IFERROR(VLOOKUP(I54,RAWRESULTS,5,0),"")</f>
        <v/>
      </c>
    </row>
    <row r="55">
      <c r="A55" s="104" t="str">
        <f>'MATCH 6'!C38</f>
        <v>Ed Phillips</v>
      </c>
      <c r="B55" s="100">
        <f>'MATCH 6'!J38</f>
        <v>1</v>
      </c>
      <c r="C55" s="100">
        <f t="shared" si="1"/>
        <v>4</v>
      </c>
      <c r="D55" s="100">
        <f>COUNTIFS('MATCH 6'!$C$14:$C$39,A55,'MATCH 6'!$G$14:$G$39,TRUE)</f>
        <v>0</v>
      </c>
      <c r="E55" s="100">
        <f>COUNTIFS('MATCH 6'!$C$14:$C$39,A55,'MATCH 6'!$H$14:$H$39,TRUE)</f>
        <v>0</v>
      </c>
      <c r="F55" s="103">
        <f t="shared" si="2"/>
        <v>0</v>
      </c>
      <c r="H55" s="100"/>
      <c r="I55" s="100" t="str">
        <f>IFERROR(__xludf.DUMMYFUNCTION("""COMPUTED_VALUE"""),"David Nunez")</f>
        <v>David Nunez</v>
      </c>
      <c r="J55" s="100" t="str">
        <f>IFERROR(VLOOKUP(I55,RAWRESULTS,2,0),"")</f>
        <v/>
      </c>
      <c r="K55" s="100" t="str">
        <f>IFERROR(VLOOKUP(I55,RAWRESULTS,3,0),"")</f>
        <v/>
      </c>
      <c r="L55" s="100" t="str">
        <f>IFERROR(VLOOKUP(I55,RAWRESULTS,4,0),"")</f>
        <v/>
      </c>
      <c r="M55" s="100" t="str">
        <f>IFERROR(VLOOKUP(I55,RAWRESULTS,5,0),"")</f>
        <v/>
      </c>
    </row>
    <row r="56">
      <c r="A56" s="105" t="str">
        <f>'MATCH 6'!C39</f>
        <v>Bill Holly</v>
      </c>
      <c r="B56" s="106">
        <f>'MATCH 6'!J39</f>
        <v>2</v>
      </c>
      <c r="C56" s="106">
        <f t="shared" si="1"/>
        <v>3</v>
      </c>
      <c r="D56" s="106">
        <f>COUNTIFS('MATCH 6'!$C$14:$C$39,A56,'MATCH 6'!$G$14:$G$39,TRUE)</f>
        <v>0</v>
      </c>
      <c r="E56" s="106">
        <f>COUNTIFS('MATCH 6'!$C$14:$C$39,A56,'MATCH 6'!$H$14:$H$39,TRUE)</f>
        <v>0</v>
      </c>
      <c r="F56" s="103">
        <f t="shared" si="2"/>
        <v>0</v>
      </c>
      <c r="H56" s="100"/>
      <c r="I56" s="100" t="str">
        <f>IFERROR(__xludf.DUMMYFUNCTION("""COMPUTED_VALUE"""),"Randy Fox")</f>
        <v>Randy Fox</v>
      </c>
      <c r="J56" s="100" t="str">
        <f>IFERROR(VLOOKUP(I56,RAWRESULTS,2,0),"")</f>
        <v/>
      </c>
      <c r="K56" s="100" t="str">
        <f>IFERROR(VLOOKUP(I56,RAWRESULTS,3,0),"")</f>
        <v/>
      </c>
      <c r="L56" s="100" t="str">
        <f>IFERROR(VLOOKUP(I56,RAWRESULTS,4,0),"")</f>
        <v/>
      </c>
      <c r="M56" s="100" t="str">
        <f>IFERROR(VLOOKUP(I56,RAWRESULTS,5,0),"")</f>
        <v/>
      </c>
    </row>
    <row r="57">
      <c r="A57" s="101" t="str">
        <f>'MATCH 6'!M35</f>
        <v>Gerald Knierim</v>
      </c>
      <c r="B57" s="102">
        <f>'MATCH 6'!T35</f>
        <v>3</v>
      </c>
      <c r="C57" s="102">
        <f t="shared" si="1"/>
        <v>2</v>
      </c>
      <c r="D57" s="102">
        <f>COUNTIFS('MATCH 6'!$M$14:$M$39,A57,'MATCH 6'!$Q$14:$Q$39,TRUE)</f>
        <v>0</v>
      </c>
      <c r="E57" s="102">
        <f>COUNTIFS('MATCH 6'!$M$14:$M$39,A57,'MATCH 6'!$R$14:$R$39,TRUE)</f>
        <v>0</v>
      </c>
      <c r="F57" s="103">
        <f t="shared" si="2"/>
        <v>0</v>
      </c>
      <c r="H57" s="100"/>
      <c r="I57" s="100" t="str">
        <f>IFERROR(__xludf.DUMMYFUNCTION("""COMPUTED_VALUE"""),"Airetta Fox")</f>
        <v>Airetta Fox</v>
      </c>
      <c r="J57" s="100" t="str">
        <f>IFERROR(VLOOKUP(I57,RAWRESULTS,2,0),"")</f>
        <v/>
      </c>
      <c r="K57" s="100" t="str">
        <f>IFERROR(VLOOKUP(I57,RAWRESULTS,3,0),"")</f>
        <v/>
      </c>
      <c r="L57" s="100" t="str">
        <f>IFERROR(VLOOKUP(I57,RAWRESULTS,4,0),"")</f>
        <v/>
      </c>
      <c r="M57" s="100" t="str">
        <f>IFERROR(VLOOKUP(I57,RAWRESULTS,5,0),"")</f>
        <v/>
      </c>
    </row>
    <row r="58">
      <c r="A58" s="104" t="str">
        <f>'MATCH 6'!M36</f>
        <v>Hot Rod Zalewski</v>
      </c>
      <c r="B58" s="100">
        <f>'MATCH 6'!T36</f>
        <v>1</v>
      </c>
      <c r="C58" s="100">
        <f t="shared" si="1"/>
        <v>4</v>
      </c>
      <c r="D58" s="100">
        <f>COUNTIFS('MATCH 6'!$M$14:$M$39,A58,'MATCH 6'!$Q$14:$Q$39,TRUE)</f>
        <v>0</v>
      </c>
      <c r="E58" s="100">
        <f>COUNTIFS('MATCH 6'!$M$14:$M$39,A58,'MATCH 6'!$R$14:$R$39,TRUE)</f>
        <v>0</v>
      </c>
      <c r="F58" s="103">
        <f t="shared" si="2"/>
        <v>0</v>
      </c>
      <c r="H58" s="100" t="str">
        <f>IFERROR(__xludf.DUMMYFUNCTION("""COMPUTED_VALUE"""),"Familia")</f>
        <v>Familia</v>
      </c>
      <c r="I58" s="100" t="str">
        <f>IFERROR(__xludf.DUMMYFUNCTION("""COMPUTED_VALUE"""),"Litos Davila")</f>
        <v>Litos Davila</v>
      </c>
      <c r="J58" s="100">
        <f>IFERROR(VLOOKUP(I58,RAWRESULTS,2,0),"")</f>
        <v>5</v>
      </c>
      <c r="K58" s="100">
        <f>IFERROR(VLOOKUP(I58,RAWRESULTS,3,0),"")</f>
        <v>0</v>
      </c>
      <c r="L58" s="100">
        <f>IFERROR(VLOOKUP(I58,RAWRESULTS,4,0),"")</f>
        <v>0</v>
      </c>
      <c r="M58" s="100">
        <f>IFERROR(VLOOKUP(I58,RAWRESULTS,5,0),"")</f>
        <v>0</v>
      </c>
    </row>
    <row r="59">
      <c r="A59" s="104" t="str">
        <f>'MATCH 6'!M37</f>
        <v>Trent Bailey</v>
      </c>
      <c r="B59" s="100">
        <f>'MATCH 6'!T37</f>
        <v>1</v>
      </c>
      <c r="C59" s="100">
        <f t="shared" si="1"/>
        <v>4</v>
      </c>
      <c r="D59" s="100">
        <f>COUNTIFS('MATCH 6'!$M$14:$M$39,A59,'MATCH 6'!$Q$14:$Q$39,TRUE)</f>
        <v>0</v>
      </c>
      <c r="E59" s="100">
        <f>COUNTIFS('MATCH 6'!$M$14:$M$39,A59,'MATCH 6'!$R$14:$R$39,TRUE)</f>
        <v>0</v>
      </c>
      <c r="F59" s="103">
        <f t="shared" si="2"/>
        <v>0</v>
      </c>
      <c r="H59" s="100"/>
      <c r="I59" s="100" t="str">
        <f>IFERROR(__xludf.DUMMYFUNCTION("""COMPUTED_VALUE"""),"Carlos Davila")</f>
        <v>Carlos Davila</v>
      </c>
      <c r="J59" s="100">
        <f>IFERROR(VLOOKUP(I59,RAWRESULTS,2,0),"")</f>
        <v>4</v>
      </c>
      <c r="K59" s="100">
        <f>IFERROR(VLOOKUP(I59,RAWRESULTS,3,0),"")</f>
        <v>1</v>
      </c>
      <c r="L59" s="100">
        <f>IFERROR(VLOOKUP(I59,RAWRESULTS,4,0),"")</f>
        <v>1</v>
      </c>
      <c r="M59" s="100">
        <f>IFERROR(VLOOKUP(I59,RAWRESULTS,5,0),"")</f>
        <v>0</v>
      </c>
    </row>
    <row r="60">
      <c r="A60" s="104" t="str">
        <f>'MATCH 6'!M38</f>
        <v>Rick Bergevin Sr.</v>
      </c>
      <c r="B60" s="100">
        <f>'MATCH 6'!T38</f>
        <v>3</v>
      </c>
      <c r="C60" s="100">
        <f t="shared" si="1"/>
        <v>2</v>
      </c>
      <c r="D60" s="100">
        <f>COUNTIFS('MATCH 6'!$M$14:$M$39,A60,'MATCH 6'!$Q$14:$Q$39,TRUE)</f>
        <v>0</v>
      </c>
      <c r="E60" s="100">
        <f>COUNTIFS('MATCH 6'!$M$14:$M$39,A60,'MATCH 6'!$R$14:$R$39,TRUE)</f>
        <v>0</v>
      </c>
      <c r="F60" s="103">
        <f t="shared" si="2"/>
        <v>0</v>
      </c>
      <c r="H60" s="100"/>
      <c r="I60" s="100" t="str">
        <f>IFERROR(__xludf.DUMMYFUNCTION("""COMPUTED_VALUE"""),"Desarae Davila")</f>
        <v>Desarae Davila</v>
      </c>
      <c r="J60" s="100" t="str">
        <f>IFERROR(VLOOKUP(I60,RAWRESULTS,2,0),"")</f>
        <v/>
      </c>
      <c r="K60" s="100" t="str">
        <f>IFERROR(VLOOKUP(I60,RAWRESULTS,3,0),"")</f>
        <v/>
      </c>
      <c r="L60" s="100" t="str">
        <f>IFERROR(VLOOKUP(I60,RAWRESULTS,4,0),"")</f>
        <v/>
      </c>
      <c r="M60" s="100" t="str">
        <f>IFERROR(VLOOKUP(I60,RAWRESULTS,5,0),"")</f>
        <v/>
      </c>
    </row>
    <row r="61">
      <c r="A61" s="105" t="str">
        <f>'MATCH 6'!M39</f>
        <v>Tim Carpenter</v>
      </c>
      <c r="B61" s="106">
        <f>'MATCH 6'!T39</f>
        <v>3</v>
      </c>
      <c r="C61" s="106">
        <f t="shared" si="1"/>
        <v>2</v>
      </c>
      <c r="D61" s="106">
        <f>COUNTIFS('MATCH 6'!$M$14:$M$39,A61,'MATCH 6'!$Q$14:$Q$39,TRUE)</f>
        <v>0</v>
      </c>
      <c r="E61" s="106">
        <f>COUNTIFS('MATCH 6'!$M$14:$M$39,A61,'MATCH 6'!$R$14:$R$39,TRUE)</f>
        <v>0</v>
      </c>
      <c r="F61" s="103">
        <f t="shared" si="2"/>
        <v>0</v>
      </c>
      <c r="H61" s="100"/>
      <c r="I61" s="100" t="str">
        <f>IFERROR(__xludf.DUMMYFUNCTION("""COMPUTED_VALUE"""),"Mark Karppe")</f>
        <v>Mark Karppe</v>
      </c>
      <c r="J61" s="100">
        <f>IFERROR(VLOOKUP(I61,RAWRESULTS,2,0),"")</f>
        <v>5</v>
      </c>
      <c r="K61" s="100">
        <f>IFERROR(VLOOKUP(I61,RAWRESULTS,3,0),"")</f>
        <v>0</v>
      </c>
      <c r="L61" s="100">
        <f>IFERROR(VLOOKUP(I61,RAWRESULTS,4,0),"")</f>
        <v>0</v>
      </c>
      <c r="M61" s="100">
        <f>IFERROR(VLOOKUP(I61,RAWRESULTS,5,0),"")</f>
        <v>0</v>
      </c>
    </row>
    <row r="62">
      <c r="H62" s="100"/>
      <c r="I62" s="100" t="str">
        <f>IFERROR(__xludf.DUMMYFUNCTION("""COMPUTED_VALUE"""),"Michael Gonzalez")</f>
        <v>Michael Gonzalez</v>
      </c>
      <c r="J62" s="100">
        <f>IFERROR(VLOOKUP(I62,RAWRESULTS,2,0),"")</f>
        <v>1</v>
      </c>
      <c r="K62" s="100">
        <f>IFERROR(VLOOKUP(I62,RAWRESULTS,3,0),"")</f>
        <v>4</v>
      </c>
      <c r="L62" s="100">
        <f>IFERROR(VLOOKUP(I62,RAWRESULTS,4,0),"")</f>
        <v>0</v>
      </c>
      <c r="M62" s="100">
        <f>IFERROR(VLOOKUP(I62,RAWRESULTS,5,0),"")</f>
        <v>0</v>
      </c>
    </row>
    <row r="63">
      <c r="H63" s="100"/>
      <c r="I63" s="100" t="str">
        <f>IFERROR(__xludf.DUMMYFUNCTION("""COMPUTED_VALUE"""),"JL Smith")</f>
        <v>JL Smith</v>
      </c>
      <c r="J63" s="100">
        <f>IFERROR(VLOOKUP(I63,RAWRESULTS,2,0),"")</f>
        <v>2</v>
      </c>
      <c r="K63" s="100">
        <f>IFERROR(VLOOKUP(I63,RAWRESULTS,3,0),"")</f>
        <v>3</v>
      </c>
      <c r="L63" s="100">
        <f>IFERROR(VLOOKUP(I63,RAWRESULTS,4,0),"")</f>
        <v>0</v>
      </c>
      <c r="M63" s="100">
        <f>IFERROR(VLOOKUP(I63,RAWRESULTS,5,0),"")</f>
        <v>0</v>
      </c>
    </row>
    <row r="64">
      <c r="H64" s="100"/>
      <c r="I64" s="100" t="str">
        <f>IFERROR(__xludf.DUMMYFUNCTION("""COMPUTED_VALUE"""),"Garrett Foxworth")</f>
        <v>Garrett Foxworth</v>
      </c>
      <c r="J64" s="100" t="str">
        <f>IFERROR(VLOOKUP(I64,RAWRESULTS,2,0),"")</f>
        <v/>
      </c>
      <c r="K64" s="100" t="str">
        <f>IFERROR(VLOOKUP(I64,RAWRESULTS,3,0),"")</f>
        <v/>
      </c>
      <c r="L64" s="100" t="str">
        <f>IFERROR(VLOOKUP(I64,RAWRESULTS,4,0),"")</f>
        <v/>
      </c>
      <c r="M64" s="100" t="str">
        <f>IFERROR(VLOOKUP(I64,RAWRESULTS,5,0),"")</f>
        <v/>
      </c>
    </row>
    <row r="65">
      <c r="H65" s="100"/>
      <c r="I65" s="100"/>
      <c r="J65" s="100" t="str">
        <f>IFERROR(VLOOKUP(I65,RAWRESULTS,2,0),"")</f>
        <v/>
      </c>
      <c r="K65" s="100" t="str">
        <f>IFERROR(VLOOKUP(I65,RAWRESULTS,3,0),"")</f>
        <v/>
      </c>
      <c r="L65" s="100" t="str">
        <f>IFERROR(VLOOKUP(I65,RAWRESULTS,4,0),"")</f>
        <v/>
      </c>
      <c r="M65" s="100" t="str">
        <f>IFERROR(VLOOKUP(I65,RAWRESULTS,5,0),"")</f>
        <v/>
      </c>
    </row>
    <row r="66">
      <c r="J66" s="100" t="str">
        <f>IFERROR(VLOOKUP(I66,RAWRESULTS,2,0),"")</f>
        <v/>
      </c>
      <c r="K66" s="100" t="str">
        <f>IFERROR(VLOOKUP(I66,RAWRESULTS,3,0),"")</f>
        <v/>
      </c>
      <c r="L66" s="100" t="str">
        <f>IFERROR(VLOOKUP(I66,RAWRESULTS,4,0),"")</f>
        <v/>
      </c>
      <c r="M66" s="100" t="str">
        <f>IFERROR(VLOOKUP(I66,RAWRESULTS,5,0),"")</f>
        <v/>
      </c>
    </row>
    <row r="67">
      <c r="J67" s="100" t="str">
        <f>IFERROR(VLOOKUP(I67,RAWRESULTS,2,0),"")</f>
        <v/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</v>
      </c>
      <c r="B1" s="107" t="s">
        <v>117</v>
      </c>
    </row>
    <row r="2">
      <c r="A2" s="2" t="s">
        <v>118</v>
      </c>
      <c r="B2" s="2"/>
    </row>
    <row r="3">
      <c r="A3" s="2" t="s">
        <v>119</v>
      </c>
      <c r="B3" s="2"/>
    </row>
    <row r="4">
      <c r="A4" s="27" t="s">
        <v>120</v>
      </c>
      <c r="B4" s="2"/>
    </row>
    <row r="5">
      <c r="A5" s="2"/>
      <c r="B5" s="2"/>
    </row>
  </sheetData>
  <hyperlinks>
    <hyperlink r:id="rId1" location="gid=1949076530" ref="B1"/>
  </hyperlinks>
  <drawing r:id="rId2"/>
</worksheet>
</file>