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an_rfid\Link88_RFID\"/>
    </mc:Choice>
  </mc:AlternateContent>
  <xr:revisionPtr revIDLastSave="0" documentId="8_{77F4366B-2FC6-4B76-9C4C-1F3EC939BECD}" xr6:coauthVersionLast="47" xr6:coauthVersionMax="47" xr10:uidLastSave="{00000000-0000-0000-0000-000000000000}"/>
  <bookViews>
    <workbookView xWindow="-110" yWindow="-110" windowWidth="19420" windowHeight="10300" activeTab="1" xr2:uid="{B8A80183-147C-4C89-94DB-0A712D9316D7}"/>
  </bookViews>
  <sheets>
    <sheet name="Tag" sheetId="1" r:id="rId1"/>
    <sheet name="コイル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G45" i="2" s="1"/>
  <c r="H45" i="2" s="1"/>
  <c r="B45" i="2"/>
  <c r="E44" i="2"/>
  <c r="G44" i="2" s="1"/>
  <c r="H44" i="2" s="1"/>
  <c r="B44" i="2"/>
  <c r="E43" i="2"/>
  <c r="G43" i="2" s="1"/>
  <c r="H43" i="2" s="1"/>
  <c r="B43" i="2"/>
  <c r="B40" i="2"/>
  <c r="E40" i="2"/>
  <c r="G40" i="2" s="1"/>
  <c r="H40" i="2" s="1"/>
  <c r="B41" i="2"/>
  <c r="E41" i="2"/>
  <c r="G41" i="2"/>
  <c r="H41" i="2" s="1"/>
  <c r="B42" i="2"/>
  <c r="E42" i="2"/>
  <c r="G42" i="2" s="1"/>
  <c r="H42" i="2" s="1"/>
  <c r="B46" i="2"/>
  <c r="E46" i="2"/>
  <c r="G46" i="2" s="1"/>
  <c r="H46" i="2" s="1"/>
  <c r="E39" i="2"/>
  <c r="G39" i="2"/>
  <c r="H39" i="2" s="1"/>
  <c r="E38" i="2"/>
  <c r="G38" i="2"/>
  <c r="H38" i="2" s="1"/>
  <c r="G37" i="2"/>
  <c r="H37" i="2" s="1"/>
  <c r="E37" i="2"/>
  <c r="E36" i="2"/>
  <c r="G36" i="2" s="1"/>
  <c r="H36" i="2" s="1"/>
  <c r="E35" i="2"/>
  <c r="G35" i="2" s="1"/>
  <c r="H35" i="2" s="1"/>
  <c r="E34" i="2"/>
  <c r="G34" i="2"/>
  <c r="H34" i="2" s="1"/>
  <c r="B28" i="2"/>
  <c r="B29" i="2"/>
  <c r="B30" i="2"/>
  <c r="B31" i="2"/>
  <c r="B32" i="2"/>
  <c r="B33" i="2"/>
  <c r="B34" i="2"/>
  <c r="B35" i="2"/>
  <c r="B36" i="2"/>
  <c r="B37" i="2"/>
  <c r="B38" i="2"/>
  <c r="B39" i="2"/>
  <c r="B27" i="2"/>
  <c r="E33" i="2"/>
  <c r="G33" i="2"/>
  <c r="H33" i="2" s="1"/>
  <c r="H28" i="2"/>
  <c r="H29" i="2"/>
  <c r="H30" i="2"/>
  <c r="H31" i="2"/>
  <c r="H32" i="2"/>
  <c r="H27" i="2"/>
  <c r="G27" i="2"/>
  <c r="G31" i="2"/>
  <c r="E28" i="2"/>
  <c r="G28" i="2" s="1"/>
  <c r="E29" i="2"/>
  <c r="G29" i="2" s="1"/>
  <c r="E30" i="2"/>
  <c r="G30" i="2" s="1"/>
  <c r="E31" i="2"/>
  <c r="E32" i="2"/>
  <c r="G32" i="2" s="1"/>
  <c r="E27" i="2"/>
  <c r="U22" i="2"/>
  <c r="T22" i="2"/>
  <c r="S22" i="2"/>
  <c r="U21" i="2"/>
  <c r="T21" i="2"/>
  <c r="S21" i="2"/>
  <c r="T20" i="2"/>
  <c r="U20" i="2"/>
  <c r="S20" i="2"/>
  <c r="D25" i="2"/>
  <c r="D23" i="2"/>
  <c r="S11" i="2"/>
  <c r="V11" i="2"/>
  <c r="W11" i="2"/>
  <c r="W16" i="2" s="1"/>
  <c r="W17" i="2" s="1"/>
  <c r="X11" i="2"/>
  <c r="X16" i="2" s="1"/>
  <c r="X17" i="2" s="1"/>
  <c r="T16" i="2"/>
  <c r="T17" i="2" s="1"/>
  <c r="U16" i="2"/>
  <c r="U17" i="2" s="1"/>
  <c r="V16" i="2"/>
  <c r="V17" i="2" s="1"/>
  <c r="J40" i="2"/>
  <c r="J43" i="2"/>
  <c r="J39" i="2"/>
  <c r="J35" i="2"/>
  <c r="J32" i="2"/>
  <c r="J31" i="2"/>
  <c r="J27" i="2"/>
  <c r="J25" i="2"/>
  <c r="Q16" i="2"/>
  <c r="Q17" i="2" s="1"/>
  <c r="R16" i="2"/>
  <c r="R17" i="2" s="1"/>
  <c r="S16" i="2"/>
  <c r="S17" i="2" s="1"/>
  <c r="P11" i="2"/>
  <c r="P16" i="2" s="1"/>
  <c r="P17" i="2" s="1"/>
  <c r="J11" i="2"/>
  <c r="J14" i="2" s="1"/>
  <c r="D14" i="2"/>
  <c r="G11" i="2"/>
  <c r="G14" i="2" s="1"/>
  <c r="D22" i="2"/>
  <c r="F22" i="2" s="1"/>
  <c r="O16" i="2"/>
  <c r="O17" i="2" s="1"/>
  <c r="P25" i="1" l="1"/>
  <c r="P21" i="1"/>
  <c r="P22" i="1"/>
  <c r="P23" i="1"/>
  <c r="P24" i="1"/>
  <c r="O20" i="1"/>
  <c r="O19" i="1"/>
  <c r="P19" i="1"/>
  <c r="P20" i="1"/>
  <c r="P18" i="1"/>
  <c r="O17" i="1"/>
  <c r="O16" i="1"/>
  <c r="O15" i="1"/>
  <c r="O14" i="1"/>
  <c r="O13" i="1"/>
  <c r="O12" i="1"/>
  <c r="O1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K22" i="1"/>
  <c r="K23" i="1"/>
  <c r="K24" i="1"/>
  <c r="K25" i="1"/>
  <c r="K13" i="1"/>
  <c r="K14" i="1"/>
  <c r="K15" i="1"/>
  <c r="K16" i="1"/>
  <c r="K17" i="1"/>
  <c r="K18" i="1"/>
  <c r="K19" i="1"/>
  <c r="K20" i="1"/>
  <c r="K21" i="1"/>
  <c r="K12" i="1"/>
  <c r="K11" i="1"/>
  <c r="J5" i="1"/>
  <c r="K5" i="1" s="1"/>
  <c r="J6" i="1"/>
  <c r="K6" i="1" s="1"/>
  <c r="J7" i="1"/>
  <c r="K7" i="1" s="1"/>
  <c r="J8" i="1"/>
  <c r="K8" i="1" s="1"/>
  <c r="J4" i="1"/>
  <c r="K4" i="1" s="1"/>
  <c r="G4" i="1"/>
  <c r="H4" i="1"/>
  <c r="H6" i="1"/>
  <c r="G6" i="1"/>
  <c r="G7" i="1"/>
  <c r="H7" i="1" s="1"/>
  <c r="G8" i="1"/>
  <c r="H8" i="1" s="1"/>
  <c r="G5" i="1"/>
  <c r="H5" i="1" s="1"/>
</calcChain>
</file>

<file path=xl/sharedStrings.xml><?xml version="1.0" encoding="utf-8"?>
<sst xmlns="http://schemas.openxmlformats.org/spreadsheetml/2006/main" count="144" uniqueCount="109">
  <si>
    <t>DEX</t>
    <phoneticPr fontId="2"/>
  </si>
  <si>
    <t>HEX</t>
    <phoneticPr fontId="2"/>
  </si>
  <si>
    <t>24C9A759F6</t>
    <phoneticPr fontId="2"/>
  </si>
  <si>
    <t>320F72961B</t>
    <phoneticPr fontId="2"/>
  </si>
  <si>
    <t>320F72961D</t>
    <phoneticPr fontId="2"/>
  </si>
  <si>
    <t>320F729622</t>
    <phoneticPr fontId="2"/>
  </si>
  <si>
    <t>HEX:1-7桁</t>
    <rPh sb="7" eb="8">
      <t>ケタ</t>
    </rPh>
    <phoneticPr fontId="2"/>
  </si>
  <si>
    <t>⇒DEX</t>
    <phoneticPr fontId="2"/>
  </si>
  <si>
    <t>FFFFFFFFFF</t>
    <phoneticPr fontId="2"/>
  </si>
  <si>
    <t>HEX:8-10桁</t>
    <rPh sb="8" eb="9">
      <t>ケタ</t>
    </rPh>
    <phoneticPr fontId="2"/>
  </si>
  <si>
    <t>F0000000</t>
    <phoneticPr fontId="2"/>
  </si>
  <si>
    <t>B0000000</t>
    <phoneticPr fontId="2"/>
  </si>
  <si>
    <t>A0000000</t>
    <phoneticPr fontId="2"/>
  </si>
  <si>
    <t>C0000000</t>
    <phoneticPr fontId="2"/>
  </si>
  <si>
    <t>D0000000</t>
    <phoneticPr fontId="2"/>
  </si>
  <si>
    <t>E0000000</t>
    <phoneticPr fontId="2"/>
  </si>
  <si>
    <t>8桁</t>
    <rPh sb="1" eb="2">
      <t>ケタ</t>
    </rPh>
    <phoneticPr fontId="2"/>
  </si>
  <si>
    <t>9桁</t>
    <rPh sb="1" eb="2">
      <t>ケタ</t>
    </rPh>
    <phoneticPr fontId="2"/>
  </si>
  <si>
    <t>A00000000</t>
    <phoneticPr fontId="2"/>
  </si>
  <si>
    <t>B00000000</t>
    <phoneticPr fontId="2"/>
  </si>
  <si>
    <t>C00000000</t>
    <phoneticPr fontId="2"/>
  </si>
  <si>
    <t>D00000000</t>
    <phoneticPr fontId="2"/>
  </si>
  <si>
    <t>E00000000</t>
    <phoneticPr fontId="2"/>
  </si>
  <si>
    <t>F00000000</t>
    <phoneticPr fontId="2"/>
  </si>
  <si>
    <t>10桁</t>
    <rPh sb="2" eb="3">
      <t>ケタ</t>
    </rPh>
    <phoneticPr fontId="2"/>
  </si>
  <si>
    <t>A000000000</t>
    <phoneticPr fontId="2"/>
  </si>
  <si>
    <t>WL-134</t>
    <phoneticPr fontId="2"/>
  </si>
  <si>
    <t>基盤サイズ：３６ｘ３６</t>
    <rPh sb="0" eb="2">
      <t>キバン</t>
    </rPh>
    <phoneticPr fontId="2"/>
  </si>
  <si>
    <t>コイル</t>
    <phoneticPr fontId="2"/>
  </si>
  <si>
    <t>□１００x１００</t>
    <phoneticPr fontId="2"/>
  </si>
  <si>
    <t>φ0.25</t>
    <phoneticPr fontId="2"/>
  </si>
  <si>
    <t>断面□2x2㎜＝８ｘ８本</t>
    <rPh sb="0" eb="2">
      <t>ダンメン</t>
    </rPh>
    <rPh sb="11" eb="12">
      <t>ポン</t>
    </rPh>
    <phoneticPr fontId="2"/>
  </si>
  <si>
    <t>594.2μH</t>
    <phoneticPr fontId="2"/>
  </si>
  <si>
    <t>φ135</t>
    <phoneticPr fontId="2"/>
  </si>
  <si>
    <t>断面□2x2㎜＝8x8本？</t>
    <rPh sb="0" eb="2">
      <t>ダンメン</t>
    </rPh>
    <rPh sb="11" eb="12">
      <t>ホン</t>
    </rPh>
    <phoneticPr fontId="2"/>
  </si>
  <si>
    <t>φ68</t>
    <phoneticPr fontId="2"/>
  </si>
  <si>
    <t>断面□2.6x1.85㎜＝12x6本？</t>
    <rPh sb="0" eb="2">
      <t>ダンメン</t>
    </rPh>
    <rPh sb="17" eb="18">
      <t>ホン</t>
    </rPh>
    <phoneticPr fontId="2"/>
  </si>
  <si>
    <t>WL-134？</t>
    <phoneticPr fontId="2"/>
  </si>
  <si>
    <t>592.4μH</t>
    <phoneticPr fontId="2"/>
  </si>
  <si>
    <t>586.8μF</t>
    <phoneticPr fontId="2"/>
  </si>
  <si>
    <t>鉄橋</t>
    <rPh sb="0" eb="2">
      <t>テッキョウ</t>
    </rPh>
    <phoneticPr fontId="2"/>
  </si>
  <si>
    <t>W63.5ｘ104.5㎜</t>
    <phoneticPr fontId="2"/>
  </si>
  <si>
    <t>φ0.6</t>
    <phoneticPr fontId="2"/>
  </si>
  <si>
    <t>断面□7x1.2＝9x2</t>
    <rPh sb="0" eb="2">
      <t>ダンメン</t>
    </rPh>
    <phoneticPr fontId="2"/>
  </si>
  <si>
    <t>100μH</t>
    <phoneticPr fontId="2"/>
  </si>
  <si>
    <t>マニュアルなし</t>
    <phoneticPr fontId="2"/>
  </si>
  <si>
    <t>A</t>
    <phoneticPr fontId="2"/>
  </si>
  <si>
    <t>r</t>
    <phoneticPr fontId="2"/>
  </si>
  <si>
    <t>N</t>
    <phoneticPr fontId="2"/>
  </si>
  <si>
    <t>w</t>
    <phoneticPr fontId="2"/>
  </si>
  <si>
    <t>mH</t>
    <phoneticPr fontId="2"/>
  </si>
  <si>
    <t>uH</t>
    <phoneticPr fontId="2"/>
  </si>
  <si>
    <t>マニュアルあり：故障した？</t>
    <rPh sb="8" eb="10">
      <t>コショウ</t>
    </rPh>
    <phoneticPr fontId="2"/>
  </si>
  <si>
    <t>基盤サイズ：</t>
    <rPh sb="0" eb="2">
      <t>キバン</t>
    </rPh>
    <phoneticPr fontId="2"/>
  </si>
  <si>
    <t>１周</t>
    <rPh sb="1" eb="2">
      <t>シュウ</t>
    </rPh>
    <phoneticPr fontId="2"/>
  </si>
  <si>
    <t>ｎ</t>
    <phoneticPr fontId="2"/>
  </si>
  <si>
    <t>全長</t>
    <rPh sb="0" eb="2">
      <t>ゼンチョウ</t>
    </rPh>
    <phoneticPr fontId="2"/>
  </si>
  <si>
    <t>長さ</t>
    <rPh sb="0" eb="1">
      <t>ナガ</t>
    </rPh>
    <phoneticPr fontId="2"/>
  </si>
  <si>
    <t>Ω</t>
    <phoneticPr fontId="2"/>
  </si>
  <si>
    <t>電線</t>
    <rPh sb="0" eb="2">
      <t>デンセン</t>
    </rPh>
    <phoneticPr fontId="2"/>
  </si>
  <si>
    <t>ｍ</t>
    <phoneticPr fontId="2"/>
  </si>
  <si>
    <t>φ</t>
    <phoneticPr fontId="2"/>
  </si>
  <si>
    <t>T</t>
    <phoneticPr fontId="2"/>
  </si>
  <si>
    <t>mm</t>
    <phoneticPr fontId="2"/>
  </si>
  <si>
    <t>実測Wmm</t>
    <rPh sb="0" eb="2">
      <t>ジッソク</t>
    </rPh>
    <phoneticPr fontId="2"/>
  </si>
  <si>
    <t>μh</t>
    <phoneticPr fontId="2"/>
  </si>
  <si>
    <t>計算</t>
    <rPh sb="0" eb="2">
      <t>ケイサン</t>
    </rPh>
    <phoneticPr fontId="2"/>
  </si>
  <si>
    <t>２００KHz</t>
    <phoneticPr fontId="2"/>
  </si>
  <si>
    <t>実測</t>
    <rPh sb="0" eb="2">
      <t>ジッソク</t>
    </rPh>
    <phoneticPr fontId="2"/>
  </si>
  <si>
    <t>１５KHz</t>
    <phoneticPr fontId="2"/>
  </si>
  <si>
    <t>D35:抵抗</t>
    <rPh sb="4" eb="6">
      <t>テイコウ</t>
    </rPh>
    <phoneticPr fontId="2"/>
  </si>
  <si>
    <t>D35：インダクタンス</t>
    <phoneticPr fontId="2"/>
  </si>
  <si>
    <t>D135:抵抗</t>
    <rPh sb="5" eb="7">
      <t>テイコウ</t>
    </rPh>
    <phoneticPr fontId="2"/>
  </si>
  <si>
    <t>D135:インダクタンス</t>
    <phoneticPr fontId="2"/>
  </si>
  <si>
    <t>T</t>
    <phoneticPr fontId="2"/>
  </si>
  <si>
    <t>円相当</t>
    <rPh sb="0" eb="1">
      <t>エン</t>
    </rPh>
    <rPh sb="1" eb="3">
      <t>ソウトウ</t>
    </rPh>
    <phoneticPr fontId="2"/>
  </si>
  <si>
    <t>D68:抵抗</t>
    <rPh sb="4" eb="6">
      <t>テイコウ</t>
    </rPh>
    <phoneticPr fontId="2"/>
  </si>
  <si>
    <t>D68:インダクタンス</t>
    <phoneticPr fontId="2"/>
  </si>
  <si>
    <t>９本</t>
    <rPh sb="1" eb="2">
      <t>ホン</t>
    </rPh>
    <phoneticPr fontId="2"/>
  </si>
  <si>
    <t>0.2284Ω/ｍ</t>
    <phoneticPr fontId="2"/>
  </si>
  <si>
    <t>0.2578Ω/m</t>
    <phoneticPr fontId="2"/>
  </si>
  <si>
    <t>0.3056Ω/m</t>
    <phoneticPr fontId="2"/>
  </si>
  <si>
    <t>0.3Ω/ｍ</t>
    <phoneticPr fontId="2"/>
  </si>
  <si>
    <t>0.3607Ω/m</t>
    <phoneticPr fontId="2"/>
  </si>
  <si>
    <t>0.34Ω/m</t>
    <phoneticPr fontId="2"/>
  </si>
  <si>
    <t>https://keisan.casio.jp/exec/user/1488083605</t>
  </si>
  <si>
    <t>N2＝SQU（L2/L1）＊T1</t>
    <phoneticPr fontId="2"/>
  </si>
  <si>
    <t>目標H</t>
    <rPh sb="0" eb="2">
      <t>モクヒョウ</t>
    </rPh>
    <phoneticPr fontId="2"/>
  </si>
  <si>
    <t>uH</t>
    <phoneticPr fontId="2"/>
  </si>
  <si>
    <t>予測巻き数</t>
    <rPh sb="0" eb="2">
      <t>ヨソク</t>
    </rPh>
    <rPh sb="2" eb="3">
      <t>マ</t>
    </rPh>
    <rPh sb="4" eb="5">
      <t>スウ</t>
    </rPh>
    <phoneticPr fontId="2"/>
  </si>
  <si>
    <t>必要長さ</t>
    <rPh sb="0" eb="2">
      <t>ヒツヨウ</t>
    </rPh>
    <rPh sb="2" eb="3">
      <t>ナガ</t>
    </rPh>
    <phoneticPr fontId="2"/>
  </si>
  <si>
    <t>抵抗値</t>
    <rPh sb="0" eb="3">
      <t>テイコウチ</t>
    </rPh>
    <phoneticPr fontId="2"/>
  </si>
  <si>
    <t>L</t>
    <phoneticPr fontId="2"/>
  </si>
  <si>
    <t>Rm</t>
    <phoneticPr fontId="2"/>
  </si>
  <si>
    <t>Rc</t>
    <phoneticPr fontId="2"/>
  </si>
  <si>
    <t>1st</t>
    <phoneticPr fontId="2"/>
  </si>
  <si>
    <t>2nd</t>
    <phoneticPr fontId="2"/>
  </si>
  <si>
    <t>Cut</t>
    <phoneticPr fontId="2"/>
  </si>
  <si>
    <t>目標</t>
    <rPh sb="0" eb="2">
      <t>モクヒョウ</t>
    </rPh>
    <phoneticPr fontId="2"/>
  </si>
  <si>
    <t>φ0.29</t>
    <phoneticPr fontId="2"/>
  </si>
  <si>
    <t>100g</t>
    <phoneticPr fontId="2"/>
  </si>
  <si>
    <t>165ｍ</t>
    <phoneticPr fontId="2"/>
  </si>
  <si>
    <t>φ0.16</t>
    <phoneticPr fontId="2"/>
  </si>
  <si>
    <t>520ｍ</t>
    <phoneticPr fontId="2"/>
  </si>
  <si>
    <t>T</t>
    <phoneticPr fontId="2"/>
  </si>
  <si>
    <t>角105x65：抵抗</t>
    <rPh sb="0" eb="1">
      <t>カク</t>
    </rPh>
    <rPh sb="8" eb="10">
      <t>テイコウ</t>
    </rPh>
    <phoneticPr fontId="2"/>
  </si>
  <si>
    <t>角105x65：インダクタンス</t>
    <rPh sb="0" eb="1">
      <t>カク</t>
    </rPh>
    <phoneticPr fontId="2"/>
  </si>
  <si>
    <t>目標：インダクタンス</t>
    <rPh sb="0" eb="2">
      <t>モクヒョウ</t>
    </rPh>
    <phoneticPr fontId="2"/>
  </si>
  <si>
    <t>3rd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</si>
</sst>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8" fontId="0" fillId="0" borderId="0" xfId="1" applyFont="1" applyAlignment="1">
      <alignment horizontal="right" vertical="center"/>
    </xf>
    <xf numFmtId="3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17" xfId="0" applyNumberFormat="1" applyBorder="1">
      <alignment vertical="center"/>
    </xf>
    <xf numFmtId="1" fontId="0" fillId="0" borderId="13" xfId="0" applyNumberFormat="1" applyBorder="1">
      <alignment vertical="center"/>
    </xf>
    <xf numFmtId="1" fontId="0" fillId="0" borderId="17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巻き数（形状・サイズ）とインダクタンス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18378115106746"/>
          <c:y val="0.11823088455772117"/>
          <c:w val="0.82930254079064858"/>
          <c:h val="0.58875341077414822"/>
        </c:manualLayout>
      </c:layout>
      <c:scatterChart>
        <c:scatterStyle val="lineMarker"/>
        <c:varyColors val="0"/>
        <c:ser>
          <c:idx val="8"/>
          <c:order val="0"/>
          <c:tx>
            <c:strRef>
              <c:f>コイル!$V$58</c:f>
              <c:strCache>
                <c:ptCount val="1"/>
                <c:pt idx="0">
                  <c:v>目標：インダクタンス</c:v>
                </c:pt>
              </c:strCache>
            </c:strRef>
          </c:tx>
          <c:spPr>
            <a:ln w="41275" cap="rnd">
              <a:solidFill>
                <a:schemeClr val="accent1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コイル!$W$57:$X$57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コイル!$W$58:$X$58</c:f>
              <c:numCache>
                <c:formatCode>General</c:formatCode>
                <c:ptCount val="2"/>
                <c:pt idx="0">
                  <c:v>580</c:v>
                </c:pt>
                <c:pt idx="1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18-4A7A-A0AA-A5A24477B26C}"/>
            </c:ext>
          </c:extLst>
        </c:ser>
        <c:ser>
          <c:idx val="1"/>
          <c:order val="2"/>
          <c:tx>
            <c:strRef>
              <c:f>コイル!$V$37</c:f>
              <c:strCache>
                <c:ptCount val="1"/>
                <c:pt idx="0">
                  <c:v>D35：インダクタンス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0"/>
            <c:backward val="2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コイル!$W$35:$Y$35</c:f>
              <c:numCache>
                <c:formatCode>General</c:formatCode>
                <c:ptCount val="3"/>
                <c:pt idx="0">
                  <c:v>18</c:v>
                </c:pt>
                <c:pt idx="1">
                  <c:v>55</c:v>
                </c:pt>
                <c:pt idx="2">
                  <c:v>90</c:v>
                </c:pt>
              </c:numCache>
            </c:numRef>
          </c:xVal>
          <c:yVal>
            <c:numRef>
              <c:f>コイル!$W$37:$Y$37</c:f>
              <c:numCache>
                <c:formatCode>General</c:formatCode>
                <c:ptCount val="3"/>
                <c:pt idx="0">
                  <c:v>20</c:v>
                </c:pt>
                <c:pt idx="1">
                  <c:v>183</c:v>
                </c:pt>
                <c:pt idx="2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7-4BE4-91C1-23ADB6B355B1}"/>
            </c:ext>
          </c:extLst>
        </c:ser>
        <c:ser>
          <c:idx val="3"/>
          <c:order val="4"/>
          <c:tx>
            <c:strRef>
              <c:f>コイル!$V$41</c:f>
              <c:strCache>
                <c:ptCount val="1"/>
                <c:pt idx="0">
                  <c:v>D135:インダクタンス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tar"/>
              <c:size val="8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E18-4A7A-A0AA-A5A24477B26C}"/>
              </c:ext>
            </c:extLst>
          </c:dPt>
          <c:xVal>
            <c:numRef>
              <c:f>コイル!$W$39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コイル!$W$41</c:f>
              <c:numCache>
                <c:formatCode>General</c:formatCode>
                <c:ptCount val="1"/>
                <c:pt idx="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2-4E06-B168-54F6BC5D8E7B}"/>
            </c:ext>
          </c:extLst>
        </c:ser>
        <c:ser>
          <c:idx val="5"/>
          <c:order val="6"/>
          <c:tx>
            <c:strRef>
              <c:f>コイル!$V$45</c:f>
              <c:strCache>
                <c:ptCount val="1"/>
                <c:pt idx="0">
                  <c:v>D68:インダクタンス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コイル!$W$43</c:f>
              <c:numCache>
                <c:formatCode>General</c:formatCode>
                <c:ptCount val="1"/>
                <c:pt idx="0">
                  <c:v>72</c:v>
                </c:pt>
              </c:numCache>
            </c:numRef>
          </c:xVal>
          <c:yVal>
            <c:numRef>
              <c:f>コイル!$W$45</c:f>
              <c:numCache>
                <c:formatCode>General</c:formatCode>
                <c:ptCount val="1"/>
                <c:pt idx="0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52-4E06-B168-54F6BC5D8E7B}"/>
            </c:ext>
          </c:extLst>
        </c:ser>
        <c:ser>
          <c:idx val="7"/>
          <c:order val="8"/>
          <c:tx>
            <c:strRef>
              <c:f>コイル!$V$49</c:f>
              <c:strCache>
                <c:ptCount val="1"/>
                <c:pt idx="0">
                  <c:v>角105x65：インダクタンス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forward val="10"/>
            <c:backward val="50"/>
            <c:dispRSqr val="0"/>
            <c:dispEq val="1"/>
            <c:trendlineLbl>
              <c:layout>
                <c:manualLayout>
                  <c:x val="0.10684113970289796"/>
                  <c:y val="8.2617692590406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コイル!$W$47:$Z$47</c:f>
              <c:numCache>
                <c:formatCode>General</c:formatCode>
                <c:ptCount val="4"/>
                <c:pt idx="0">
                  <c:v>59</c:v>
                </c:pt>
                <c:pt idx="1">
                  <c:v>53</c:v>
                </c:pt>
                <c:pt idx="2">
                  <c:v>51</c:v>
                </c:pt>
                <c:pt idx="3">
                  <c:v>50</c:v>
                </c:pt>
              </c:numCache>
            </c:numRef>
          </c:xVal>
          <c:yVal>
            <c:numRef>
              <c:f>コイル!$W$49:$Z$49</c:f>
              <c:numCache>
                <c:formatCode>General</c:formatCode>
                <c:ptCount val="4"/>
                <c:pt idx="0">
                  <c:v>813</c:v>
                </c:pt>
                <c:pt idx="1">
                  <c:v>655</c:v>
                </c:pt>
                <c:pt idx="2">
                  <c:v>600</c:v>
                </c:pt>
                <c:pt idx="3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8-4A7A-A0AA-A5A24477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9896"/>
        <c:axId val="668540256"/>
      </c:scatterChart>
      <c:scatterChart>
        <c:scatterStyle val="lineMarker"/>
        <c:varyColors val="0"/>
        <c:ser>
          <c:idx val="0"/>
          <c:order val="1"/>
          <c:tx>
            <c:strRef>
              <c:f>コイル!$V$36</c:f>
              <c:strCache>
                <c:ptCount val="1"/>
                <c:pt idx="0">
                  <c:v>D35:抵抗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8"/>
            <c:intercept val="0"/>
            <c:dispRSqr val="0"/>
            <c:dispEq val="0"/>
          </c:trendline>
          <c:xVal>
            <c:numRef>
              <c:f>コイル!$W$35:$Y$35</c:f>
              <c:numCache>
                <c:formatCode>General</c:formatCode>
                <c:ptCount val="3"/>
                <c:pt idx="0">
                  <c:v>18</c:v>
                </c:pt>
                <c:pt idx="1">
                  <c:v>55</c:v>
                </c:pt>
                <c:pt idx="2">
                  <c:v>90</c:v>
                </c:pt>
              </c:numCache>
            </c:numRef>
          </c:xVal>
          <c:yVal>
            <c:numRef>
              <c:f>コイル!$W$36:$Y$36</c:f>
              <c:numCache>
                <c:formatCode>General</c:formatCode>
                <c:ptCount val="3"/>
                <c:pt idx="0">
                  <c:v>0.6</c:v>
                </c:pt>
                <c:pt idx="1">
                  <c:v>2.2000000000000002</c:v>
                </c:pt>
                <c:pt idx="2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7-4BE4-91C1-23ADB6B355B1}"/>
            </c:ext>
          </c:extLst>
        </c:ser>
        <c:ser>
          <c:idx val="2"/>
          <c:order val="3"/>
          <c:tx>
            <c:strRef>
              <c:f>コイル!$V$40</c:f>
              <c:strCache>
                <c:ptCount val="1"/>
                <c:pt idx="0">
                  <c:v>D135:抵抗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コイル!$W$39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コイル!$W$40</c:f>
              <c:numCache>
                <c:formatCode>General</c:formatCode>
                <c:ptCount val="1"/>
                <c:pt idx="0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2-4E06-B168-54F6BC5D8E7B}"/>
            </c:ext>
          </c:extLst>
        </c:ser>
        <c:ser>
          <c:idx val="4"/>
          <c:order val="5"/>
          <c:tx>
            <c:strRef>
              <c:f>コイル!$V$44</c:f>
              <c:strCache>
                <c:ptCount val="1"/>
                <c:pt idx="0">
                  <c:v>D68:抵抗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コイル!$W$43</c:f>
              <c:numCache>
                <c:formatCode>General</c:formatCode>
                <c:ptCount val="1"/>
                <c:pt idx="0">
                  <c:v>72</c:v>
                </c:pt>
              </c:numCache>
            </c:numRef>
          </c:xVal>
          <c:yVal>
            <c:numRef>
              <c:f>コイル!$W$44</c:f>
              <c:numCache>
                <c:formatCode>General</c:formatCode>
                <c:ptCount val="1"/>
                <c:pt idx="0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52-4E06-B168-54F6BC5D8E7B}"/>
            </c:ext>
          </c:extLst>
        </c:ser>
        <c:ser>
          <c:idx val="6"/>
          <c:order val="7"/>
          <c:tx>
            <c:strRef>
              <c:f>コイル!$V$48</c:f>
              <c:strCache>
                <c:ptCount val="1"/>
                <c:pt idx="0">
                  <c:v>角105x65：抵抗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backward val="50"/>
            <c:intercept val="0"/>
            <c:dispRSqr val="0"/>
            <c:dispEq val="0"/>
          </c:trendline>
          <c:xVal>
            <c:numRef>
              <c:f>コイル!$W$47:$Z$47</c:f>
              <c:numCache>
                <c:formatCode>General</c:formatCode>
                <c:ptCount val="4"/>
                <c:pt idx="0">
                  <c:v>59</c:v>
                </c:pt>
                <c:pt idx="1">
                  <c:v>53</c:v>
                </c:pt>
                <c:pt idx="2">
                  <c:v>51</c:v>
                </c:pt>
                <c:pt idx="3">
                  <c:v>50</c:v>
                </c:pt>
              </c:numCache>
            </c:numRef>
          </c:xVal>
          <c:yVal>
            <c:numRef>
              <c:f>コイル!$W$48:$Z$48</c:f>
              <c:numCache>
                <c:formatCode>General</c:formatCode>
                <c:ptCount val="4"/>
                <c:pt idx="0">
                  <c:v>6.6</c:v>
                </c:pt>
                <c:pt idx="1">
                  <c:v>5.8</c:v>
                </c:pt>
                <c:pt idx="2">
                  <c:v>5.7</c:v>
                </c:pt>
                <c:pt idx="3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8-4A7A-A0AA-A5A24477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1976"/>
        <c:axId val="603745216"/>
      </c:scatterChart>
      <c:valAx>
        <c:axId val="66853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巻き数</a:t>
                </a:r>
                <a:r>
                  <a:rPr lang="en-US" altLang="ja-JP"/>
                  <a:t>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540256"/>
        <c:crosses val="autoZero"/>
        <c:crossBetween val="midCat"/>
      </c:valAx>
      <c:valAx>
        <c:axId val="6685402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インダクタンス</a:t>
                </a:r>
                <a:r>
                  <a:rPr lang="en-US" altLang="ja-JP"/>
                  <a:t>(μH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539896"/>
        <c:crosses val="autoZero"/>
        <c:crossBetween val="midCat"/>
      </c:valAx>
      <c:valAx>
        <c:axId val="60374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741976"/>
        <c:crosses val="max"/>
        <c:crossBetween val="midCat"/>
      </c:valAx>
      <c:valAx>
        <c:axId val="603741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74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525692020456196E-2"/>
          <c:y val="0.81017655111090303"/>
          <c:w val="0.92245377059826283"/>
          <c:h val="0.17199283967661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コイル!$F$26</c:f>
              <c:strCache>
                <c:ptCount val="1"/>
                <c:pt idx="0">
                  <c:v>uH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コイル!$E$27:$E$45</c:f>
              <c:numCache>
                <c:formatCode>0.0</c:formatCode>
                <c:ptCount val="19"/>
                <c:pt idx="0">
                  <c:v>74.404761904761898</c:v>
                </c:pt>
                <c:pt idx="1">
                  <c:v>74.404761904761898</c:v>
                </c:pt>
                <c:pt idx="2">
                  <c:v>74.404761904761898</c:v>
                </c:pt>
                <c:pt idx="3">
                  <c:v>71.428571428571431</c:v>
                </c:pt>
                <c:pt idx="4">
                  <c:v>71.428571428571431</c:v>
                </c:pt>
                <c:pt idx="5">
                  <c:v>71.428571428571431</c:v>
                </c:pt>
                <c:pt idx="6">
                  <c:v>59.523809523809526</c:v>
                </c:pt>
                <c:pt idx="7">
                  <c:v>59.523809523809526</c:v>
                </c:pt>
                <c:pt idx="8">
                  <c:v>59.523809523809526</c:v>
                </c:pt>
                <c:pt idx="9">
                  <c:v>59.523809523809526</c:v>
                </c:pt>
                <c:pt idx="10">
                  <c:v>53.125</c:v>
                </c:pt>
                <c:pt idx="11">
                  <c:v>53.125</c:v>
                </c:pt>
                <c:pt idx="12">
                  <c:v>53.125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xVal>
          <c:yVal>
            <c:numRef>
              <c:f>コイル!$F$27:$F$45</c:f>
              <c:numCache>
                <c:formatCode>0.0</c:formatCode>
                <c:ptCount val="19"/>
                <c:pt idx="0">
                  <c:v>1244</c:v>
                </c:pt>
                <c:pt idx="1">
                  <c:v>1246</c:v>
                </c:pt>
                <c:pt idx="2">
                  <c:v>1244</c:v>
                </c:pt>
                <c:pt idx="3">
                  <c:v>1146</c:v>
                </c:pt>
                <c:pt idx="4">
                  <c:v>1143</c:v>
                </c:pt>
                <c:pt idx="5">
                  <c:v>1145</c:v>
                </c:pt>
                <c:pt idx="6">
                  <c:v>812</c:v>
                </c:pt>
                <c:pt idx="7">
                  <c:v>814.3</c:v>
                </c:pt>
                <c:pt idx="8">
                  <c:v>815.4</c:v>
                </c:pt>
                <c:pt idx="9">
                  <c:v>812.2</c:v>
                </c:pt>
                <c:pt idx="10">
                  <c:v>654.79999999999995</c:v>
                </c:pt>
                <c:pt idx="11">
                  <c:v>654.5</c:v>
                </c:pt>
                <c:pt idx="12">
                  <c:v>655.8</c:v>
                </c:pt>
                <c:pt idx="13">
                  <c:v>600.29999999999995</c:v>
                </c:pt>
                <c:pt idx="14">
                  <c:v>600.20000000000005</c:v>
                </c:pt>
                <c:pt idx="15">
                  <c:v>601.6</c:v>
                </c:pt>
                <c:pt idx="16">
                  <c:v>578.4</c:v>
                </c:pt>
                <c:pt idx="17">
                  <c:v>579.79999999999995</c:v>
                </c:pt>
                <c:pt idx="18">
                  <c:v>578.70000000000005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B-4269-A92C-996A057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33264"/>
        <c:axId val="769233624"/>
      </c:scatterChart>
      <c:valAx>
        <c:axId val="7692332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233624"/>
        <c:crosses val="autoZero"/>
        <c:crossBetween val="midCat"/>
      </c:valAx>
      <c:valAx>
        <c:axId val="7692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2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45</xdr:row>
      <xdr:rowOff>133350</xdr:rowOff>
    </xdr:from>
    <xdr:to>
      <xdr:col>20</xdr:col>
      <xdr:colOff>438150</xdr:colOff>
      <xdr:row>65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9C18DD7-3C28-372E-AA05-24AA975E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158750</xdr:rowOff>
    </xdr:from>
    <xdr:to>
      <xdr:col>7</xdr:col>
      <xdr:colOff>1066800</xdr:colOff>
      <xdr:row>59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33C5BB-89D2-7464-A355-75EE1B2B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BB76-A36B-486F-B17B-3EC11166C5CD}">
  <dimension ref="D3:P25"/>
  <sheetViews>
    <sheetView topLeftCell="G10" workbookViewId="0">
      <selection activeCell="K11" sqref="K11"/>
    </sheetView>
  </sheetViews>
  <sheetFormatPr defaultRowHeight="18" x14ac:dyDescent="0.55000000000000004"/>
  <cols>
    <col min="4" max="4" width="21.25" customWidth="1"/>
    <col min="5" max="5" width="16.6640625" customWidth="1"/>
    <col min="7" max="7" width="10.6640625" customWidth="1"/>
    <col min="8" max="8" width="12.83203125" customWidth="1"/>
    <col min="10" max="10" width="12.33203125" customWidth="1"/>
    <col min="11" max="11" width="14.4140625" customWidth="1"/>
    <col min="12" max="12" width="11.4140625" customWidth="1"/>
    <col min="13" max="13" width="13.9140625" bestFit="1" customWidth="1"/>
    <col min="14" max="14" width="17.33203125" customWidth="1"/>
    <col min="15" max="15" width="17.4140625" customWidth="1"/>
    <col min="16" max="16" width="16.6640625" bestFit="1" customWidth="1"/>
  </cols>
  <sheetData>
    <row r="3" spans="4:15" x14ac:dyDescent="0.55000000000000004">
      <c r="D3" s="3" t="s">
        <v>0</v>
      </c>
      <c r="E3" s="3" t="s">
        <v>1</v>
      </c>
      <c r="G3" t="s">
        <v>6</v>
      </c>
      <c r="H3" t="s">
        <v>7</v>
      </c>
      <c r="J3" t="s">
        <v>9</v>
      </c>
    </row>
    <row r="4" spans="4:15" x14ac:dyDescent="0.55000000000000004">
      <c r="D4" s="4"/>
      <c r="E4" s="3" t="s">
        <v>8</v>
      </c>
      <c r="G4" t="str">
        <f>RIGHT(E4,7)</f>
        <v>FFFFFFF</v>
      </c>
      <c r="H4" s="1">
        <f>HEX2DEC(G4)</f>
        <v>268435455</v>
      </c>
      <c r="J4" t="str">
        <f>_xlfn.CONCAT(LEFT(E4,3),"0000000")</f>
        <v>FFF0000000</v>
      </c>
      <c r="K4" s="1">
        <f>HEX2DEC(J4)</f>
        <v>-268435456</v>
      </c>
    </row>
    <row r="5" spans="4:15" x14ac:dyDescent="0.55000000000000004">
      <c r="D5" s="4">
        <v>158002010614</v>
      </c>
      <c r="E5" s="3" t="s">
        <v>2</v>
      </c>
      <c r="G5" t="str">
        <f>RIGHT(E5,7)</f>
        <v>9A759F6</v>
      </c>
      <c r="H5" s="1">
        <f>HEX2DEC(G5)</f>
        <v>161962486</v>
      </c>
      <c r="J5" t="str">
        <f t="shared" ref="J5:J8" si="0">_xlfn.CONCAT(LEFT(E5,3),"0000000")</f>
        <v>24C0000000</v>
      </c>
      <c r="K5" s="1">
        <f t="shared" ref="K5:M25" si="1">HEX2DEC(J5)</f>
        <v>157840048128</v>
      </c>
    </row>
    <row r="6" spans="4:15" x14ac:dyDescent="0.55000000000000004">
      <c r="D6" s="4">
        <v>215007532571</v>
      </c>
      <c r="E6" s="3" t="s">
        <v>3</v>
      </c>
      <c r="G6" t="str">
        <f t="shared" ref="G6:G8" si="2">RIGHT(E6,7)</f>
        <v>F72961B</v>
      </c>
      <c r="H6" s="1">
        <f t="shared" ref="H6:H8" si="3">HEX2DEC(G6)</f>
        <v>259167771</v>
      </c>
      <c r="J6" t="str">
        <f t="shared" si="0"/>
        <v>3200000000</v>
      </c>
      <c r="K6" s="1">
        <f t="shared" si="1"/>
        <v>214748364800</v>
      </c>
    </row>
    <row r="7" spans="4:15" x14ac:dyDescent="0.55000000000000004">
      <c r="D7" s="4">
        <v>215007532573</v>
      </c>
      <c r="E7" s="3" t="s">
        <v>4</v>
      </c>
      <c r="G7" t="str">
        <f t="shared" si="2"/>
        <v>F72961D</v>
      </c>
      <c r="H7" s="1">
        <f t="shared" si="3"/>
        <v>259167773</v>
      </c>
      <c r="J7" t="str">
        <f t="shared" si="0"/>
        <v>3200000000</v>
      </c>
      <c r="K7" s="1">
        <f t="shared" si="1"/>
        <v>214748364800</v>
      </c>
    </row>
    <row r="8" spans="4:15" x14ac:dyDescent="0.55000000000000004">
      <c r="D8" s="4">
        <v>215007532578</v>
      </c>
      <c r="E8" s="3" t="s">
        <v>5</v>
      </c>
      <c r="G8" t="str">
        <f t="shared" si="2"/>
        <v>F729622</v>
      </c>
      <c r="H8" s="1">
        <f t="shared" si="3"/>
        <v>259167778</v>
      </c>
      <c r="J8" t="str">
        <f t="shared" si="0"/>
        <v>3200000000</v>
      </c>
      <c r="K8" s="1">
        <f t="shared" si="1"/>
        <v>214748364800</v>
      </c>
    </row>
    <row r="9" spans="4:15" x14ac:dyDescent="0.55000000000000004">
      <c r="D9" s="4"/>
      <c r="E9" s="3"/>
      <c r="H9" s="1"/>
      <c r="K9" s="1"/>
    </row>
    <row r="10" spans="4:15" x14ac:dyDescent="0.55000000000000004">
      <c r="D10" s="1"/>
      <c r="J10" t="s">
        <v>16</v>
      </c>
      <c r="L10" t="s">
        <v>17</v>
      </c>
      <c r="N10" t="s">
        <v>24</v>
      </c>
    </row>
    <row r="11" spans="4:15" x14ac:dyDescent="0.55000000000000004">
      <c r="D11" s="1"/>
      <c r="J11" s="2">
        <v>10000000</v>
      </c>
      <c r="K11" s="1">
        <f t="shared" si="1"/>
        <v>268435456</v>
      </c>
      <c r="L11" s="2">
        <v>100000000</v>
      </c>
      <c r="M11" s="1">
        <f t="shared" si="1"/>
        <v>4294967296</v>
      </c>
      <c r="N11" s="2">
        <v>1000000000</v>
      </c>
      <c r="O11" s="1">
        <f t="shared" ref="O11" si="4">HEX2DEC(N11)</f>
        <v>68719476736</v>
      </c>
    </row>
    <row r="12" spans="4:15" x14ac:dyDescent="0.55000000000000004">
      <c r="D12" s="1"/>
      <c r="J12" s="2">
        <v>20000000</v>
      </c>
      <c r="K12" s="1">
        <f t="shared" si="1"/>
        <v>536870912</v>
      </c>
      <c r="L12" s="2">
        <v>200000000</v>
      </c>
      <c r="M12" s="1">
        <f t="shared" si="1"/>
        <v>8589934592</v>
      </c>
      <c r="N12" s="2">
        <v>2000000000</v>
      </c>
      <c r="O12" s="1">
        <f t="shared" ref="O12" si="5">HEX2DEC(N12)</f>
        <v>137438953472</v>
      </c>
    </row>
    <row r="13" spans="4:15" x14ac:dyDescent="0.55000000000000004">
      <c r="D13" s="1"/>
      <c r="J13" s="2">
        <v>30000000</v>
      </c>
      <c r="K13" s="1">
        <f t="shared" si="1"/>
        <v>805306368</v>
      </c>
      <c r="L13" s="2">
        <v>300000000</v>
      </c>
      <c r="M13" s="1">
        <f t="shared" si="1"/>
        <v>12884901888</v>
      </c>
      <c r="N13" s="2">
        <v>3000000000</v>
      </c>
      <c r="O13" s="1">
        <f t="shared" ref="O13" si="6">HEX2DEC(N13)</f>
        <v>206158430208</v>
      </c>
    </row>
    <row r="14" spans="4:15" x14ac:dyDescent="0.55000000000000004">
      <c r="D14" s="1"/>
      <c r="J14" s="2">
        <v>40000000</v>
      </c>
      <c r="K14" s="1">
        <f t="shared" si="1"/>
        <v>1073741824</v>
      </c>
      <c r="L14" s="2">
        <v>400000000</v>
      </c>
      <c r="M14" s="1">
        <f t="shared" si="1"/>
        <v>17179869184</v>
      </c>
      <c r="N14" s="2">
        <v>4000000000</v>
      </c>
      <c r="O14" s="1">
        <f t="shared" ref="O14" si="7">HEX2DEC(N14)</f>
        <v>274877906944</v>
      </c>
    </row>
    <row r="15" spans="4:15" x14ac:dyDescent="0.55000000000000004">
      <c r="J15" s="2">
        <v>50000000</v>
      </c>
      <c r="K15" s="1">
        <f t="shared" si="1"/>
        <v>1342177280</v>
      </c>
      <c r="L15" s="2">
        <v>500000000</v>
      </c>
      <c r="M15" s="1">
        <f t="shared" si="1"/>
        <v>21474836480</v>
      </c>
      <c r="N15" s="2">
        <v>5000000000</v>
      </c>
      <c r="O15" s="1">
        <f t="shared" ref="O15" si="8">HEX2DEC(N15)</f>
        <v>343597383680</v>
      </c>
    </row>
    <row r="16" spans="4:15" x14ac:dyDescent="0.55000000000000004">
      <c r="J16" s="2">
        <v>60000000</v>
      </c>
      <c r="K16" s="1">
        <f t="shared" si="1"/>
        <v>1610612736</v>
      </c>
      <c r="L16" s="2">
        <v>600000000</v>
      </c>
      <c r="M16" s="1">
        <f t="shared" si="1"/>
        <v>25769803776</v>
      </c>
      <c r="N16" s="2">
        <v>6000000000</v>
      </c>
      <c r="O16" s="1">
        <f t="shared" ref="O16" si="9">HEX2DEC(N16)</f>
        <v>412316860416</v>
      </c>
    </row>
    <row r="17" spans="10:16" x14ac:dyDescent="0.55000000000000004">
      <c r="J17" s="2">
        <v>70000000</v>
      </c>
      <c r="K17" s="1">
        <f t="shared" si="1"/>
        <v>1879048192</v>
      </c>
      <c r="L17" s="2">
        <v>700000000</v>
      </c>
      <c r="M17" s="1">
        <f t="shared" si="1"/>
        <v>30064771072</v>
      </c>
      <c r="N17" s="2">
        <v>7000000000</v>
      </c>
      <c r="O17" s="1">
        <f t="shared" ref="O17" si="10">HEX2DEC(N17)</f>
        <v>481036337152</v>
      </c>
    </row>
    <row r="18" spans="10:16" x14ac:dyDescent="0.55000000000000004">
      <c r="J18" s="2">
        <v>80000000</v>
      </c>
      <c r="K18" s="1">
        <f t="shared" si="1"/>
        <v>2147483648</v>
      </c>
      <c r="L18" s="2">
        <v>800000000</v>
      </c>
      <c r="M18" s="1">
        <f t="shared" si="1"/>
        <v>34359738368</v>
      </c>
      <c r="N18" s="2">
        <v>8000000000</v>
      </c>
      <c r="O18" s="1">
        <v>549755813888</v>
      </c>
      <c r="P18" s="5">
        <f>$O$17+O11</f>
        <v>549755813888</v>
      </c>
    </row>
    <row r="19" spans="10:16" x14ac:dyDescent="0.55000000000000004">
      <c r="J19" s="2">
        <v>90000000</v>
      </c>
      <c r="K19" s="1">
        <f t="shared" si="1"/>
        <v>2415919104</v>
      </c>
      <c r="L19" s="2">
        <v>900000000</v>
      </c>
      <c r="M19" s="1">
        <f t="shared" si="1"/>
        <v>38654705664</v>
      </c>
      <c r="N19" s="2">
        <v>9000000000</v>
      </c>
      <c r="O19" s="1">
        <f>HEX2DEC(N19)</f>
        <v>-481036337152</v>
      </c>
      <c r="P19" s="5">
        <f>$O$17+O12</f>
        <v>618475290624</v>
      </c>
    </row>
    <row r="20" spans="10:16" x14ac:dyDescent="0.55000000000000004">
      <c r="J20" s="2" t="s">
        <v>12</v>
      </c>
      <c r="K20" s="1">
        <f t="shared" si="1"/>
        <v>2684354560</v>
      </c>
      <c r="L20" s="2" t="s">
        <v>18</v>
      </c>
      <c r="M20" s="1">
        <f t="shared" si="1"/>
        <v>42949672960</v>
      </c>
      <c r="N20" s="2" t="s">
        <v>25</v>
      </c>
      <c r="O20" s="1">
        <f>HEX2DEC(N20)</f>
        <v>-412316860416</v>
      </c>
      <c r="P20" s="5">
        <f t="shared" ref="P20:P24" si="11">$O$17+O13</f>
        <v>687194767360</v>
      </c>
    </row>
    <row r="21" spans="10:16" x14ac:dyDescent="0.55000000000000004">
      <c r="J21" t="s">
        <v>11</v>
      </c>
      <c r="K21" s="1">
        <f t="shared" si="1"/>
        <v>2952790016</v>
      </c>
      <c r="L21" t="s">
        <v>19</v>
      </c>
      <c r="M21" s="1">
        <f t="shared" si="1"/>
        <v>47244640256</v>
      </c>
      <c r="P21" s="5">
        <f t="shared" si="11"/>
        <v>755914244096</v>
      </c>
    </row>
    <row r="22" spans="10:16" x14ac:dyDescent="0.55000000000000004">
      <c r="J22" s="2" t="s">
        <v>13</v>
      </c>
      <c r="K22" s="1">
        <f t="shared" si="1"/>
        <v>3221225472</v>
      </c>
      <c r="L22" s="2" t="s">
        <v>20</v>
      </c>
      <c r="M22" s="1">
        <f t="shared" si="1"/>
        <v>51539607552</v>
      </c>
      <c r="P22" s="5">
        <f t="shared" si="11"/>
        <v>824633720832</v>
      </c>
    </row>
    <row r="23" spans="10:16" x14ac:dyDescent="0.55000000000000004">
      <c r="J23" t="s">
        <v>14</v>
      </c>
      <c r="K23" s="1">
        <f t="shared" si="1"/>
        <v>3489660928</v>
      </c>
      <c r="L23" t="s">
        <v>21</v>
      </c>
      <c r="M23" s="1">
        <f t="shared" si="1"/>
        <v>55834574848</v>
      </c>
      <c r="P23" s="5">
        <f t="shared" si="11"/>
        <v>893353197568</v>
      </c>
    </row>
    <row r="24" spans="10:16" x14ac:dyDescent="0.55000000000000004">
      <c r="J24" s="2" t="s">
        <v>15</v>
      </c>
      <c r="K24" s="1">
        <f t="shared" si="1"/>
        <v>3758096384</v>
      </c>
      <c r="L24" s="2" t="s">
        <v>22</v>
      </c>
      <c r="M24" s="1">
        <f t="shared" si="1"/>
        <v>60129542144</v>
      </c>
      <c r="P24" s="5">
        <f t="shared" si="11"/>
        <v>962072674304</v>
      </c>
    </row>
    <row r="25" spans="10:16" x14ac:dyDescent="0.55000000000000004">
      <c r="J25" t="s">
        <v>10</v>
      </c>
      <c r="K25" s="1">
        <f t="shared" si="1"/>
        <v>4026531840</v>
      </c>
      <c r="L25" t="s">
        <v>23</v>
      </c>
      <c r="M25" s="1">
        <f t="shared" si="1"/>
        <v>64424509440</v>
      </c>
      <c r="P25" s="5">
        <f>$O$17+O18</f>
        <v>1030792151040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DBF6-F63E-4077-9900-FECCB38FFD78}">
  <dimension ref="A3:Z68"/>
  <sheetViews>
    <sheetView tabSelected="1" topLeftCell="L49" zoomScaleNormal="100" workbookViewId="0">
      <selection activeCell="V51" sqref="V51"/>
    </sheetView>
  </sheetViews>
  <sheetFormatPr defaultRowHeight="18" x14ac:dyDescent="0.55000000000000004"/>
  <cols>
    <col min="2" max="2" width="14.1640625" customWidth="1"/>
    <col min="5" max="5" width="11.33203125" customWidth="1"/>
    <col min="8" max="8" width="11.25" customWidth="1"/>
    <col min="15" max="15" width="9.1640625" bestFit="1" customWidth="1"/>
    <col min="19" max="19" width="10.75" bestFit="1" customWidth="1"/>
    <col min="22" max="22" width="19.75" bestFit="1" customWidth="1"/>
  </cols>
  <sheetData>
    <row r="3" spans="2:24" ht="18.5" thickBot="1" x14ac:dyDescent="0.6"/>
    <row r="4" spans="2:24" x14ac:dyDescent="0.55000000000000004">
      <c r="B4" s="6" t="s">
        <v>26</v>
      </c>
      <c r="C4" s="7"/>
      <c r="D4" s="8"/>
      <c r="E4" s="6" t="s">
        <v>37</v>
      </c>
      <c r="F4" s="7"/>
      <c r="G4" s="14"/>
      <c r="H4" s="7"/>
      <c r="I4" s="7"/>
      <c r="J4" s="8"/>
      <c r="K4" s="6"/>
      <c r="L4" s="7"/>
      <c r="M4" s="8"/>
    </row>
    <row r="5" spans="2:24" x14ac:dyDescent="0.55000000000000004">
      <c r="B5" s="9" t="s">
        <v>27</v>
      </c>
      <c r="D5" s="10"/>
      <c r="E5" s="9" t="s">
        <v>53</v>
      </c>
      <c r="G5" s="15"/>
      <c r="J5" s="10"/>
      <c r="K5" s="9"/>
      <c r="M5" s="10"/>
    </row>
    <row r="6" spans="2:24" x14ac:dyDescent="0.55000000000000004">
      <c r="B6" s="9"/>
      <c r="D6" s="10"/>
      <c r="E6" s="9" t="s">
        <v>52</v>
      </c>
      <c r="G6" s="15"/>
      <c r="J6" s="10"/>
      <c r="K6" s="9" t="s">
        <v>45</v>
      </c>
      <c r="M6" s="10"/>
    </row>
    <row r="7" spans="2:24" x14ac:dyDescent="0.55000000000000004">
      <c r="B7" s="9" t="s">
        <v>28</v>
      </c>
      <c r="D7" s="10"/>
      <c r="E7" s="9"/>
      <c r="G7" s="15"/>
      <c r="J7" s="10"/>
      <c r="K7" s="9"/>
      <c r="M7" s="10"/>
    </row>
    <row r="8" spans="2:24" x14ac:dyDescent="0.55000000000000004">
      <c r="B8" s="20" t="s">
        <v>39</v>
      </c>
      <c r="C8" s="2"/>
      <c r="D8" s="21"/>
      <c r="E8" s="20" t="s">
        <v>32</v>
      </c>
      <c r="F8" s="2">
        <v>599.4</v>
      </c>
      <c r="G8" s="22"/>
      <c r="H8" s="2" t="s">
        <v>38</v>
      </c>
      <c r="I8" s="2">
        <v>593</v>
      </c>
      <c r="J8" s="21">
        <v>591.6</v>
      </c>
      <c r="K8" s="20" t="s">
        <v>44</v>
      </c>
      <c r="L8" s="2"/>
      <c r="M8" s="21"/>
    </row>
    <row r="9" spans="2:24" x14ac:dyDescent="0.55000000000000004">
      <c r="B9" s="20"/>
      <c r="C9" s="2"/>
      <c r="D9" s="21"/>
      <c r="E9" s="20">
        <v>600.70000000000005</v>
      </c>
      <c r="F9" s="2"/>
      <c r="G9" s="22"/>
      <c r="H9" s="2">
        <v>592</v>
      </c>
      <c r="I9" s="2"/>
      <c r="J9" s="21"/>
      <c r="K9" s="20"/>
      <c r="L9" s="2"/>
      <c r="M9" s="21"/>
    </row>
    <row r="10" spans="2:24" x14ac:dyDescent="0.55000000000000004">
      <c r="B10" s="9"/>
      <c r="D10" s="10"/>
      <c r="E10" s="9"/>
      <c r="G10" s="15"/>
      <c r="J10" s="10"/>
      <c r="K10" s="9"/>
      <c r="M10" s="10"/>
      <c r="N10" t="s">
        <v>46</v>
      </c>
      <c r="O10">
        <v>0.52600000000000002</v>
      </c>
      <c r="P10">
        <v>0.2</v>
      </c>
      <c r="Q10">
        <v>0.2</v>
      </c>
      <c r="R10">
        <v>0.2</v>
      </c>
      <c r="S10">
        <v>0.3</v>
      </c>
      <c r="T10">
        <v>0.3</v>
      </c>
      <c r="U10">
        <v>0.3</v>
      </c>
      <c r="V10">
        <v>6.2</v>
      </c>
      <c r="W10">
        <v>7.2</v>
      </c>
      <c r="X10">
        <v>8.1999999999999993</v>
      </c>
    </row>
    <row r="11" spans="2:24" x14ac:dyDescent="0.55000000000000004">
      <c r="B11" s="9" t="s">
        <v>29</v>
      </c>
      <c r="D11" s="10">
        <v>400</v>
      </c>
      <c r="E11" s="9" t="s">
        <v>33</v>
      </c>
      <c r="F11">
        <v>135</v>
      </c>
      <c r="G11" s="15">
        <f>F11*PI()</f>
        <v>424.11500823462205</v>
      </c>
      <c r="H11" t="s">
        <v>35</v>
      </c>
      <c r="I11">
        <v>68</v>
      </c>
      <c r="J11" s="15">
        <f>I11*PI()</f>
        <v>213.62830044410595</v>
      </c>
      <c r="K11" s="9"/>
      <c r="M11" s="10"/>
      <c r="N11" t="s">
        <v>47</v>
      </c>
      <c r="O11">
        <v>15</v>
      </c>
      <c r="P11">
        <f>135/2</f>
        <v>67.5</v>
      </c>
      <c r="Q11">
        <v>34</v>
      </c>
      <c r="R11">
        <v>67.5</v>
      </c>
      <c r="S11">
        <f>35.3/2</f>
        <v>17.649999999999999</v>
      </c>
      <c r="T11">
        <v>18</v>
      </c>
      <c r="U11">
        <v>18.2</v>
      </c>
      <c r="V11">
        <f t="shared" ref="V11:X11" si="0">135/2</f>
        <v>67.5</v>
      </c>
      <c r="W11">
        <f t="shared" si="0"/>
        <v>67.5</v>
      </c>
      <c r="X11">
        <f t="shared" si="0"/>
        <v>67.5</v>
      </c>
    </row>
    <row r="12" spans="2:24" x14ac:dyDescent="0.55000000000000004">
      <c r="B12" s="9" t="s">
        <v>30</v>
      </c>
      <c r="D12" s="10"/>
      <c r="E12" s="9" t="s">
        <v>30</v>
      </c>
      <c r="G12" s="15"/>
      <c r="H12" t="s">
        <v>30</v>
      </c>
      <c r="J12" s="15"/>
      <c r="K12" s="9" t="s">
        <v>42</v>
      </c>
      <c r="M12" s="10"/>
      <c r="N12" t="s">
        <v>48</v>
      </c>
      <c r="O12">
        <v>340</v>
      </c>
      <c r="P12">
        <v>64</v>
      </c>
      <c r="Q12">
        <v>72</v>
      </c>
      <c r="R12">
        <v>18</v>
      </c>
      <c r="S12">
        <v>18</v>
      </c>
      <c r="T12">
        <v>55</v>
      </c>
      <c r="U12">
        <v>90</v>
      </c>
      <c r="V12">
        <v>70</v>
      </c>
      <c r="W12">
        <v>71</v>
      </c>
      <c r="X12">
        <v>72</v>
      </c>
    </row>
    <row r="13" spans="2:24" x14ac:dyDescent="0.55000000000000004">
      <c r="B13" s="9" t="s">
        <v>31</v>
      </c>
      <c r="D13" s="10">
        <v>64</v>
      </c>
      <c r="E13" s="9" t="s">
        <v>34</v>
      </c>
      <c r="G13" s="15">
        <v>64</v>
      </c>
      <c r="H13" t="s">
        <v>36</v>
      </c>
      <c r="J13" s="15">
        <v>72</v>
      </c>
      <c r="K13" s="9" t="s">
        <v>43</v>
      </c>
      <c r="M13" s="10"/>
      <c r="N13" t="s">
        <v>49</v>
      </c>
      <c r="O13">
        <v>15</v>
      </c>
    </row>
    <row r="14" spans="2:24" x14ac:dyDescent="0.55000000000000004">
      <c r="B14" s="17" t="s">
        <v>57</v>
      </c>
      <c r="D14" s="10">
        <f>D11*D13</f>
        <v>25600</v>
      </c>
      <c r="E14" s="17" t="s">
        <v>57</v>
      </c>
      <c r="G14" s="15">
        <f>G11*G13</f>
        <v>27143.360527015811</v>
      </c>
      <c r="H14" s="17" t="s">
        <v>57</v>
      </c>
      <c r="J14" s="15">
        <f>J11*J13</f>
        <v>15381.237631975628</v>
      </c>
      <c r="K14" s="17" t="s">
        <v>57</v>
      </c>
      <c r="M14" s="10"/>
    </row>
    <row r="15" spans="2:24" ht="18.5" thickBot="1" x14ac:dyDescent="0.6">
      <c r="B15" s="11"/>
      <c r="C15" s="12">
        <v>6.6</v>
      </c>
      <c r="D15" s="13" t="s">
        <v>58</v>
      </c>
      <c r="E15" s="11">
        <v>6.2</v>
      </c>
      <c r="F15" s="12">
        <v>6.2</v>
      </c>
      <c r="G15" s="16" t="s">
        <v>58</v>
      </c>
      <c r="H15" s="12">
        <v>4.8</v>
      </c>
      <c r="I15" s="12">
        <v>4.7</v>
      </c>
      <c r="J15" s="13" t="s">
        <v>58</v>
      </c>
      <c r="K15" s="11"/>
      <c r="L15" s="12"/>
      <c r="M15" s="13"/>
    </row>
    <row r="16" spans="2:24" x14ac:dyDescent="0.55000000000000004">
      <c r="C16" t="s">
        <v>80</v>
      </c>
      <c r="F16" t="s">
        <v>79</v>
      </c>
      <c r="I16" t="s">
        <v>81</v>
      </c>
      <c r="N16" t="s">
        <v>50</v>
      </c>
      <c r="O16" s="18">
        <f>O10*4*PI()*PI()*O11*O11*O12*O12/O11*0.0000001</f>
        <v>3.6007633042252749</v>
      </c>
      <c r="P16" s="18">
        <f>P10*4*PI()*PI()*P11*P11*P12*P12/P11*0.0000001</f>
        <v>0.21829985798505483</v>
      </c>
      <c r="Q16" s="18">
        <f t="shared" ref="Q16:S16" si="1">Q10*4*PI()*PI()*Q11*Q11*Q12*Q12/Q11*0.0000001</f>
        <v>0.13916615946547248</v>
      </c>
      <c r="R16" s="18">
        <f t="shared" si="1"/>
        <v>1.7267859860145941E-2</v>
      </c>
      <c r="S16" s="18">
        <f t="shared" si="1"/>
        <v>6.7728383673683508E-3</v>
      </c>
      <c r="T16" s="18">
        <f t="shared" ref="T16:X16" si="2">T10*4*PI()*PI()*T11*T11*T12*T12/T11*0.0000001</f>
        <v>6.4487995156717853E-2</v>
      </c>
      <c r="U16" s="18">
        <f t="shared" si="2"/>
        <v>0.17459724969703116</v>
      </c>
      <c r="V16" s="18">
        <f t="shared" si="2"/>
        <v>8.0956417060375543</v>
      </c>
      <c r="W16" s="18">
        <f t="shared" si="2"/>
        <v>9.6719201727772983</v>
      </c>
      <c r="X16" s="18">
        <f t="shared" si="2"/>
        <v>11.327716068255734</v>
      </c>
    </row>
    <row r="17" spans="1:24" x14ac:dyDescent="0.55000000000000004">
      <c r="B17" t="s">
        <v>40</v>
      </c>
      <c r="N17" t="s">
        <v>51</v>
      </c>
      <c r="O17" s="19">
        <f>O16*1000</f>
        <v>3600.7633042252751</v>
      </c>
      <c r="P17" s="19">
        <f>P16*1000</f>
        <v>218.29985798505484</v>
      </c>
      <c r="Q17" s="19">
        <f t="shared" ref="Q17:S17" si="3">Q16*1000</f>
        <v>139.16615946547248</v>
      </c>
      <c r="R17" s="19">
        <f t="shared" si="3"/>
        <v>17.26785986014594</v>
      </c>
      <c r="S17" s="19">
        <f t="shared" si="3"/>
        <v>6.772838367368351</v>
      </c>
      <c r="T17" s="19">
        <f t="shared" ref="T17" si="4">T16*1000</f>
        <v>64.487995156717858</v>
      </c>
      <c r="U17" s="19">
        <f t="shared" ref="U17" si="5">U16*1000</f>
        <v>174.59724969703117</v>
      </c>
      <c r="V17" s="19">
        <f t="shared" ref="V17" si="6">V16*1000</f>
        <v>8095.6417060375543</v>
      </c>
      <c r="W17" s="19">
        <f t="shared" ref="W17" si="7">W16*1000</f>
        <v>9671.9201727772979</v>
      </c>
      <c r="X17" s="19">
        <f t="shared" ref="X17" si="8">X16*1000</f>
        <v>11327.716068255733</v>
      </c>
    </row>
    <row r="18" spans="1:24" x14ac:dyDescent="0.55000000000000004">
      <c r="N18" t="s">
        <v>68</v>
      </c>
      <c r="S18">
        <v>20</v>
      </c>
      <c r="T18">
        <v>183</v>
      </c>
      <c r="U18">
        <v>444</v>
      </c>
    </row>
    <row r="19" spans="1:24" x14ac:dyDescent="0.55000000000000004">
      <c r="L19" t="s">
        <v>85</v>
      </c>
      <c r="S19">
        <v>19.899999999999999</v>
      </c>
      <c r="T19">
        <v>186</v>
      </c>
      <c r="U19">
        <v>498</v>
      </c>
    </row>
    <row r="20" spans="1:24" x14ac:dyDescent="0.55000000000000004">
      <c r="S20" s="19">
        <f>SQRT($Q$22/S18)*S12</f>
        <v>97.765024420801936</v>
      </c>
      <c r="T20" s="19">
        <f t="shared" ref="T20:U20" si="9">SQRT($Q$22/T18)*T12</f>
        <v>98.75592255878712</v>
      </c>
      <c r="U20" s="19">
        <f t="shared" si="9"/>
        <v>103.74735424825788</v>
      </c>
      <c r="V20" t="s">
        <v>89</v>
      </c>
    </row>
    <row r="21" spans="1:24" x14ac:dyDescent="0.55000000000000004">
      <c r="B21" t="s">
        <v>41</v>
      </c>
      <c r="D21" t="s">
        <v>54</v>
      </c>
      <c r="E21" t="s">
        <v>55</v>
      </c>
      <c r="F21" t="s">
        <v>56</v>
      </c>
      <c r="J21" t="s">
        <v>59</v>
      </c>
      <c r="K21">
        <v>0.26</v>
      </c>
      <c r="P21" t="s">
        <v>86</v>
      </c>
      <c r="S21" s="24">
        <f>S20*PI()*$J$38</f>
        <v>10841.967252194157</v>
      </c>
      <c r="T21" s="24">
        <f>T20*PI()*$J$38</f>
        <v>10951.856092563636</v>
      </c>
      <c r="U21" s="24">
        <f>U20*PI()*$J$38</f>
        <v>11505.396985530379</v>
      </c>
      <c r="V21" t="s">
        <v>90</v>
      </c>
    </row>
    <row r="22" spans="1:24" x14ac:dyDescent="0.55000000000000004">
      <c r="B22">
        <v>63.5</v>
      </c>
      <c r="C22">
        <v>104.5</v>
      </c>
      <c r="D22">
        <f>B22*2+C22*2</f>
        <v>336</v>
      </c>
      <c r="E22">
        <v>70</v>
      </c>
      <c r="F22">
        <f>D22*E22</f>
        <v>23520</v>
      </c>
      <c r="J22">
        <v>2</v>
      </c>
      <c r="K22" t="s">
        <v>60</v>
      </c>
      <c r="L22">
        <v>0.6</v>
      </c>
      <c r="M22" t="s">
        <v>58</v>
      </c>
      <c r="N22" t="s">
        <v>82</v>
      </c>
      <c r="P22" t="s">
        <v>87</v>
      </c>
      <c r="Q22">
        <v>590</v>
      </c>
      <c r="S22" s="23">
        <f>S21*$L$37/$J$37</f>
        <v>3.6862688657460136</v>
      </c>
      <c r="T22" s="23">
        <f>T21*$L$37/$J$37</f>
        <v>3.7236310714716363</v>
      </c>
      <c r="U22" s="23">
        <f>U21*$L$37/$J$37</f>
        <v>3.9118349750803287</v>
      </c>
      <c r="V22" t="s">
        <v>91</v>
      </c>
    </row>
    <row r="23" spans="1:24" x14ac:dyDescent="0.55000000000000004">
      <c r="C23" t="s">
        <v>75</v>
      </c>
      <c r="D23">
        <f>D22/PI()</f>
        <v>106.95212175775367</v>
      </c>
      <c r="J23">
        <v>35.299999999999997</v>
      </c>
      <c r="K23" t="s">
        <v>61</v>
      </c>
      <c r="L23">
        <v>18</v>
      </c>
      <c r="M23" t="s">
        <v>62</v>
      </c>
      <c r="N23">
        <v>2.2999999999999998</v>
      </c>
      <c r="O23" t="s">
        <v>51</v>
      </c>
    </row>
    <row r="24" spans="1:24" x14ac:dyDescent="0.55000000000000004">
      <c r="J24">
        <v>18</v>
      </c>
      <c r="K24" t="s">
        <v>62</v>
      </c>
    </row>
    <row r="25" spans="1:24" x14ac:dyDescent="0.55000000000000004">
      <c r="B25">
        <v>0.26</v>
      </c>
      <c r="D25">
        <f>2.5/B25</f>
        <v>9.615384615384615</v>
      </c>
      <c r="E25" t="s">
        <v>78</v>
      </c>
      <c r="J25">
        <f>J23*PI()*J24</f>
        <v>1996.1679720909542</v>
      </c>
      <c r="K25" t="s">
        <v>63</v>
      </c>
    </row>
    <row r="26" spans="1:24" x14ac:dyDescent="0.55000000000000004">
      <c r="B26" t="s">
        <v>94</v>
      </c>
      <c r="C26" t="s">
        <v>93</v>
      </c>
      <c r="D26" t="s">
        <v>92</v>
      </c>
      <c r="E26" t="s">
        <v>74</v>
      </c>
      <c r="F26" t="s">
        <v>88</v>
      </c>
      <c r="J26">
        <v>5.25</v>
      </c>
      <c r="K26" t="s">
        <v>64</v>
      </c>
    </row>
    <row r="27" spans="1:24" x14ac:dyDescent="0.55000000000000004">
      <c r="A27" s="25" t="s">
        <v>95</v>
      </c>
      <c r="B27" s="26">
        <f>D27*$L$37/10000</f>
        <v>8.5</v>
      </c>
      <c r="C27" s="26">
        <v>8.1</v>
      </c>
      <c r="D27" s="26">
        <v>25000</v>
      </c>
      <c r="E27" s="32">
        <f>D27/$D$22</f>
        <v>74.404761904761898</v>
      </c>
      <c r="F27" s="32">
        <v>1244</v>
      </c>
      <c r="G27" s="32">
        <f>SQRT(580/F27)*E27</f>
        <v>50.804775649169621</v>
      </c>
      <c r="H27" s="34">
        <f>G27*$D$22</f>
        <v>17070.404618120992</v>
      </c>
      <c r="I27" s="27"/>
      <c r="J27">
        <f>J26/K21</f>
        <v>20.19230769230769</v>
      </c>
    </row>
    <row r="28" spans="1:24" x14ac:dyDescent="0.55000000000000004">
      <c r="A28" s="28" t="s">
        <v>96</v>
      </c>
      <c r="B28">
        <f t="shared" ref="B28:B39" si="10">D28*$L$37/10000</f>
        <v>8.5</v>
      </c>
      <c r="C28">
        <v>8.1</v>
      </c>
      <c r="D28">
        <v>25000</v>
      </c>
      <c r="E28" s="19">
        <f t="shared" ref="E28:E46" si="11">D28/$D$22</f>
        <v>74.404761904761898</v>
      </c>
      <c r="F28" s="19">
        <v>1246</v>
      </c>
      <c r="G28" s="19">
        <f>SQRT(580/F28)*E28</f>
        <v>50.763984975672976</v>
      </c>
      <c r="H28" s="24">
        <f t="shared" ref="H28:H46" si="12">G28*$D$22</f>
        <v>17056.698951826122</v>
      </c>
      <c r="I28" s="15"/>
      <c r="N28" t="s">
        <v>83</v>
      </c>
    </row>
    <row r="29" spans="1:24" x14ac:dyDescent="0.55000000000000004">
      <c r="A29" s="29" t="s">
        <v>108</v>
      </c>
      <c r="B29" s="30">
        <f t="shared" si="10"/>
        <v>8.5</v>
      </c>
      <c r="C29" s="30">
        <v>8.1999999999999993</v>
      </c>
      <c r="D29" s="30">
        <v>25000</v>
      </c>
      <c r="E29" s="33">
        <f t="shared" si="11"/>
        <v>74.404761904761898</v>
      </c>
      <c r="F29" s="33">
        <v>1244</v>
      </c>
      <c r="G29" s="33">
        <f t="shared" ref="G29:G31" si="13">SQRT(580/F29)*E29</f>
        <v>50.804775649169621</v>
      </c>
      <c r="H29" s="35">
        <f t="shared" si="12"/>
        <v>17070.404618120992</v>
      </c>
      <c r="I29" s="31"/>
      <c r="J29">
        <v>6100</v>
      </c>
      <c r="K29" t="s">
        <v>63</v>
      </c>
      <c r="L29">
        <v>2.2000000000000002</v>
      </c>
      <c r="M29" t="s">
        <v>58</v>
      </c>
      <c r="N29">
        <v>7.4</v>
      </c>
      <c r="O29" t="s">
        <v>65</v>
      </c>
    </row>
    <row r="30" spans="1:24" x14ac:dyDescent="0.55000000000000004">
      <c r="B30">
        <f t="shared" si="10"/>
        <v>8.16</v>
      </c>
      <c r="C30">
        <v>7.9</v>
      </c>
      <c r="D30">
        <v>24000</v>
      </c>
      <c r="E30" s="19">
        <f t="shared" si="11"/>
        <v>71.428571428571431</v>
      </c>
      <c r="F30" s="19">
        <v>1146</v>
      </c>
      <c r="G30" s="19">
        <f t="shared" si="13"/>
        <v>50.815201528118244</v>
      </c>
      <c r="H30" s="24">
        <f t="shared" si="12"/>
        <v>17073.90771344773</v>
      </c>
      <c r="J30">
        <v>35.299999999999997</v>
      </c>
      <c r="K30" t="s">
        <v>61</v>
      </c>
      <c r="L30">
        <v>54</v>
      </c>
      <c r="M30" t="s">
        <v>62</v>
      </c>
      <c r="N30">
        <v>183</v>
      </c>
      <c r="O30" t="s">
        <v>51</v>
      </c>
      <c r="P30" t="s">
        <v>67</v>
      </c>
    </row>
    <row r="31" spans="1:24" x14ac:dyDescent="0.55000000000000004">
      <c r="B31">
        <f t="shared" si="10"/>
        <v>8.16</v>
      </c>
      <c r="C31">
        <v>7.9</v>
      </c>
      <c r="D31">
        <v>24000</v>
      </c>
      <c r="E31" s="19">
        <f t="shared" si="11"/>
        <v>71.428571428571431</v>
      </c>
      <c r="F31" s="19">
        <v>1143</v>
      </c>
      <c r="G31" s="19">
        <f t="shared" si="13"/>
        <v>50.881844444005381</v>
      </c>
      <c r="H31" s="24">
        <f t="shared" si="12"/>
        <v>17096.29973318581</v>
      </c>
      <c r="I31" t="s">
        <v>66</v>
      </c>
      <c r="J31">
        <f>J29/J30/PI()</f>
        <v>55.005391096915673</v>
      </c>
      <c r="K31" t="s">
        <v>62</v>
      </c>
      <c r="N31">
        <v>182.7</v>
      </c>
      <c r="O31" t="s">
        <v>51</v>
      </c>
    </row>
    <row r="32" spans="1:24" x14ac:dyDescent="0.55000000000000004">
      <c r="B32">
        <f t="shared" si="10"/>
        <v>8.16</v>
      </c>
      <c r="C32">
        <v>7.9</v>
      </c>
      <c r="D32">
        <v>24000</v>
      </c>
      <c r="E32" s="19">
        <f t="shared" si="11"/>
        <v>71.428571428571431</v>
      </c>
      <c r="F32" s="19">
        <v>1145</v>
      </c>
      <c r="G32" s="19">
        <f t="shared" ref="G32:G39" si="14">SQRT(580/F32)*E32</f>
        <v>50.837386729580373</v>
      </c>
      <c r="H32" s="24">
        <f t="shared" si="12"/>
        <v>17081.361941139006</v>
      </c>
      <c r="J32">
        <f>18*3</f>
        <v>54</v>
      </c>
    </row>
    <row r="33" spans="1:26" x14ac:dyDescent="0.55000000000000004">
      <c r="A33" s="25"/>
      <c r="B33" s="26">
        <f t="shared" si="10"/>
        <v>6.8</v>
      </c>
      <c r="C33" s="26">
        <v>6.6</v>
      </c>
      <c r="D33" s="26">
        <v>20000</v>
      </c>
      <c r="E33" s="32">
        <f t="shared" si="11"/>
        <v>59.523809523809526</v>
      </c>
      <c r="F33" s="32">
        <v>812</v>
      </c>
      <c r="G33" s="32">
        <f t="shared" si="14"/>
        <v>50.306800876697416</v>
      </c>
      <c r="H33" s="34">
        <f t="shared" si="12"/>
        <v>16903.085094570331</v>
      </c>
      <c r="I33" s="27"/>
      <c r="K33" t="s">
        <v>63</v>
      </c>
    </row>
    <row r="34" spans="1:26" x14ac:dyDescent="0.55000000000000004">
      <c r="A34" s="28"/>
      <c r="B34">
        <f t="shared" si="10"/>
        <v>6.8</v>
      </c>
      <c r="C34">
        <v>6.6</v>
      </c>
      <c r="D34">
        <v>20000</v>
      </c>
      <c r="E34" s="19">
        <f t="shared" si="11"/>
        <v>59.523809523809526</v>
      </c>
      <c r="F34" s="19">
        <v>814.3</v>
      </c>
      <c r="G34" s="19">
        <f t="shared" si="14"/>
        <v>50.235704560477778</v>
      </c>
      <c r="H34" s="24">
        <f t="shared" si="12"/>
        <v>16879.196732320532</v>
      </c>
      <c r="I34" s="15"/>
      <c r="J34">
        <v>5.25</v>
      </c>
      <c r="K34" t="s">
        <v>64</v>
      </c>
    </row>
    <row r="35" spans="1:26" x14ac:dyDescent="0.55000000000000004">
      <c r="A35" s="28"/>
      <c r="B35">
        <f t="shared" si="10"/>
        <v>6.8</v>
      </c>
      <c r="C35">
        <v>6.6</v>
      </c>
      <c r="D35">
        <v>20000</v>
      </c>
      <c r="E35" s="19">
        <f t="shared" si="11"/>
        <v>59.523809523809526</v>
      </c>
      <c r="F35" s="19">
        <v>815.4</v>
      </c>
      <c r="G35" s="19">
        <f t="shared" si="14"/>
        <v>50.201808359705979</v>
      </c>
      <c r="H35" s="24">
        <f t="shared" si="12"/>
        <v>16867.807608861207</v>
      </c>
      <c r="I35" s="15"/>
      <c r="J35">
        <f>J34/K21</f>
        <v>20.19230769230769</v>
      </c>
      <c r="V35" t="s">
        <v>62</v>
      </c>
      <c r="W35">
        <v>18</v>
      </c>
      <c r="X35">
        <v>55</v>
      </c>
      <c r="Y35">
        <v>90</v>
      </c>
    </row>
    <row r="36" spans="1:26" x14ac:dyDescent="0.55000000000000004">
      <c r="A36" s="29"/>
      <c r="B36" s="30">
        <f t="shared" si="10"/>
        <v>6.8</v>
      </c>
      <c r="C36" s="30">
        <v>6.6</v>
      </c>
      <c r="D36" s="30">
        <v>20000</v>
      </c>
      <c r="E36" s="33">
        <f t="shared" si="11"/>
        <v>59.523809523809526</v>
      </c>
      <c r="F36" s="33">
        <v>812.2</v>
      </c>
      <c r="G36" s="33">
        <f t="shared" si="14"/>
        <v>50.300606602109298</v>
      </c>
      <c r="H36" s="35">
        <f t="shared" si="12"/>
        <v>16901.003818308724</v>
      </c>
      <c r="I36" s="31" t="s">
        <v>97</v>
      </c>
      <c r="N36" t="s">
        <v>84</v>
      </c>
      <c r="V36" t="s">
        <v>70</v>
      </c>
      <c r="W36">
        <v>0.6</v>
      </c>
      <c r="X36">
        <v>2.2000000000000002</v>
      </c>
      <c r="Y36">
        <v>3.4</v>
      </c>
    </row>
    <row r="37" spans="1:26" x14ac:dyDescent="0.55000000000000004">
      <c r="B37">
        <f t="shared" si="10"/>
        <v>6.069</v>
      </c>
      <c r="C37">
        <v>5.8</v>
      </c>
      <c r="D37">
        <v>17850</v>
      </c>
      <c r="E37" s="19">
        <f t="shared" si="11"/>
        <v>53.125</v>
      </c>
      <c r="F37" s="19">
        <v>654.79999999999995</v>
      </c>
      <c r="G37" s="19">
        <f t="shared" si="14"/>
        <v>49.998687559134183</v>
      </c>
      <c r="H37" s="24">
        <f t="shared" si="12"/>
        <v>16799.559019869084</v>
      </c>
      <c r="J37">
        <v>10000</v>
      </c>
      <c r="K37" t="s">
        <v>63</v>
      </c>
      <c r="L37">
        <v>3.4</v>
      </c>
      <c r="M37" t="s">
        <v>58</v>
      </c>
      <c r="N37">
        <v>15.4</v>
      </c>
      <c r="O37" t="s">
        <v>65</v>
      </c>
      <c r="V37" t="s">
        <v>71</v>
      </c>
      <c r="W37">
        <v>20</v>
      </c>
      <c r="X37">
        <v>183</v>
      </c>
      <c r="Y37">
        <v>444</v>
      </c>
    </row>
    <row r="38" spans="1:26" x14ac:dyDescent="0.55000000000000004">
      <c r="B38">
        <f t="shared" si="10"/>
        <v>6.069</v>
      </c>
      <c r="C38">
        <v>5.8</v>
      </c>
      <c r="D38">
        <v>17850</v>
      </c>
      <c r="E38" s="19">
        <f t="shared" si="11"/>
        <v>53.125</v>
      </c>
      <c r="F38" s="19">
        <v>654.5</v>
      </c>
      <c r="G38" s="19">
        <f t="shared" si="14"/>
        <v>50.010145074670703</v>
      </c>
      <c r="H38" s="24">
        <f t="shared" si="12"/>
        <v>16803.408745089357</v>
      </c>
      <c r="J38">
        <v>35.299999999999997</v>
      </c>
      <c r="K38" t="s">
        <v>61</v>
      </c>
      <c r="M38" t="s">
        <v>62</v>
      </c>
      <c r="N38">
        <v>444.2</v>
      </c>
      <c r="O38" t="s">
        <v>51</v>
      </c>
      <c r="P38" t="s">
        <v>69</v>
      </c>
    </row>
    <row r="39" spans="1:26" x14ac:dyDescent="0.55000000000000004">
      <c r="B39">
        <f t="shared" si="10"/>
        <v>6.069</v>
      </c>
      <c r="C39">
        <v>5.7</v>
      </c>
      <c r="D39">
        <v>17850</v>
      </c>
      <c r="E39" s="19">
        <f t="shared" si="11"/>
        <v>53.125</v>
      </c>
      <c r="F39" s="19">
        <v>655.8</v>
      </c>
      <c r="G39" s="19">
        <f t="shared" si="14"/>
        <v>49.960552638202557</v>
      </c>
      <c r="H39" s="24">
        <f t="shared" si="12"/>
        <v>16786.745686436057</v>
      </c>
      <c r="I39" t="s">
        <v>66</v>
      </c>
      <c r="J39">
        <f>J37/J38/PI()</f>
        <v>90.172772290025691</v>
      </c>
      <c r="K39" t="s">
        <v>62</v>
      </c>
      <c r="N39">
        <v>443.5</v>
      </c>
      <c r="O39" t="s">
        <v>51</v>
      </c>
      <c r="V39" t="s">
        <v>74</v>
      </c>
      <c r="W39">
        <v>64</v>
      </c>
    </row>
    <row r="40" spans="1:26" x14ac:dyDescent="0.55000000000000004">
      <c r="A40" s="25"/>
      <c r="B40" s="26">
        <f t="shared" ref="B40:B46" si="15">D40*$L$37/10000</f>
        <v>5.8262400000000003</v>
      </c>
      <c r="C40" s="26">
        <v>5.7</v>
      </c>
      <c r="D40" s="26">
        <v>17136</v>
      </c>
      <c r="E40" s="32">
        <f t="shared" si="11"/>
        <v>51</v>
      </c>
      <c r="F40" s="32">
        <v>600.29999999999995</v>
      </c>
      <c r="G40" s="32">
        <f t="shared" ref="G40:G46" si="16">SQRT(580/F40)*E40</f>
        <v>50.130265092665027</v>
      </c>
      <c r="H40" s="34">
        <f t="shared" si="12"/>
        <v>16843.769071135448</v>
      </c>
      <c r="I40" s="27"/>
      <c r="J40">
        <f>18*5</f>
        <v>90</v>
      </c>
      <c r="V40" t="s">
        <v>72</v>
      </c>
      <c r="W40">
        <v>6.2</v>
      </c>
    </row>
    <row r="41" spans="1:26" x14ac:dyDescent="0.55000000000000004">
      <c r="A41" s="28"/>
      <c r="B41">
        <f t="shared" si="15"/>
        <v>5.8262400000000003</v>
      </c>
      <c r="C41">
        <v>5.7</v>
      </c>
      <c r="D41">
        <v>17136</v>
      </c>
      <c r="E41" s="19">
        <f t="shared" si="11"/>
        <v>51</v>
      </c>
      <c r="F41" s="19">
        <v>600.20000000000005</v>
      </c>
      <c r="G41" s="19">
        <f t="shared" si="16"/>
        <v>50.134441048779784</v>
      </c>
      <c r="H41" s="24">
        <f t="shared" si="12"/>
        <v>16845.172192390008</v>
      </c>
      <c r="I41" s="15"/>
      <c r="K41" t="s">
        <v>63</v>
      </c>
      <c r="V41" t="s">
        <v>73</v>
      </c>
      <c r="W41">
        <v>600</v>
      </c>
    </row>
    <row r="42" spans="1:26" x14ac:dyDescent="0.55000000000000004">
      <c r="A42" s="29"/>
      <c r="B42" s="30">
        <f t="shared" si="15"/>
        <v>5.8262400000000003</v>
      </c>
      <c r="C42" s="30">
        <v>5.7</v>
      </c>
      <c r="D42" s="30">
        <v>17136</v>
      </c>
      <c r="E42" s="33">
        <f t="shared" si="11"/>
        <v>51</v>
      </c>
      <c r="F42" s="33">
        <v>601.6</v>
      </c>
      <c r="G42" s="33">
        <f t="shared" si="16"/>
        <v>50.076072448974003</v>
      </c>
      <c r="H42" s="35">
        <f t="shared" si="12"/>
        <v>16825.560342855264</v>
      </c>
      <c r="I42" s="31"/>
      <c r="J42">
        <v>5.25</v>
      </c>
      <c r="K42" t="s">
        <v>64</v>
      </c>
    </row>
    <row r="43" spans="1:26" x14ac:dyDescent="0.55000000000000004">
      <c r="B43">
        <f t="shared" ref="B43:B45" si="17">D43*$L$37/10000</f>
        <v>5.7119999999999997</v>
      </c>
      <c r="C43">
        <v>5.4</v>
      </c>
      <c r="D43">
        <v>16800</v>
      </c>
      <c r="E43" s="19">
        <f t="shared" si="11"/>
        <v>50</v>
      </c>
      <c r="F43" s="19">
        <v>578.4</v>
      </c>
      <c r="G43" s="19">
        <f t="shared" ref="G43:G45" si="18">SQRT(580/F43)*E43</f>
        <v>50.069108533328901</v>
      </c>
      <c r="H43" s="24">
        <f t="shared" si="12"/>
        <v>16823.220467198509</v>
      </c>
      <c r="J43" t="e">
        <f>J42/K29</f>
        <v>#VALUE!</v>
      </c>
      <c r="V43" t="s">
        <v>74</v>
      </c>
      <c r="W43">
        <v>72</v>
      </c>
    </row>
    <row r="44" spans="1:26" x14ac:dyDescent="0.55000000000000004">
      <c r="B44">
        <f t="shared" si="17"/>
        <v>5.7119999999999997</v>
      </c>
      <c r="C44">
        <v>5.6</v>
      </c>
      <c r="D44">
        <v>16800</v>
      </c>
      <c r="E44" s="19">
        <f t="shared" si="11"/>
        <v>50</v>
      </c>
      <c r="F44" s="19">
        <v>579.79999999999995</v>
      </c>
      <c r="G44" s="19">
        <f t="shared" si="18"/>
        <v>50.008622919784727</v>
      </c>
      <c r="H44" s="24">
        <f t="shared" si="12"/>
        <v>16802.897301047669</v>
      </c>
      <c r="V44" t="s">
        <v>76</v>
      </c>
      <c r="W44">
        <v>4.8</v>
      </c>
    </row>
    <row r="45" spans="1:26" x14ac:dyDescent="0.55000000000000004">
      <c r="B45">
        <f t="shared" si="17"/>
        <v>5.7119999999999997</v>
      </c>
      <c r="C45">
        <v>5.6</v>
      </c>
      <c r="D45">
        <v>16800</v>
      </c>
      <c r="E45" s="19">
        <f t="shared" si="11"/>
        <v>50</v>
      </c>
      <c r="F45" s="19">
        <v>578.70000000000005</v>
      </c>
      <c r="G45" s="19">
        <f t="shared" si="18"/>
        <v>50.056128854942727</v>
      </c>
      <c r="H45" s="24">
        <f t="shared" si="12"/>
        <v>16818.859295260758</v>
      </c>
      <c r="V45" t="s">
        <v>77</v>
      </c>
      <c r="W45">
        <v>590</v>
      </c>
    </row>
    <row r="46" spans="1:26" x14ac:dyDescent="0.55000000000000004">
      <c r="B46">
        <f t="shared" si="15"/>
        <v>0</v>
      </c>
      <c r="E46">
        <f t="shared" si="11"/>
        <v>0</v>
      </c>
      <c r="F46" s="19"/>
      <c r="G46" t="e">
        <f t="shared" si="16"/>
        <v>#DIV/0!</v>
      </c>
      <c r="H46" t="e">
        <f t="shared" si="12"/>
        <v>#DIV/0!</v>
      </c>
    </row>
    <row r="47" spans="1:26" x14ac:dyDescent="0.55000000000000004">
      <c r="E47" t="s">
        <v>98</v>
      </c>
      <c r="F47">
        <v>580</v>
      </c>
      <c r="V47" t="s">
        <v>104</v>
      </c>
      <c r="W47">
        <v>59</v>
      </c>
      <c r="X47">
        <v>53</v>
      </c>
      <c r="Y47">
        <v>51</v>
      </c>
      <c r="Z47">
        <v>50</v>
      </c>
    </row>
    <row r="48" spans="1:26" x14ac:dyDescent="0.55000000000000004">
      <c r="V48" t="s">
        <v>105</v>
      </c>
      <c r="W48">
        <v>6.6</v>
      </c>
      <c r="X48">
        <v>5.8</v>
      </c>
      <c r="Y48">
        <v>5.7</v>
      </c>
      <c r="Z48">
        <v>5.5</v>
      </c>
    </row>
    <row r="49" spans="22:26" x14ac:dyDescent="0.55000000000000004">
      <c r="V49" t="s">
        <v>106</v>
      </c>
      <c r="W49">
        <v>813</v>
      </c>
      <c r="X49">
        <v>655</v>
      </c>
      <c r="Y49">
        <v>600</v>
      </c>
      <c r="Z49">
        <v>579</v>
      </c>
    </row>
    <row r="57" spans="22:26" x14ac:dyDescent="0.55000000000000004">
      <c r="V57" t="s">
        <v>104</v>
      </c>
      <c r="W57">
        <v>0</v>
      </c>
      <c r="X57">
        <v>120</v>
      </c>
    </row>
    <row r="58" spans="22:26" x14ac:dyDescent="0.55000000000000004">
      <c r="V58" t="s">
        <v>107</v>
      </c>
      <c r="W58">
        <v>580</v>
      </c>
      <c r="X58">
        <v>580</v>
      </c>
    </row>
    <row r="65" spans="3:5" x14ac:dyDescent="0.55000000000000004">
      <c r="C65" t="s">
        <v>102</v>
      </c>
      <c r="D65" t="s">
        <v>100</v>
      </c>
      <c r="E65" t="s">
        <v>103</v>
      </c>
    </row>
    <row r="68" spans="3:5" x14ac:dyDescent="0.55000000000000004">
      <c r="C68" t="s">
        <v>99</v>
      </c>
      <c r="D68" t="s">
        <v>100</v>
      </c>
      <c r="E68" t="s">
        <v>101</v>
      </c>
    </row>
  </sheetData>
  <dataConsolidate/>
  <phoneticPr fontId="2"/>
  <pageMargins left="0.7" right="0.7" top="0.75" bottom="0.75" header="0.3" footer="0.3"/>
  <pageSetup paperSize="9" scale="9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Tag</vt:lpstr>
      <vt:lpstr>コイル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四宮尚士</dc:creator>
  <cp:lastModifiedBy>四宮尚士</cp:lastModifiedBy>
  <cp:lastPrinted>2023-08-24T02:13:19Z</cp:lastPrinted>
  <dcterms:created xsi:type="dcterms:W3CDTF">2023-08-17T13:43:00Z</dcterms:created>
  <dcterms:modified xsi:type="dcterms:W3CDTF">2023-08-25T03:35:31Z</dcterms:modified>
</cp:coreProperties>
</file>