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 tabRatio="795" firstSheet="15" activeTab="48"/>
  </bookViews>
  <sheets>
    <sheet name="北京" sheetId="2" r:id="rId1"/>
    <sheet name="香港" sheetId="11" r:id="rId2"/>
    <sheet name="天津" sheetId="13" r:id="rId3"/>
    <sheet name="上海" sheetId="3" r:id="rId4"/>
    <sheet name="台北" sheetId="21" r:id="rId5"/>
    <sheet name="广州" sheetId="1" r:id="rId6"/>
    <sheet name="长春" sheetId="22" r:id="rId7"/>
    <sheet name="大连" sheetId="23" r:id="rId8"/>
    <sheet name="武汉" sheetId="8" r:id="rId9"/>
    <sheet name="深圳" sheetId="5" r:id="rId10"/>
    <sheet name="重庆" sheetId="7" r:id="rId11"/>
    <sheet name="南京" sheetId="9" r:id="rId12"/>
    <sheet name="高雄" sheetId="42" r:id="rId13"/>
    <sheet name="成都" sheetId="6" r:id="rId14"/>
    <sheet name="沈阳" sheetId="18" r:id="rId15"/>
    <sheet name="西安" sheetId="4" r:id="rId16"/>
    <sheet name="苏州" sheetId="14" r:id="rId17"/>
    <sheet name="昆明" sheetId="24" r:id="rId18"/>
    <sheet name="杭州" sheetId="10" r:id="rId19"/>
    <sheet name="哈尔滨" sheetId="25" r:id="rId20"/>
    <sheet name="郑州" sheetId="16" r:id="rId21"/>
    <sheet name="长沙" sheetId="12" r:id="rId22"/>
    <sheet name="宁波" sheetId="17" r:id="rId23"/>
    <sheet name="无锡" sheetId="26" r:id="rId24"/>
    <sheet name="青岛" sheetId="27" r:id="rId25"/>
    <sheet name="南昌" sheetId="19" r:id="rId26"/>
    <sheet name="福州" sheetId="28" r:id="rId27"/>
    <sheet name="东莞" sheetId="31" r:id="rId28"/>
    <sheet name="南宁" sheetId="15" r:id="rId29"/>
    <sheet name="合肥" sheetId="20" r:id="rId30"/>
    <sheet name="石家庄" sheetId="30" r:id="rId31"/>
    <sheet name="桃园" sheetId="41" r:id="rId32"/>
    <sheet name="贵阳" sheetId="32" r:id="rId33"/>
    <sheet name="厦门" sheetId="29" r:id="rId34"/>
    <sheet name="乌鲁木齐" sheetId="33" r:id="rId35"/>
    <sheet name="温州" sheetId="34" r:id="rId36"/>
    <sheet name="济南" sheetId="35" r:id="rId37"/>
    <sheet name="兰州" sheetId="37" r:id="rId38"/>
    <sheet name="常州" sheetId="39" r:id="rId39"/>
    <sheet name="徐州" sheetId="36" r:id="rId40"/>
    <sheet name="澳门" sheetId="40" r:id="rId41"/>
    <sheet name="呼和浩特" sheetId="38" r:id="rId42"/>
    <sheet name="太原" sheetId="45" r:id="rId43"/>
    <sheet name="洛阳" sheetId="46" r:id="rId44"/>
    <sheet name="台中" sheetId="44" r:id="rId45"/>
    <sheet name="嘉兴" sheetId="47" r:id="rId46"/>
    <sheet name="绍兴" sheetId="48" r:id="rId47"/>
    <sheet name="芜湖" sheetId="49" r:id="rId48"/>
    <sheet name="佛山" sheetId="43" r:id="rId49"/>
    <sheet name="金华" sheetId="50" r:id="rId50"/>
    <sheet name="南通" sheetId="51" r:id="rId51"/>
    <sheet name="台州" sheetId="52" r:id="rId52"/>
    <sheet name="滁州" sheetId="53" r:id="rId5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SST</author>
  </authors>
  <commentList>
    <comment ref="B14" authorId="0">
      <text>
        <r>
          <rPr>
            <b/>
            <sz val="9"/>
            <rFont val="宋体"/>
            <charset val="134"/>
          </rPr>
          <t>SST:</t>
        </r>
        <r>
          <rPr>
            <sz val="9"/>
            <rFont val="宋体"/>
            <charset val="134"/>
          </rPr>
          <t xml:space="preserve">
自己根据data的错误纠正的</t>
        </r>
      </text>
    </comment>
  </commentList>
</comments>
</file>

<file path=xl/comments2.xml><?xml version="1.0" encoding="utf-8"?>
<comments xmlns="http://schemas.openxmlformats.org/spreadsheetml/2006/main">
  <authors>
    <author>SST</author>
  </authors>
  <commentList>
    <comment ref="C9" authorId="0">
      <text>
        <r>
          <rPr>
            <b/>
            <sz val="9"/>
            <rFont val="宋体"/>
            <charset val="134"/>
          </rPr>
          <t>SST:</t>
        </r>
        <r>
          <rPr>
            <sz val="9"/>
            <rFont val="宋体"/>
            <charset val="134"/>
          </rPr>
          <t xml:space="preserve">
2020-12-18前所有里程参考https://www.bilibili.com/video/av372840154</t>
        </r>
      </text>
    </comment>
  </commentList>
</comments>
</file>

<file path=xl/sharedStrings.xml><?xml version="1.0" encoding="utf-8"?>
<sst xmlns="http://schemas.openxmlformats.org/spreadsheetml/2006/main" count="1575" uniqueCount="789">
  <si>
    <t>时间</t>
  </si>
  <si>
    <t>MetroData里程</t>
  </si>
  <si>
    <t>里程(km)</t>
  </si>
  <si>
    <t>车站数</t>
  </si>
  <si>
    <t>线路条数</t>
  </si>
  <si>
    <t>开通线路</t>
  </si>
  <si>
    <t>备注1</t>
  </si>
  <si>
    <t>备注2</t>
  </si>
  <si>
    <t>备注3</t>
  </si>
  <si>
    <t>1971年</t>
  </si>
  <si>
    <t>——</t>
  </si>
  <si>
    <t>1972年</t>
  </si>
  <si>
    <t>1973年</t>
  </si>
  <si>
    <t>1974年</t>
  </si>
  <si>
    <t>1975年</t>
  </si>
  <si>
    <t>1976年</t>
  </si>
  <si>
    <t>1977年</t>
  </si>
  <si>
    <t>1978年</t>
  </si>
  <si>
    <t>1979年</t>
  </si>
  <si>
    <t>1980年</t>
  </si>
  <si>
    <t>1981年</t>
  </si>
  <si>
    <t>1982年</t>
  </si>
  <si>
    <t>1983年</t>
  </si>
  <si>
    <t>1984年</t>
  </si>
  <si>
    <t>1985年</t>
  </si>
  <si>
    <t>1986年</t>
  </si>
  <si>
    <t>1987年</t>
  </si>
  <si>
    <t>1988年</t>
  </si>
  <si>
    <t>1989年</t>
  </si>
  <si>
    <t>1990年</t>
  </si>
  <si>
    <t>1991年</t>
  </si>
  <si>
    <t>1992年</t>
  </si>
  <si>
    <t>1993年</t>
  </si>
  <si>
    <t>1994年</t>
  </si>
  <si>
    <t>1995年</t>
  </si>
  <si>
    <t>1996年</t>
  </si>
  <si>
    <t>1997年</t>
  </si>
  <si>
    <t>1998年</t>
  </si>
  <si>
    <t>1999年</t>
  </si>
  <si>
    <t>2000年</t>
  </si>
  <si>
    <t>2001年</t>
  </si>
  <si>
    <t>2002年</t>
  </si>
  <si>
    <t>2003年</t>
  </si>
  <si>
    <t>2004年</t>
  </si>
  <si>
    <t>2005年</t>
  </si>
  <si>
    <t>2006年</t>
  </si>
  <si>
    <t>2007年</t>
  </si>
  <si>
    <t>2008年</t>
  </si>
  <si>
    <t>2009年</t>
  </si>
  <si>
    <t>2010年</t>
  </si>
  <si>
    <t>2011年</t>
  </si>
  <si>
    <t>2012年</t>
  </si>
  <si>
    <t>2013年</t>
  </si>
  <si>
    <t>2014年</t>
  </si>
  <si>
    <t>2015年</t>
  </si>
  <si>
    <t>2016年</t>
  </si>
  <si>
    <t>2017年</t>
  </si>
  <si>
    <t>2018年</t>
  </si>
  <si>
    <t>2019年</t>
  </si>
  <si>
    <t>2020年</t>
  </si>
  <si>
    <t>2021年</t>
  </si>
  <si>
    <t>2022年</t>
  </si>
  <si>
    <t>2023年</t>
  </si>
  <si>
    <t>2024年</t>
  </si>
  <si>
    <t>1条</t>
  </si>
  <si>
    <t>1、2公主坟-北京站(除复兴门)</t>
  </si>
  <si>
    <t>接待群众参观（半开放）日期</t>
  </si>
  <si>
    <t>1公主坟-玉泉路</t>
  </si>
  <si>
    <t>1玉泉路-古城</t>
  </si>
  <si>
    <t>1古城-苹果园</t>
  </si>
  <si>
    <t>1981年正式对外开放</t>
  </si>
  <si>
    <t>2条</t>
  </si>
  <si>
    <t>2建国门-复兴门</t>
  </si>
  <si>
    <t>2号线出现</t>
  </si>
  <si>
    <t>复兴门折返线开通</t>
  </si>
  <si>
    <t>2复兴门-北京站</t>
  </si>
  <si>
    <t>2号线变环线</t>
  </si>
  <si>
    <t>两条线正式分开独立运行</t>
  </si>
  <si>
    <t>复兴门-西单</t>
  </si>
  <si>
    <t>3条</t>
  </si>
  <si>
    <t>复八线西单-四惠东</t>
  </si>
  <si>
    <t>西单停运</t>
  </si>
  <si>
    <t>西单重新开放</t>
  </si>
  <si>
    <t>复八线与一线贯通</t>
  </si>
  <si>
    <t>13西直门至霍营20.62km</t>
  </si>
  <si>
    <t>13全线</t>
  </si>
  <si>
    <t>4条</t>
  </si>
  <si>
    <t>八通线四惠-土桥</t>
  </si>
  <si>
    <t>5条</t>
  </si>
  <si>
    <t>5全线</t>
  </si>
  <si>
    <t>8条</t>
  </si>
  <si>
    <t>10巴沟-劲松、8北土城-森林公园南门、首都机场线</t>
  </si>
  <si>
    <t>8奥体中心</t>
  </si>
  <si>
    <t>8+1条</t>
  </si>
  <si>
    <t>4安河桥北-公益西桥</t>
  </si>
  <si>
    <t>12+1条</t>
  </si>
  <si>
    <t>15望京西-后沙峪、昌平南邵-西二旗、大兴、房山（大葆台-苏庄）、亦庄</t>
  </si>
  <si>
    <t>大兴线出现，并且并入4号线；房山线脱网</t>
  </si>
  <si>
    <t>13+1条</t>
  </si>
  <si>
    <t>8森林公园南门-回龙观东大街、9郭公庄-北京西、15后沙峪-俸伯、房山大葆台-郭公庄</t>
  </si>
  <si>
    <t>9号线丰台东大街站</t>
  </si>
  <si>
    <t>14+1条</t>
  </si>
  <si>
    <t>6海淀五路居-草房、8北土城-鼓楼大街（除安德里北街）、9除军事博物馆、10巴沟-西局、首经贸-劲松、角门东站除外</t>
  </si>
  <si>
    <t>14+2条</t>
  </si>
  <si>
    <t>10成环+角门东、14西</t>
  </si>
  <si>
    <t>9军事博物馆</t>
  </si>
  <si>
    <t>8鼓楼大街-南锣鼓巷、回龙观东大街-朱辛庄</t>
  </si>
  <si>
    <t>14七里庄</t>
  </si>
  <si>
    <t>15+2条</t>
  </si>
  <si>
    <t>6草房-潞城（除通运门、北运河东）、7北京西-焦化厂（除双井、垡头）、14（金台路-善各庄，除朝阳公园、高家园）、15清华东路西口-望京西</t>
  </si>
  <si>
    <t>8安德里北街、14北京南站-金台路（陶然桥站暂缓开通）、15大屯路东、昌平南邵-昌平西山口</t>
  </si>
  <si>
    <t>15+3条</t>
  </si>
  <si>
    <t>15望京东站、14朝阳公园、16除农大南路</t>
  </si>
  <si>
    <t>16+3+1条</t>
  </si>
  <si>
    <t>14平乐园、16农大南路、S1线、地铁燕房线、房山阎村东-苏庄</t>
  </si>
  <si>
    <t>6号线西延除苹果园+北运河东、7垡头、8珠市口-五福堂+中国美术馆、亦庄火车站</t>
  </si>
  <si>
    <t>16+3+2条</t>
  </si>
  <si>
    <t>大兴机场</t>
  </si>
  <si>
    <t>7东+双井、八通线南延（两条线环球度假区站均暂缓开通）</t>
  </si>
  <si>
    <t>13清河站</t>
  </si>
  <si>
    <t>房山北延、16中段</t>
  </si>
  <si>
    <t>八通/7环球度假区</t>
  </si>
  <si>
    <t>15+3+2条</t>
  </si>
  <si>
    <t>1-八通贯通</t>
  </si>
  <si>
    <t>16+4+3条</t>
  </si>
  <si>
    <t>11、17、19新宫-牡丹园（除北太平庄、平安里、太平桥、景风门）</t>
  </si>
  <si>
    <t>19北太平庄、平安里、太平桥、景风门</t>
  </si>
  <si>
    <t>16南</t>
  </si>
  <si>
    <t>昌平清河-西土城(除朱房北)</t>
  </si>
  <si>
    <t>16二里沟</t>
  </si>
  <si>
    <t>11模式口-金安桥、16榆树庄-宛平城、17未来科学城北-工人体育场</t>
  </si>
  <si>
    <t>18+4+3条</t>
  </si>
  <si>
    <t>3、12、昌平南延+朱房北</t>
  </si>
  <si>
    <t>含九广铁路的地铁里程</t>
  </si>
  <si>
    <t>MTR地铁里程(km)</t>
  </si>
  <si>
    <t>备注</t>
  </si>
  <si>
    <t>东铁线</t>
  </si>
  <si>
    <t>观塘线</t>
  </si>
  <si>
    <t>荃湾线</t>
  </si>
  <si>
    <t>港岛线</t>
  </si>
  <si>
    <t>东涌线</t>
  </si>
  <si>
    <t>机场快线</t>
  </si>
  <si>
    <t>将军澳线</t>
  </si>
  <si>
    <t>屯马线</t>
  </si>
  <si>
    <t>迪士尼线</t>
  </si>
  <si>
    <t>南港岛线</t>
  </si>
  <si>
    <t>东铁九龙-罗湖</t>
  </si>
  <si>
    <t>东铁线暂时属于九广公司</t>
  </si>
  <si>
    <t>东铁红磡-罗湖</t>
  </si>
  <si>
    <t>1+1条</t>
  </si>
  <si>
    <t>观塘线观塘-石硖尾</t>
  </si>
  <si>
    <t>观塘线石硖尾-尖沙咀</t>
  </si>
  <si>
    <t>旺角、油麻地未开通</t>
  </si>
  <si>
    <t>油麻地</t>
  </si>
  <si>
    <t>旺角</t>
  </si>
  <si>
    <t>观塘线尖沙咀-中环</t>
  </si>
  <si>
    <t>2+1条</t>
  </si>
  <si>
    <t>荃湾线荃湾-太子</t>
  </si>
  <si>
    <t>荃湾线太子-油麻地</t>
  </si>
  <si>
    <t>油麻地-中环区间由观塘线交给荃湾线</t>
  </si>
  <si>
    <t>3+1条</t>
  </si>
  <si>
    <t>港岛线金钟-柴湾</t>
  </si>
  <si>
    <t>1983/7/15东铁线电气化运营</t>
  </si>
  <si>
    <t>港岛线上环-金钟</t>
  </si>
  <si>
    <t>观塘线观塘-鲗鱼涌</t>
  </si>
  <si>
    <t>4+1条</t>
  </si>
  <si>
    <t>东涌线香港-东涌</t>
  </si>
  <si>
    <t>5+1条</t>
  </si>
  <si>
    <t>机场线机场-香港</t>
  </si>
  <si>
    <t>观塘线北角-鲗鱼涌</t>
  </si>
  <si>
    <t>6+1条</t>
  </si>
  <si>
    <t>观塘线观塘-油塘、北角-油塘拆分给将军澳线</t>
  </si>
  <si>
    <t>观塘线油塘-调景岭、将军澳线油塘-宝琳</t>
  </si>
  <si>
    <t>6+2条</t>
  </si>
  <si>
    <t>西铁线屯门-南昌</t>
  </si>
  <si>
    <t>西铁线暂时属于九广公司</t>
  </si>
  <si>
    <t>7+2条</t>
  </si>
  <si>
    <t>马鞍山线大围-乌溪沙</t>
  </si>
  <si>
    <t>8+2条</t>
  </si>
  <si>
    <t>机场线博览馆-机场</t>
  </si>
  <si>
    <t>东铁线落马洲-上水</t>
  </si>
  <si>
    <t>10条</t>
  </si>
  <si>
    <t>两铁合并</t>
  </si>
  <si>
    <t>将军澳线将军澳-康城</t>
  </si>
  <si>
    <t>西铁线南昌-红磡</t>
  </si>
  <si>
    <t>港岛线坚尼地城-上环</t>
  </si>
  <si>
    <t>观塘线油麻地-黄埔</t>
  </si>
  <si>
    <t>11条</t>
  </si>
  <si>
    <t>南港岛线金钟-海怡半岛</t>
  </si>
  <si>
    <t>轻铁不列入MTR地铁里程</t>
  </si>
  <si>
    <t>马鞍山线大围-启德</t>
  </si>
  <si>
    <t>屯马线启德-红磡</t>
  </si>
  <si>
    <t>西铁线与马鞍山线贯通</t>
  </si>
  <si>
    <t>东铁线12A最后一天，之后只有9A</t>
  </si>
  <si>
    <t>东铁线红磡-金钟</t>
  </si>
  <si>
    <t>1号线</t>
  </si>
  <si>
    <t>2号线</t>
  </si>
  <si>
    <t>3号线</t>
  </si>
  <si>
    <t>4号线</t>
  </si>
  <si>
    <t>5号线</t>
  </si>
  <si>
    <t>6号线</t>
  </si>
  <si>
    <t>6二期</t>
  </si>
  <si>
    <t>9号线</t>
  </si>
  <si>
    <t>10号线</t>
  </si>
  <si>
    <t>11号线</t>
  </si>
  <si>
    <t>津静线</t>
  </si>
  <si>
    <t>西南角-新华路</t>
  </si>
  <si>
    <t>地铁开始载客运营</t>
  </si>
  <si>
    <t>西站-西南角</t>
  </si>
  <si>
    <t>地铁正式运营首日</t>
  </si>
  <si>
    <t>线路停运，新华路永久封闭</t>
  </si>
  <si>
    <t>开始改造</t>
  </si>
  <si>
    <t>不包括9号线的里程如下</t>
  </si>
  <si>
    <t>不包括9号线的车站数如下</t>
  </si>
  <si>
    <t>9中山门-东海路</t>
  </si>
  <si>
    <t>2004-4-1正式开通运营</t>
  </si>
  <si>
    <t>1重新开通</t>
  </si>
  <si>
    <t>9中山门-十一经路</t>
  </si>
  <si>
    <t>猜测这之后9号线客流应该从3-4万提升至6-7万</t>
  </si>
  <si>
    <t>2东、西分开</t>
  </si>
  <si>
    <t>3首通</t>
  </si>
  <si>
    <t>9十一经路-天津站</t>
  </si>
  <si>
    <t>9号线结束脱网；之后客流均含9号线</t>
  </si>
  <si>
    <t>2联络</t>
  </si>
  <si>
    <t>里程以维基百科为准</t>
  </si>
  <si>
    <t>3二</t>
  </si>
  <si>
    <t>2东</t>
  </si>
  <si>
    <t>2015-12-16，9天津站-钢管公司恢复运营</t>
  </si>
  <si>
    <t>6试运营</t>
  </si>
  <si>
    <t>6一北</t>
  </si>
  <si>
    <t>6一南</t>
  </si>
  <si>
    <t>6条</t>
  </si>
  <si>
    <t>5丹河北道-中医一附院</t>
  </si>
  <si>
    <t>1东</t>
  </si>
  <si>
    <t>5北辰科技园北</t>
  </si>
  <si>
    <t>1高庄子-东沽路</t>
  </si>
  <si>
    <t>5中医一附院-李七庄南</t>
  </si>
  <si>
    <t>4东南角-新兴村、6梅林路-渌水道、6二期渌水道-咸水沽西</t>
  </si>
  <si>
    <t>阿牛统计为265km</t>
  </si>
  <si>
    <t>9条</t>
  </si>
  <si>
    <t>10于台-屿东城</t>
  </si>
  <si>
    <t>阿牛统计为286.18km</t>
  </si>
  <si>
    <t>1洪泥河</t>
  </si>
  <si>
    <t>11西段</t>
  </si>
  <si>
    <t>1锦江乐园-徐家汇</t>
  </si>
  <si>
    <t>除特殊说明，里程一律来自维基百科</t>
  </si>
  <si>
    <t>1徐家汇-上海火车站</t>
  </si>
  <si>
    <t>1莘庄-锦江乐园</t>
  </si>
  <si>
    <t>此时分段</t>
  </si>
  <si>
    <t>1贯通，不再分段</t>
  </si>
  <si>
    <t>2中山公园-龙阳路</t>
  </si>
  <si>
    <t>2000年8月，2号线增加了1元票价和优惠票价，使得2号线日均从之前的7.1万增长到超过15万</t>
  </si>
  <si>
    <t>2龙阳路-张江高科、3上海南站-江湾镇</t>
  </si>
  <si>
    <t>磁悬浮</t>
  </si>
  <si>
    <t>5莘庄-闵行开发区</t>
  </si>
  <si>
    <t>暂由巴士集团下的现代轨道交通股份有限公司运营</t>
  </si>
  <si>
    <t>1上海火车站-共富新村</t>
  </si>
  <si>
    <t>4蓝村路-大木桥路C型</t>
  </si>
  <si>
    <t>2005年12月25日起实现联网一票通，开始客流量的网络统计；2006年开始客流含5号线</t>
  </si>
  <si>
    <t>3江湾镇-江杨北路</t>
  </si>
  <si>
    <t>2淞虹路-中山公园</t>
  </si>
  <si>
    <t>4成环</t>
  </si>
  <si>
    <t>4号线里程来自百度百科</t>
  </si>
  <si>
    <t>1共富新村-富锦路、6港城路-灵岩南路、8市光路-耀华路（除中华艺术宫）、9松江新城-桂林路</t>
  </si>
  <si>
    <t>8号线取22公里；9号线取29公里http://sh.eastday.com/qtmt/20071227/u1a386975.html</t>
  </si>
  <si>
    <t>9桂林路-宜山路</t>
  </si>
  <si>
    <t>维基百科查得1.687公里</t>
  </si>
  <si>
    <t>8耀华路-沈杜公路（除东方体育中心）</t>
  </si>
  <si>
    <t>9+1条</t>
  </si>
  <si>
    <t>7上海大学-花木路（除后滩）</t>
  </si>
  <si>
    <t>10+1条</t>
  </si>
  <si>
    <t>9宜山路-世纪大道、11嘉定北-江苏路（除陈翔公路）</t>
  </si>
  <si>
    <t>9号线二期全长14.5公里</t>
  </si>
  <si>
    <t>2张江高科-广兰路</t>
  </si>
  <si>
    <t>原张江高科站停用；维基百科查得3.448公里</t>
  </si>
  <si>
    <t>2徐泾东-淞虹路（除虹桥火车站）</t>
  </si>
  <si>
    <t>维基百科查得8.452公里</t>
  </si>
  <si>
    <t>11嘉定新城-安亭（除昌吉东路）</t>
  </si>
  <si>
    <t>维基百科查得12.631公里</t>
  </si>
  <si>
    <t>9世纪大道-杨高中路</t>
  </si>
  <si>
    <t>维基百科查得2.435公里</t>
  </si>
  <si>
    <t>2广兰路-浦东国际机场</t>
  </si>
  <si>
    <t>维基百科查得23.907公里</t>
  </si>
  <si>
    <t>11+1条</t>
  </si>
  <si>
    <t>10新江湾城-航中路</t>
  </si>
  <si>
    <t>维基百科查得支线4.66公里，主线24.759公里</t>
  </si>
  <si>
    <r>
      <rPr>
        <sz val="11"/>
        <color theme="1"/>
        <rFont val="宋体"/>
        <charset val="134"/>
      </rPr>
      <t>11</t>
    </r>
    <r>
      <rPr>
        <b/>
        <sz val="11"/>
        <color theme="1"/>
        <rFont val="宋体"/>
        <charset val="134"/>
      </rPr>
      <t>+1</t>
    </r>
    <r>
      <rPr>
        <sz val="11"/>
        <color theme="1"/>
        <rFont val="宋体"/>
        <charset val="134"/>
      </rPr>
      <t>+1条</t>
    </r>
  </si>
  <si>
    <r>
      <rPr>
        <sz val="11"/>
        <color theme="1"/>
        <rFont val="宋体"/>
        <charset val="134"/>
      </rPr>
      <t>7后滩、</t>
    </r>
    <r>
      <rPr>
        <b/>
        <sz val="11"/>
        <color theme="1"/>
        <rFont val="宋体"/>
        <charset val="134"/>
      </rPr>
      <t>13马当路-世博大道（3.2km）</t>
    </r>
  </si>
  <si>
    <t>2010-4-20~2010-11-1的13号线不计入</t>
  </si>
  <si>
    <t>2虹桥火车站</t>
  </si>
  <si>
    <t>10龙溪路-虹桥火车站</t>
  </si>
  <si>
    <t>维基百科查得5.982公里</t>
  </si>
  <si>
    <t>7上海大学-美兰湖（除潘广路、刘行、祁华路）</t>
  </si>
  <si>
    <t>维基百科查得7全长44.366公里</t>
  </si>
  <si>
    <t>6灵岩南路-东方体育中心、8东方体育中心</t>
  </si>
  <si>
    <t>维基百科查得6全长33.09公里</t>
  </si>
  <si>
    <t>11昌吉东路</t>
  </si>
  <si>
    <t>7潘广路、刘行</t>
  </si>
  <si>
    <t>8中华艺术宫</t>
  </si>
  <si>
    <t>9松江新城-松江南</t>
  </si>
  <si>
    <t>13金运路-金沙江路（除祁连山南路、大渡河路）</t>
  </si>
  <si>
    <t>13祁连山南路</t>
  </si>
  <si>
    <t>11江苏路-罗山路</t>
  </si>
  <si>
    <t>11安亭-花桥</t>
  </si>
  <si>
    <t>维基百科查得5.696公里</t>
  </si>
  <si>
    <t>12天潼路-金海路、16罗山路-滴水湖</t>
  </si>
  <si>
    <t>维基百科查得12增加17.915公里，16增加50.76公里</t>
  </si>
  <si>
    <t>12天潼路-曲阜路</t>
  </si>
  <si>
    <t>7祁华路</t>
  </si>
  <si>
    <t>13大渡河路</t>
  </si>
  <si>
    <t>13金沙江路-长寿路、16罗山路-龙阳路</t>
  </si>
  <si>
    <t>维基百科查得13增加3.14公里，16一共58.962公里</t>
  </si>
  <si>
    <t>11罗山路-康新公路、12曲阜路-七莘路、13长寿路-世博大道</t>
  </si>
  <si>
    <t>维基百科查得11增加4.098公里，12一共40.417公里，13增加9.78公里</t>
  </si>
  <si>
    <t>11康新公路-迪士尼</t>
  </si>
  <si>
    <t>维基百科查得11一共82.386公里</t>
  </si>
  <si>
    <t>15+1条</t>
  </si>
  <si>
    <t>9杨高中路-曹路、17虹桥火车站-东方绿舟</t>
  </si>
  <si>
    <t>维基百科查得9一共64.4公里，17一共35.341公里</t>
  </si>
  <si>
    <t>16+1条</t>
  </si>
  <si>
    <t>浦江线沈杜公路-汇臻路</t>
  </si>
  <si>
    <t>维基百科查得浦江一共6.689公里</t>
  </si>
  <si>
    <t>5东川路-奉贤新城、13世博大道-张江路</t>
  </si>
  <si>
    <t>维基百科查得5一共37.376公里</t>
  </si>
  <si>
    <t>11陈翔公路</t>
  </si>
  <si>
    <t>17+1条</t>
  </si>
  <si>
    <t>10新江湾城-基隆路、18航头-御桥</t>
  </si>
  <si>
    <t>维基百科查得10一共46.301公里，18增加14.5公里</t>
  </si>
  <si>
    <t>18+1条</t>
  </si>
  <si>
    <t>15顾村公园-紫竹高新区（除桂林路）</t>
  </si>
  <si>
    <t>据说42.3公里</t>
  </si>
  <si>
    <t>15桂林路</t>
  </si>
  <si>
    <t>19+1条</t>
  </si>
  <si>
    <t>14、18二期</t>
  </si>
  <si>
    <t>17东方绿舟-西岑</t>
  </si>
  <si>
    <t>19+2条</t>
  </si>
  <si>
    <t>机场联络线开通后，客流包含磁悬浮线</t>
  </si>
  <si>
    <t>2025年7月左右</t>
  </si>
  <si>
    <t>娄山关路2和15付费区换乘</t>
  </si>
  <si>
    <t>范围：台北捷运公司运营的线路，包含台北市新北市、机场捷运包括桃园市</t>
  </si>
  <si>
    <t>1中山国中-动物园</t>
  </si>
  <si>
    <t>2淡水站-中山站</t>
  </si>
  <si>
    <t>百度百科2号线总共28.194公里，暂且认为是28.3</t>
  </si>
  <si>
    <t>新北投支线</t>
  </si>
  <si>
    <t>1无法换乘，筷子路网</t>
  </si>
  <si>
    <t>2中山-台北车站</t>
  </si>
  <si>
    <t>2台北车站-中正纪念堂</t>
  </si>
  <si>
    <t>3中正纪念堂-古亭</t>
  </si>
  <si>
    <t>开始有换乘客流</t>
  </si>
  <si>
    <t>4南势角－古亭</t>
  </si>
  <si>
    <t>4暂经由3与2号线直通运行</t>
  </si>
  <si>
    <t>3古亭-新店</t>
  </si>
  <si>
    <t>淡水站－南势角站行驶模式变更为淡水站－新店站和北投站－南势角站。</t>
  </si>
  <si>
    <t>5市政府－龙山寺</t>
  </si>
  <si>
    <t>1纳入线网</t>
  </si>
  <si>
    <t>5龙山寺-新埔</t>
  </si>
  <si>
    <t>3中正纪念堂－西门</t>
  </si>
  <si>
    <t>5市政府-昆阳站</t>
  </si>
  <si>
    <t>5号线总共28.2公里23站</t>
  </si>
  <si>
    <t>小碧潭支线</t>
  </si>
  <si>
    <t>5新埔-永宁</t>
  </si>
  <si>
    <t>5南港站</t>
  </si>
  <si>
    <t>1中山国中-南港展览馆</t>
  </si>
  <si>
    <t>一说92.9公里</t>
  </si>
  <si>
    <t>4忠孝新生-芦洲</t>
  </si>
  <si>
    <t>自己测量</t>
  </si>
  <si>
    <t>4号线总共28.8公里27站</t>
  </si>
  <si>
    <r>
      <rPr>
        <sz val="12"/>
        <color theme="1"/>
        <rFont val="宋体"/>
        <charset val="134"/>
      </rPr>
      <t>5</t>
    </r>
    <r>
      <rPr>
        <sz val="11"/>
        <color theme="1"/>
        <rFont val="宋体"/>
        <charset val="134"/>
      </rPr>
      <t>南港展览馆站</t>
    </r>
  </si>
  <si>
    <t>4大桥头-辅大</t>
  </si>
  <si>
    <t>大桥头只算一个站；联通；新芦线</t>
  </si>
  <si>
    <t>4忠孝新生-古亭站</t>
  </si>
  <si>
    <t>开通近14年的中和线不再经新店线连通至淡水线，改衔接新芦线，统称为中和新芦线</t>
  </si>
  <si>
    <t>4辅大-回龙</t>
  </si>
  <si>
    <t>新庄线也从辅大站延伸营运到回龙站，捷运新庄线车站全数通车，中和新芦线仅余新庄机厂尚未完工</t>
  </si>
  <si>
    <t>2中正纪念堂-象山</t>
  </si>
  <si>
    <t>小南门线暂时整并为北投站－象山站，还有西门站－台电大楼站两条路线</t>
  </si>
  <si>
    <t>3西门-松山；小南门线回归3</t>
  </si>
  <si>
    <t>淡水线与新店线列车不再连通行驶</t>
  </si>
  <si>
    <t>5顶埔-永宁</t>
  </si>
  <si>
    <t>重复，不新增</t>
  </si>
  <si>
    <t>土城线永宁站延伸至顶埔站完工通车，5板南线至此全线完工通车。</t>
  </si>
  <si>
    <t xml:space="preserve">6大坪林-新北产业园区 </t>
  </si>
  <si>
    <t>1西塱-黄沙</t>
  </si>
  <si>
    <t>1全线观光试运营</t>
  </si>
  <si>
    <t>1全线正式运营</t>
  </si>
  <si>
    <t>2三元里-晓港</t>
  </si>
  <si>
    <t>2晓港-琶洲</t>
  </si>
  <si>
    <t>2琶洲-万胜围、3广州东站-客村、4万胜围-新造</t>
  </si>
  <si>
    <t>3客村-番禺广场、天河客运站-石牌桥、4新造-黄阁</t>
  </si>
  <si>
    <t>1997年6月~2007年5月共运送乘客11.75亿人次</t>
  </si>
  <si>
    <t>4黄阁-金洲</t>
  </si>
  <si>
    <t>4万胜围-车陂南、5滘口-文冲</t>
  </si>
  <si>
    <t>新2嘉禾望岗-广州南站、4车陂南-黄村、8万胜围-昌岗</t>
  </si>
  <si>
    <t>2/8共延长23.3km</t>
  </si>
  <si>
    <t>3广州东站-机场南（除高增）</t>
  </si>
  <si>
    <t>7+1条</t>
  </si>
  <si>
    <t>GF西塱-魁奇路、8万胜围-凤凰新村</t>
  </si>
  <si>
    <t>共14.97公里</t>
  </si>
  <si>
    <t>APM大剧院-林和西</t>
  </si>
  <si>
    <t>APM大剧院-广州塔（除海心沙）</t>
  </si>
  <si>
    <t>2010-11-12和11-27两天除APM外通宵运营</t>
  </si>
  <si>
    <t>APM海心沙</t>
  </si>
  <si>
    <t>6浔峰岗-长湴（除一德路、沙河）</t>
  </si>
  <si>
    <t>6一德路</t>
  </si>
  <si>
    <t>GF西塱-燕岗</t>
  </si>
  <si>
    <t>GF魁奇路-新城东、6长湴、香雪（除植物园、柯木塱）、7广州南站-大学城南</t>
  </si>
  <si>
    <t>6植物园、柯木塱</t>
  </si>
  <si>
    <t>12+2条</t>
  </si>
  <si>
    <t>3高增、4庆盛、9高增-飞鹅岭（除清塘）、13鱼珠-新沙、14新和-镇龙</t>
  </si>
  <si>
    <t>3机场南-机场北</t>
  </si>
  <si>
    <t>9清塘</t>
  </si>
  <si>
    <t>14嘉禾望岗-东风、21镇龙西-增城广场、GF燕岗-沥滘</t>
  </si>
  <si>
    <t>21镇龙西-员村</t>
  </si>
  <si>
    <t>8凤凰新村-文化公园</t>
  </si>
  <si>
    <t>8文化公园-滘心（除西村、彩虹桥）</t>
  </si>
  <si>
    <t>18冼村-万顷沙</t>
  </si>
  <si>
    <t>16+2条</t>
  </si>
  <si>
    <t>22陈头岗-番禺广场</t>
  </si>
  <si>
    <t>7西</t>
  </si>
  <si>
    <t>8彩虹桥</t>
  </si>
  <si>
    <t>8西村</t>
  </si>
  <si>
    <t>5东、7二期</t>
  </si>
  <si>
    <t>3番禺广场-海傍</t>
  </si>
  <si>
    <t>10-2，21号线开始拆解</t>
  </si>
  <si>
    <t>17+2条</t>
  </si>
  <si>
    <t>6沙河、11除广火/广州东站</t>
  </si>
  <si>
    <t>每年广交会日期固定：4-15~19、23-27、5-1~5-5；10-15~19、23-27、10-31~11-4；因此5-1经常破纪录可能跟广交会有关</t>
  </si>
  <si>
    <t>3长春站-卫光街</t>
  </si>
  <si>
    <t>3卫星广场-长影世纪城</t>
  </si>
  <si>
    <t>轻轨二期工程</t>
  </si>
  <si>
    <t>此时3号线分段</t>
  </si>
  <si>
    <t>3一期与二期贯通</t>
  </si>
  <si>
    <t>4东大桥-天工路(除东新路、公平路)</t>
  </si>
  <si>
    <t>6月30日试运行，9月26日试运营</t>
  </si>
  <si>
    <t>4东大桥-长春站北</t>
  </si>
  <si>
    <t>3、4号线实现付费区换乘</t>
  </si>
  <si>
    <t>2014春节前，3号线部分车重联增加运力http://www.ditiezu.com/forum.php?mod=viewthread&amp;tid=334132&amp;extra=page%3D50%26filter%3Dauthor%26orderby%3Ddateline%26orderby%3Ddateline</t>
  </si>
  <si>
    <t>2012年12月17日</t>
  </si>
  <si>
    <t>4公平路</t>
  </si>
  <si>
    <t>1北环城路-红嘴子(除长春站)</t>
  </si>
  <si>
    <t>地铁1号线无法付费区换乘轻轨</t>
  </si>
  <si>
    <t>2双丰-东方广场</t>
  </si>
  <si>
    <t>地铁2号线无法付费区换乘轻轨</t>
  </si>
  <si>
    <t>8北环城路-广通路</t>
  </si>
  <si>
    <t>1长春站</t>
  </si>
  <si>
    <t>地铁和轻轨接入同一线网</t>
  </si>
  <si>
    <t>此时地铁与轻轨的换乘必须经过长春站</t>
  </si>
  <si>
    <t>卫星广场、长春站北、吉林大路实现付费区换乘</t>
  </si>
  <si>
    <t>地铁轻轨同价</t>
  </si>
  <si>
    <t>解放桥实现付费区换乘</t>
  </si>
  <si>
    <t>2双丰-汽车公园</t>
  </si>
  <si>
    <t>3西安桥-伪满皇宫(除芙蓉桥)</t>
  </si>
  <si>
    <t>4南延</t>
  </si>
  <si>
    <t>1/2号线里程</t>
  </si>
  <si>
    <t>1/2号线车站数</t>
  </si>
  <si>
    <t>3香炉礁-金石滩（试运营）</t>
  </si>
  <si>
    <t>正式运营</t>
  </si>
  <si>
    <t>3香炉礁-大连火车站</t>
  </si>
  <si>
    <t>3小窑湾站</t>
  </si>
  <si>
    <t>3九里支线（开发区-九里）</t>
  </si>
  <si>
    <t>据说为7号线</t>
  </si>
  <si>
    <t>12蔡大岭-旅顺新港</t>
  </si>
  <si>
    <t>3号线与12号线脱网</t>
  </si>
  <si>
    <t>2机场-会议中心</t>
  </si>
  <si>
    <t>地铁与3、12号线脱网</t>
  </si>
  <si>
    <t>1姚家-富国街</t>
  </si>
  <si>
    <t>1富国街-会展中心</t>
  </si>
  <si>
    <t>1华南北站</t>
  </si>
  <si>
    <t>3号线在2017年前由大连公交客运集团营运，2017年之后更名为大连地铁3号线并移交大连地铁集团</t>
  </si>
  <si>
    <t>1星海广场-河口、2东港-海之韵、12蔡大岭-河口</t>
  </si>
  <si>
    <t>12号线接入地铁线网后客流破万；3号线仍脱网，http://news.eastday.com/eastday/13news/auto/news/china/20170711/u7ai6923458.html</t>
  </si>
  <si>
    <t>2机场-辛寨子</t>
  </si>
  <si>
    <t>里程可参考http://www.ditiezu.com/thread-122482-1-1.html</t>
  </si>
  <si>
    <t>2二期北段</t>
  </si>
  <si>
    <t>1宗关-黄浦路</t>
  </si>
  <si>
    <t>观光试运营</t>
  </si>
  <si>
    <t>2005-4-20票价3元降到2元，日均从7000涨到12000人次</t>
  </si>
  <si>
    <t>正式试运营</t>
  </si>
  <si>
    <t>1东吴大道-堤角</t>
  </si>
  <si>
    <t>2金银潭-光谷广场</t>
  </si>
  <si>
    <t>4武汉火车站-武昌火车站</t>
  </si>
  <si>
    <t>1堤角-汉口北</t>
  </si>
  <si>
    <t>4武昌火车站-黄金口</t>
  </si>
  <si>
    <t>2金银潭-天河机场+6</t>
  </si>
  <si>
    <t>7条</t>
  </si>
  <si>
    <t>1东吴大道-径河+8+21</t>
  </si>
  <si>
    <t>7园博园北-野芷湖+11</t>
  </si>
  <si>
    <t>7野芷湖-青龙山地铁小镇</t>
  </si>
  <si>
    <t>2光谷广场-佛祖岭</t>
  </si>
  <si>
    <t>4黄金口-柏林</t>
  </si>
  <si>
    <t>8三</t>
  </si>
  <si>
    <t>8二期+11葛店南站</t>
  </si>
  <si>
    <t>5、6二期、16</t>
  </si>
  <si>
    <t>7横店-园博园北、16周家河-通航机场</t>
  </si>
  <si>
    <t>5中医药大学-红霞</t>
  </si>
  <si>
    <t>12条</t>
  </si>
  <si>
    <t>19武汉站西广场-新月溪公园</t>
  </si>
  <si>
    <t>7黄陂广场-横店</t>
  </si>
  <si>
    <t>【每日客流】武汉地铁每日客流 来自武汉地铁运营微博（接续贴）</t>
  </si>
  <si>
    <t>里程</t>
  </si>
  <si>
    <t>线网条数</t>
  </si>
  <si>
    <t>换乘系数个人估计</t>
  </si>
  <si>
    <t>武汉地铁客流创记录汇总 地铁族</t>
  </si>
  <si>
    <t>2015-9-30客流量195万，进站146.38万http://www.changjiangtimes.com/2015/10/513605.html</t>
  </si>
  <si>
    <t>官方开始统计换乘</t>
  </si>
  <si>
    <t>1罗湖-世界之窗、4少年宫-福民</t>
  </si>
  <si>
    <t>17.39+3</t>
  </si>
  <si>
    <t>4福民-福田口岸</t>
  </si>
  <si>
    <t>17.39+4</t>
  </si>
  <si>
    <t>2010~2030年，4号线给港铁运营</t>
  </si>
  <si>
    <t>1世界之窗-深大</t>
  </si>
  <si>
    <t>20.721+4</t>
  </si>
  <si>
    <t>2世界之窗-赤湾、3草埔-双龙</t>
  </si>
  <si>
    <t>20.721+15.516+25.138+4</t>
  </si>
  <si>
    <t>2020-10-28之前的里程来自维基百科</t>
  </si>
  <si>
    <t>1深大-机场东</t>
  </si>
  <si>
    <t>4少年宫-清湖</t>
  </si>
  <si>
    <t>5前海湾-黄贝岭</t>
  </si>
  <si>
    <t>2世界之窗-新秀、3益田-草埔</t>
  </si>
  <si>
    <t>3号线结束脱网</t>
  </si>
  <si>
    <t>11碧头-福田</t>
  </si>
  <si>
    <t>7西丽湖-太安、9红树湾南-文锦</t>
  </si>
  <si>
    <t>5赤湾-前海湾</t>
  </si>
  <si>
    <t>9前湾-红树湾南</t>
  </si>
  <si>
    <t>6+10除岗厦北</t>
  </si>
  <si>
    <t>3益田-福保，4清湖-牛湖，2新秀以东，8莲塘-盐田路</t>
  </si>
  <si>
    <t>2与8贯通，因此算1个车站</t>
  </si>
  <si>
    <t>13条</t>
  </si>
  <si>
    <t>10岗厦北、11岗厦北、14</t>
  </si>
  <si>
    <t>15条</t>
  </si>
  <si>
    <t>6支线、12左炮台东-海上田园东</t>
  </si>
  <si>
    <t>16条</t>
  </si>
  <si>
    <t>8盐田路-小梅沙</t>
  </si>
  <si>
    <t>17条</t>
  </si>
  <si>
    <t>2大堰村-较场口</t>
  </si>
  <si>
    <t>收费观光试运行</t>
  </si>
  <si>
    <t>2大堰村至新山村</t>
  </si>
  <si>
    <t>1较场口-沙坪坝</t>
  </si>
  <si>
    <t>1小什字-较场口</t>
  </si>
  <si>
    <t>3两路口-鸳鸯</t>
  </si>
  <si>
    <t>3北延至长福路</t>
  </si>
  <si>
    <t>3二塘至江北机场</t>
  </si>
  <si>
    <t>6五里店—康庄</t>
  </si>
  <si>
    <t>1延伸至大学城</t>
  </si>
  <si>
    <t>6康庄—礼嘉</t>
  </si>
  <si>
    <t>3剩余</t>
  </si>
  <si>
    <t>6支（国博线）</t>
  </si>
  <si>
    <t>6礼嘉-北碚</t>
  </si>
  <si>
    <t>1尖顶坡、2剩余、6五里店至茶园</t>
  </si>
  <si>
    <t>3空港线</t>
  </si>
  <si>
    <t>5园博中心-大龙山、10除北站南广场</t>
  </si>
  <si>
    <t>5大龙山-大石坝</t>
  </si>
  <si>
    <t>4全部、10北站南广场、环线一期</t>
  </si>
  <si>
    <t>1璧山+环线</t>
  </si>
  <si>
    <t>1朝天门，6悦来-沙河坝</t>
  </si>
  <si>
    <t>5石桥铺-跳磴，环线剩余段（除天星桥和仁济）</t>
  </si>
  <si>
    <t>5号线分段</t>
  </si>
  <si>
    <t>环线天星桥、仁济站</t>
  </si>
  <si>
    <t>9除宝圣湖</t>
  </si>
  <si>
    <t>4二期</t>
  </si>
  <si>
    <t>9宝圣湖</t>
  </si>
  <si>
    <t>江跳线</t>
  </si>
  <si>
    <t>9兴科大道-花石沟、10鲤鱼池-后堡</t>
  </si>
  <si>
    <t>5北</t>
  </si>
  <si>
    <t>环线上浩、4港城</t>
  </si>
  <si>
    <t>环线33个车站</t>
  </si>
  <si>
    <t>4号线24个车站</t>
  </si>
  <si>
    <t>5中、10延长</t>
  </si>
  <si>
    <t>璧铜线</t>
  </si>
  <si>
    <t>1迈皋桥-安德门、10安德门-奥体中心（两条线贯通运营）</t>
  </si>
  <si>
    <t>1安德门-中国药科大学、2油坊桥-经天路</t>
  </si>
  <si>
    <t>1与10拆分、10雨山路-奥体中心、S1南京南站-禄口机场</t>
  </si>
  <si>
    <t>S8泰山新村-金牛湖</t>
  </si>
  <si>
    <t>3林场-秣周东路</t>
  </si>
  <si>
    <t>4龙江-仙林湖</t>
  </si>
  <si>
    <t>S3南京南站-高家冲</t>
  </si>
  <si>
    <t>S9翔宇路南-高淳</t>
  </si>
  <si>
    <t>S1禄口机场-空港新城江宁、S7空港新城江宁-无想山</t>
  </si>
  <si>
    <t>2鱼嘴-油坊桥、S6马群-句容</t>
  </si>
  <si>
    <t>S8长江大桥北-泰山新村</t>
  </si>
  <si>
    <t>加15站</t>
  </si>
  <si>
    <t>1迈皋桥-八卦洲大桥南、7仙新路-幕府西路</t>
  </si>
  <si>
    <t>7应天大街-西善桥（分段开通）</t>
  </si>
  <si>
    <t>官方应该是看作一条线</t>
  </si>
  <si>
    <t>5文靖路-吉印大道</t>
  </si>
  <si>
    <t>7应天大街-幕府西路（贯通）</t>
  </si>
  <si>
    <t>红线小港-桥头火车站（不含美丽岛站）</t>
  </si>
  <si>
    <t>红线美丽岛站</t>
  </si>
  <si>
    <t>橘线西子湾—大寮</t>
  </si>
  <si>
    <t>红线桥头—南冈山</t>
  </si>
  <si>
    <t>高雄车站（永久站）</t>
  </si>
  <si>
    <t>1升仙湖-世纪城</t>
  </si>
  <si>
    <t>2茶店子客运站-成都行政学院</t>
  </si>
  <si>
    <t>2犀浦-茶店子客运站</t>
  </si>
  <si>
    <t>2成都行政学院-龙泉驿</t>
  </si>
  <si>
    <t>1世纪城-广都</t>
  </si>
  <si>
    <t>4非遗博览园-万年场</t>
  </si>
  <si>
    <t>3军区总医院-太平圆</t>
  </si>
  <si>
    <t>4万盛-非遗博览园、万年场-西河</t>
  </si>
  <si>
    <t>10太平园-双流机场2航站楼</t>
  </si>
  <si>
    <t>1升仙湖-韦家碾、广都-五根松、四河-科学城</t>
  </si>
  <si>
    <t>3军区总医院-成都医学院、太平园-双流西站</t>
  </si>
  <si>
    <t>5华桂路-回龙、10双流机场2航站楼-新平</t>
  </si>
  <si>
    <t>18火车南站-三岔</t>
  </si>
  <si>
    <t>6差两个站、8十里店-莲花、9黄田坝-金融城东、17金星-机投桥、18三岔-天府机场北</t>
  </si>
  <si>
    <t>18天府T1T2航站楼</t>
  </si>
  <si>
    <t>18福田</t>
  </si>
  <si>
    <t>17/19拆分</t>
  </si>
  <si>
    <t>19九江北-天府站、18天府站</t>
  </si>
  <si>
    <t>6青岛路</t>
  </si>
  <si>
    <t>14条</t>
  </si>
  <si>
    <t>资阳线</t>
  </si>
  <si>
    <t>8桂龙路-十里店、莲花-龙港，27石佛-蜀鑫路</t>
  </si>
  <si>
    <t>MetroHub里程(km)</t>
  </si>
  <si>
    <t>阿牛里程</t>
  </si>
  <si>
    <t>1十三号街-黎明广场</t>
  </si>
  <si>
    <t>2三台子-全运路</t>
  </si>
  <si>
    <t>2三台子-航空航天大学</t>
  </si>
  <si>
    <t>2蒲田路-航空航天大学</t>
  </si>
  <si>
    <t>9怒江公园-建筑大学（除皇姑屯站）</t>
  </si>
  <si>
    <t>10丁香湖-张沙布</t>
  </si>
  <si>
    <t>9皇姑屯站</t>
  </si>
  <si>
    <t>2桃仙机场-全运路，4正新路-创新路</t>
  </si>
  <si>
    <t>3李达-南李官</t>
  </si>
  <si>
    <t>2西安北站-电视塔</t>
  </si>
  <si>
    <t>1后卫寨-纺织城</t>
  </si>
  <si>
    <t>2电视塔-韦曲南</t>
  </si>
  <si>
    <t>3保税区-鱼化寨</t>
  </si>
  <si>
    <t>4西安北站-航天新城</t>
  </si>
  <si>
    <t>1后卫寨-沣河森林公园</t>
  </si>
  <si>
    <t>14机场西-西安北站</t>
  </si>
  <si>
    <t>5创新港-马腾空、6西安国际医学中心-西北工业大学、9纺织城-秦陵西</t>
  </si>
  <si>
    <t>14贺韶-西安北站</t>
  </si>
  <si>
    <t>4西安站</t>
  </si>
  <si>
    <t>6纺织城-西北工业大学</t>
  </si>
  <si>
    <t>2022-11-1西户铁路改造完成，暂时出站换乘</t>
  </si>
  <si>
    <t>2西安北站-草滩、常宁宫-韦曲南，16秦创原中心-诗经里</t>
  </si>
  <si>
    <t>1咸阳西站-沣河森林公园</t>
  </si>
  <si>
    <t>10、5一期东、6一期南</t>
  </si>
  <si>
    <t>8省体育馆-省体育馆</t>
  </si>
  <si>
    <t>2延</t>
  </si>
  <si>
    <t>4及支线（之后给7号线）</t>
  </si>
  <si>
    <t>2023年1月28日？</t>
  </si>
  <si>
    <t>沪11昆山段3站归苏州地铁</t>
  </si>
  <si>
    <t>11唯亭-花桥</t>
  </si>
  <si>
    <t>6东部汽车站-机场中心</t>
  </si>
  <si>
    <t>1和2号线贯通运营</t>
  </si>
  <si>
    <t>6停运</t>
  </si>
  <si>
    <t>1支</t>
  </si>
  <si>
    <t>3、（6重运营）</t>
  </si>
  <si>
    <t>4、6延伸到塘子巷</t>
  </si>
  <si>
    <t>1除火车东站</t>
  </si>
  <si>
    <t>1火车东站</t>
  </si>
  <si>
    <t>2朝阳-钱江路（钱江世纪城）</t>
  </si>
  <si>
    <t>4近江-彭埠(除新塘)</t>
  </si>
  <si>
    <t>4新塘</t>
  </si>
  <si>
    <t>1文泽路-下沙江滨</t>
  </si>
  <si>
    <t>2钱江路-丰潭路</t>
  </si>
  <si>
    <t>下宁桥站未开通</t>
  </si>
  <si>
    <t>2良渚-古翠路</t>
  </si>
  <si>
    <t>4近江-浦沿</t>
  </si>
  <si>
    <t>5良睦路-善贤</t>
  </si>
  <si>
    <t>5剩余+16</t>
  </si>
  <si>
    <t>2下宁桥，5火车南站</t>
  </si>
  <si>
    <t>1三期、6和7(除市民中心)</t>
  </si>
  <si>
    <t>6之浦路站</t>
  </si>
  <si>
    <t>1支独立成9</t>
  </si>
  <si>
    <t>9临平-龙安、7市民中心</t>
  </si>
  <si>
    <t>3、4二期（除独生态公园）、10</t>
  </si>
  <si>
    <t>9观音塘-客运中心</t>
  </si>
  <si>
    <t>10学院路站</t>
  </si>
  <si>
    <t>3武林门站</t>
  </si>
  <si>
    <t>3北延、10后通、19</t>
  </si>
  <si>
    <t>9五堡站及六堡站</t>
  </si>
  <si>
    <t>文三路、丰北、亚运村</t>
  </si>
  <si>
    <t>19五联、驿城路</t>
  </si>
  <si>
    <t>5南湖东-金星</t>
  </si>
  <si>
    <t>1哈尔滨东-哈尔滨南(除博物馆)</t>
  </si>
  <si>
    <t>1博物馆</t>
  </si>
  <si>
    <t>3哈尔滨大街站</t>
  </si>
  <si>
    <t>1三期</t>
  </si>
  <si>
    <t>3体育公园-太平桥</t>
  </si>
  <si>
    <t>3太平桥-中华巴洛克街区</t>
  </si>
  <si>
    <t>3中华巴洛克街区-北马路</t>
  </si>
  <si>
    <t>3北马路-体育公园</t>
  </si>
  <si>
    <t>1一期</t>
  </si>
  <si>
    <t>2一期</t>
  </si>
  <si>
    <t>上午10点开通</t>
  </si>
  <si>
    <t>1二期、9</t>
  </si>
  <si>
    <t>一说9号线开通前的客流为纯进站客流，9号线开通后开始统计换乘</t>
  </si>
  <si>
    <t>2二期</t>
  </si>
  <si>
    <t>3、4</t>
  </si>
  <si>
    <t>5经北二路</t>
  </si>
  <si>
    <t>3省骨科医院-营岗</t>
  </si>
  <si>
    <t>4金融岛南、金融岛北</t>
  </si>
  <si>
    <t>9二期</t>
  </si>
  <si>
    <t>6一期西段</t>
  </si>
  <si>
    <t>3延伸</t>
  </si>
  <si>
    <r>
      <rPr>
        <sz val="11"/>
        <color theme="1"/>
        <rFont val="宋体"/>
        <charset val="134"/>
      </rPr>
      <t>10、</t>
    </r>
    <r>
      <rPr>
        <sz val="11"/>
        <color rgb="FFFF0000"/>
        <rFont val="宋体"/>
        <charset val="134"/>
      </rPr>
      <t>小乔、华南城东？</t>
    </r>
  </si>
  <si>
    <t>郑许</t>
  </si>
  <si>
    <t>6剩余</t>
  </si>
  <si>
    <t>7、8</t>
  </si>
  <si>
    <t>18.5km</t>
  </si>
  <si>
    <t>3、5</t>
  </si>
  <si>
    <t>3(西环线)</t>
  </si>
  <si>
    <t>1延申</t>
  </si>
  <si>
    <t>3延申</t>
  </si>
  <si>
    <t>2号线二期首段</t>
  </si>
  <si>
    <t>3部分</t>
  </si>
  <si>
    <t>2后通</t>
  </si>
  <si>
    <t>2023-2-13~2023-6-30每晚8点后免费</t>
  </si>
  <si>
    <t>5延申</t>
  </si>
  <si>
    <t>4延申</t>
  </si>
  <si>
    <t>1长广溪-南方泉</t>
  </si>
  <si>
    <t>S1线（与1贯通但计算换乘）</t>
  </si>
  <si>
    <t>2024-2-9~2-17全网免费</t>
  </si>
  <si>
    <t>3青岛北站-双山</t>
  </si>
  <si>
    <t>3双山-青岛站</t>
  </si>
  <si>
    <t>2芝泉路-李村公园</t>
  </si>
  <si>
    <t>脱网</t>
  </si>
  <si>
    <t>2泰山路-芝泉路</t>
  </si>
  <si>
    <t>1+8</t>
  </si>
  <si>
    <t>正线全长246.85km</t>
  </si>
  <si>
    <t>8胶东机场</t>
  </si>
  <si>
    <t>1南、8北</t>
  </si>
  <si>
    <t>4（除观象山（市立医院））</t>
  </si>
  <si>
    <t>1西镇</t>
  </si>
  <si>
    <t>4观象山（市立医院）</t>
  </si>
  <si>
    <t>13嘉陵江西路、香江路</t>
  </si>
  <si>
    <t>2延申</t>
  </si>
  <si>
    <t>2023-7-1~10-8，晚21点后使用乘车码免费</t>
  </si>
  <si>
    <t>1三叉街-福州南站</t>
  </si>
  <si>
    <t>1全</t>
  </si>
  <si>
    <t>1二期</t>
  </si>
  <si>
    <t>4、5后通</t>
  </si>
  <si>
    <t>8.28-12.31用支付宝扫码，工作日17点后、休息日全天免费</t>
  </si>
  <si>
    <t>2东+4</t>
  </si>
  <si>
    <t>2023-10-1~11-30每天19点后免费</t>
  </si>
  <si>
    <t>5南</t>
  </si>
  <si>
    <t>1延长</t>
  </si>
  <si>
    <t>2、3延长</t>
  </si>
  <si>
    <t>4延</t>
  </si>
  <si>
    <t>1西王-洨河大道、3市二中-石家庄站</t>
  </si>
  <si>
    <t>1洨河大道-福泽</t>
  </si>
  <si>
    <t>3市二中-西三庄</t>
  </si>
  <si>
    <t>2嘉华-西古城</t>
  </si>
  <si>
    <t>3号线剩余</t>
  </si>
  <si>
    <t>2023-12-16~2024-1-1免费</t>
  </si>
  <si>
    <t>机场线(三重-环北)</t>
  </si>
  <si>
    <t>机场线(三重-台北车站)</t>
  </si>
  <si>
    <t>1下麦西-贵阳北</t>
  </si>
  <si>
    <t>1贵阳北-小孟工业园</t>
  </si>
  <si>
    <t>1窦官</t>
  </si>
  <si>
    <t>S1</t>
  </si>
  <si>
    <t>2东瑶站</t>
  </si>
  <si>
    <t>1八楼-国际机场</t>
  </si>
  <si>
    <t>1八楼-三屯碑</t>
  </si>
  <si>
    <t>2国际机场-国际机场东</t>
  </si>
  <si>
    <t>S1桐岭-奥体中心</t>
  </si>
  <si>
    <t>S1奥体中心-双瓯大道</t>
  </si>
  <si>
    <t>S2</t>
  </si>
  <si>
    <t>8-26~9-4免费</t>
  </si>
  <si>
    <t>S1线路</t>
  </si>
  <si>
    <t>1省政府</t>
  </si>
  <si>
    <t>氹仔</t>
  </si>
  <si>
    <t>首通日</t>
  </si>
  <si>
    <t>2023-7-1~8-31每晚19点后免费</t>
  </si>
  <si>
    <t>原计划正式开通但出故障</t>
  </si>
  <si>
    <t>排除故障后正式开通运营</t>
  </si>
  <si>
    <t>杭海城际</t>
  </si>
  <si>
    <t>杭绍城际</t>
  </si>
  <si>
    <t>1支线</t>
  </si>
  <si>
    <t>1试乘</t>
  </si>
  <si>
    <t>1正式开通</t>
  </si>
  <si>
    <t>GF魁奇路-西塱</t>
  </si>
  <si>
    <t>GF魁奇路-新城东</t>
  </si>
  <si>
    <t>GF燕岗-沥滘</t>
  </si>
  <si>
    <t>南海有轨电车1号线首通段</t>
  </si>
  <si>
    <t>F2广州南站-南庄</t>
  </si>
  <si>
    <t>南海有轨电车1号线后通段</t>
  </si>
  <si>
    <t>F3镇安-顺德学院</t>
  </si>
  <si>
    <t>里程只计算F2+F3</t>
  </si>
  <si>
    <t>广州南F2换乘通道</t>
  </si>
  <si>
    <t>F3佛山大学-联和、中山公园-镇安</t>
  </si>
  <si>
    <t>金义线</t>
  </si>
  <si>
    <t>义东线</t>
  </si>
  <si>
    <t>9-28~12-27免费试运行</t>
  </si>
  <si>
    <t>义东线明清宫</t>
  </si>
  <si>
    <t>S4(宁滁)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</si>
</sst>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);[Red]\(0.000\)"/>
    <numFmt numFmtId="177" formatCode="[$-F800]dddd\,\ mmmm\ dd\,\ yyyy"/>
    <numFmt numFmtId="178" formatCode="0.000_ "/>
    <numFmt numFmtId="179" formatCode="yyyy&quot;年&quot;m&quot;月&quot;d&quot;日&quot;;@"/>
  </numFmts>
  <fonts count="30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1"/>
      <color rgb="FF00B050"/>
      <name val="宋体"/>
      <charset val="134"/>
    </font>
    <font>
      <b/>
      <sz val="11"/>
      <color rgb="FF00B050"/>
      <name val="宋体"/>
      <charset val="134"/>
    </font>
    <font>
      <sz val="11"/>
      <color rgb="FFFF0000"/>
      <name val="宋体"/>
      <charset val="134"/>
    </font>
    <font>
      <b/>
      <sz val="11"/>
      <color rgb="FFFF0000"/>
      <name val="宋体"/>
      <charset val="134"/>
    </font>
    <font>
      <sz val="11"/>
      <color rgb="FF0070C0"/>
      <name val="宋体"/>
      <charset val="134"/>
    </font>
    <font>
      <b/>
      <sz val="11"/>
      <color theme="1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7" fillId="8" borderId="10" applyNumberFormat="0" applyAlignment="0" applyProtection="0">
      <alignment vertical="center"/>
    </xf>
    <xf numFmtId="0" fontId="18" fillId="8" borderId="9" applyNumberFormat="0" applyAlignment="0" applyProtection="0">
      <alignment vertical="center"/>
    </xf>
    <xf numFmtId="0" fontId="19" fillId="9" borderId="11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</cellStyleXfs>
  <cellXfs count="3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31" fontId="1" fillId="0" borderId="1" xfId="0" applyNumberFormat="1" applyFont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9" fontId="1" fillId="0" borderId="1" xfId="0" applyNumberFormat="1" applyFont="1" applyBorder="1" applyAlignment="1">
      <alignment horizontal="center" vertical="center" wrapText="1"/>
    </xf>
    <xf numFmtId="57" fontId="1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31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6" Type="http://schemas.openxmlformats.org/officeDocument/2006/relationships/styles" Target="styles.xml"/><Relationship Id="rId55" Type="http://schemas.openxmlformats.org/officeDocument/2006/relationships/sharedStrings" Target="sharedStrings.xml"/><Relationship Id="rId54" Type="http://schemas.openxmlformats.org/officeDocument/2006/relationships/theme" Target="theme/theme1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1"/>
  <sheetViews>
    <sheetView workbookViewId="0">
      <pane ySplit="1" topLeftCell="A49" activePane="bottomLeft" state="frozen"/>
      <selection/>
      <selection pane="bottomLeft" activeCell="B60" sqref="B60"/>
    </sheetView>
  </sheetViews>
  <sheetFormatPr defaultColWidth="8.50833333333333" defaultRowHeight="14"/>
  <cols>
    <col min="1" max="1" width="15.375" style="1" customWidth="1"/>
    <col min="2" max="2" width="10.125" style="6" customWidth="1"/>
    <col min="3" max="5" width="10.125" style="1" customWidth="1"/>
    <col min="6" max="6" width="24.25" style="1" customWidth="1"/>
    <col min="7" max="7" width="15.75" style="7" customWidth="1"/>
    <col min="8" max="8" width="15.75" style="1" customWidth="1"/>
    <col min="9" max="9" width="40.375" style="1" customWidth="1"/>
    <col min="10" max="10" width="9.50833333333333" style="1" customWidth="1"/>
    <col min="11" max="16384" width="8.50833333333333" style="1"/>
  </cols>
  <sheetData>
    <row r="1" ht="28" spans="1:9">
      <c r="A1" s="10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9" t="s">
        <v>6</v>
      </c>
      <c r="H1" s="19" t="s">
        <v>7</v>
      </c>
      <c r="I1" s="19" t="s">
        <v>8</v>
      </c>
    </row>
    <row r="2" spans="1:9">
      <c r="A2" s="10" t="s">
        <v>9</v>
      </c>
      <c r="B2" s="9">
        <f>(($A58-$A57)*B57+($A59-$A58)*B58+(DATE(1972,1,1)-$A59)*B59)/(DATE(1972,1,1)-$A57)</f>
        <v>14.968660968661</v>
      </c>
      <c r="C2" s="9">
        <f>(($A58-$A57)*C57+($A59-$A58)*C58+(DATE(1972,1,1)-$A59)*C59)/(DATE(1972,1,1)-$A57)</f>
        <v>13.6418803418803</v>
      </c>
      <c r="D2" s="9">
        <f>(($A58-$A57)*D57+($A59-$A58)*D58+(DATE(1972,1,1)-$A59)*D59)/(DATE(1972,1,1)-$A57)</f>
        <v>11.7435897435897</v>
      </c>
      <c r="E2" s="10" t="s">
        <v>10</v>
      </c>
      <c r="F2" s="10"/>
      <c r="G2" s="19"/>
      <c r="H2" s="19"/>
      <c r="I2" s="19"/>
    </row>
    <row r="3" spans="1:9">
      <c r="A3" s="10" t="s">
        <v>11</v>
      </c>
      <c r="B3" s="9"/>
      <c r="C3" s="10"/>
      <c r="D3" s="10"/>
      <c r="E3" s="10"/>
      <c r="F3" s="10"/>
      <c r="G3" s="19"/>
      <c r="H3" s="19"/>
      <c r="I3" s="19"/>
    </row>
    <row r="4" spans="1:9">
      <c r="A4" s="10" t="s">
        <v>12</v>
      </c>
      <c r="B4" s="9"/>
      <c r="C4" s="10"/>
      <c r="D4" s="10"/>
      <c r="E4" s="10"/>
      <c r="F4" s="10"/>
      <c r="G4" s="19"/>
      <c r="H4" s="19"/>
      <c r="I4" s="19"/>
    </row>
    <row r="5" spans="1:9">
      <c r="A5" s="10" t="s">
        <v>13</v>
      </c>
      <c r="B5" s="9"/>
      <c r="C5" s="10"/>
      <c r="D5" s="10"/>
      <c r="E5" s="10"/>
      <c r="F5" s="10"/>
      <c r="G5" s="19"/>
      <c r="H5" s="19"/>
      <c r="I5" s="19"/>
    </row>
    <row r="6" spans="1:9">
      <c r="A6" s="10" t="s">
        <v>14</v>
      </c>
      <c r="B6" s="9"/>
      <c r="C6" s="10"/>
      <c r="D6" s="10"/>
      <c r="E6" s="10"/>
      <c r="F6" s="10"/>
      <c r="G6" s="19"/>
      <c r="H6" s="19"/>
      <c r="I6" s="19"/>
    </row>
    <row r="7" spans="1:9">
      <c r="A7" s="10" t="s">
        <v>15</v>
      </c>
      <c r="B7" s="9"/>
      <c r="C7" s="10"/>
      <c r="D7" s="10"/>
      <c r="E7" s="10"/>
      <c r="F7" s="10"/>
      <c r="G7" s="19"/>
      <c r="H7" s="19"/>
      <c r="I7" s="19"/>
    </row>
    <row r="8" spans="1:9">
      <c r="A8" s="10" t="s">
        <v>16</v>
      </c>
      <c r="B8" s="9"/>
      <c r="C8" s="10"/>
      <c r="D8" s="10"/>
      <c r="E8" s="10"/>
      <c r="F8" s="10"/>
      <c r="G8" s="19"/>
      <c r="H8" s="19"/>
      <c r="I8" s="19"/>
    </row>
    <row r="9" spans="1:9">
      <c r="A9" s="10" t="s">
        <v>17</v>
      </c>
      <c r="B9" s="9"/>
      <c r="C9" s="10"/>
      <c r="D9" s="10"/>
      <c r="E9" s="10"/>
      <c r="F9" s="10"/>
      <c r="G9" s="19"/>
      <c r="H9" s="19"/>
      <c r="I9" s="19"/>
    </row>
    <row r="10" spans="1:9">
      <c r="A10" s="10" t="s">
        <v>18</v>
      </c>
      <c r="B10" s="9"/>
      <c r="C10" s="10"/>
      <c r="D10" s="10"/>
      <c r="E10" s="10"/>
      <c r="F10" s="10"/>
      <c r="G10" s="19"/>
      <c r="H10" s="19"/>
      <c r="I10" s="19"/>
    </row>
    <row r="11" spans="1:9">
      <c r="A11" s="10" t="s">
        <v>19</v>
      </c>
      <c r="B11" s="9"/>
      <c r="C11" s="10"/>
      <c r="D11" s="10"/>
      <c r="E11" s="10"/>
      <c r="F11" s="10"/>
      <c r="G11" s="19"/>
      <c r="H11" s="19"/>
      <c r="I11" s="19"/>
    </row>
    <row r="12" spans="1:9">
      <c r="A12" s="10" t="s">
        <v>20</v>
      </c>
      <c r="B12" s="9"/>
      <c r="C12" s="10"/>
      <c r="D12" s="10"/>
      <c r="E12" s="10"/>
      <c r="F12" s="10"/>
      <c r="G12" s="19"/>
      <c r="H12" s="19"/>
      <c r="I12" s="19"/>
    </row>
    <row r="13" spans="1:9">
      <c r="A13" s="10" t="s">
        <v>21</v>
      </c>
      <c r="B13" s="9"/>
      <c r="C13" s="10"/>
      <c r="D13" s="10"/>
      <c r="E13" s="10"/>
      <c r="F13" s="10"/>
      <c r="G13" s="19"/>
      <c r="H13" s="19"/>
      <c r="I13" s="19"/>
    </row>
    <row r="14" spans="1:9">
      <c r="A14" s="10" t="s">
        <v>22</v>
      </c>
      <c r="B14" s="9"/>
      <c r="C14" s="10"/>
      <c r="D14" s="10"/>
      <c r="E14" s="10"/>
      <c r="F14" s="10"/>
      <c r="G14" s="19"/>
      <c r="H14" s="19"/>
      <c r="I14" s="19"/>
    </row>
    <row r="15" spans="1:9">
      <c r="A15" s="10" t="s">
        <v>23</v>
      </c>
      <c r="B15" s="9"/>
      <c r="C15" s="10"/>
      <c r="D15" s="10"/>
      <c r="E15" s="10"/>
      <c r="F15" s="10"/>
      <c r="G15" s="19"/>
      <c r="H15" s="19"/>
      <c r="I15" s="19"/>
    </row>
    <row r="16" spans="1:9">
      <c r="A16" s="10" t="s">
        <v>24</v>
      </c>
      <c r="B16" s="9"/>
      <c r="C16" s="10"/>
      <c r="D16" s="10"/>
      <c r="E16" s="10"/>
      <c r="F16" s="10"/>
      <c r="G16" s="19"/>
      <c r="H16" s="19"/>
      <c r="I16" s="19"/>
    </row>
    <row r="17" spans="1:9">
      <c r="A17" s="10" t="s">
        <v>25</v>
      </c>
      <c r="B17" s="9"/>
      <c r="C17" s="10"/>
      <c r="D17" s="10"/>
      <c r="E17" s="10"/>
      <c r="F17" s="10"/>
      <c r="G17" s="19"/>
      <c r="H17" s="19"/>
      <c r="I17" s="19"/>
    </row>
    <row r="18" spans="1:9">
      <c r="A18" s="10" t="s">
        <v>26</v>
      </c>
      <c r="B18" s="9"/>
      <c r="C18" s="10"/>
      <c r="D18" s="10"/>
      <c r="E18" s="10"/>
      <c r="F18" s="10"/>
      <c r="G18" s="19"/>
      <c r="H18" s="19"/>
      <c r="I18" s="19"/>
    </row>
    <row r="19" spans="1:9">
      <c r="A19" s="10" t="s">
        <v>27</v>
      </c>
      <c r="B19" s="9"/>
      <c r="C19" s="10"/>
      <c r="D19" s="10"/>
      <c r="E19" s="10"/>
      <c r="F19" s="10"/>
      <c r="G19" s="19"/>
      <c r="H19" s="19"/>
      <c r="I19" s="19"/>
    </row>
    <row r="20" spans="1:9">
      <c r="A20" s="10" t="s">
        <v>28</v>
      </c>
      <c r="B20" s="9"/>
      <c r="C20" s="10"/>
      <c r="D20" s="10"/>
      <c r="E20" s="10"/>
      <c r="F20" s="10"/>
      <c r="G20" s="19"/>
      <c r="H20" s="19"/>
      <c r="I20" s="19"/>
    </row>
    <row r="21" spans="1:9">
      <c r="A21" s="10" t="s">
        <v>29</v>
      </c>
      <c r="B21" s="9"/>
      <c r="C21" s="10"/>
      <c r="D21" s="10"/>
      <c r="E21" s="10"/>
      <c r="F21" s="10"/>
      <c r="G21" s="19"/>
      <c r="H21" s="19"/>
      <c r="I21" s="19"/>
    </row>
    <row r="22" spans="1:9">
      <c r="A22" s="10" t="s">
        <v>30</v>
      </c>
      <c r="B22" s="9"/>
      <c r="C22" s="10"/>
      <c r="D22" s="10"/>
      <c r="E22" s="10"/>
      <c r="F22" s="10"/>
      <c r="G22" s="19"/>
      <c r="H22" s="19"/>
      <c r="I22" s="19"/>
    </row>
    <row r="23" spans="1:9">
      <c r="A23" s="10" t="s">
        <v>31</v>
      </c>
      <c r="B23" s="9"/>
      <c r="C23" s="10"/>
      <c r="D23" s="10"/>
      <c r="E23" s="10"/>
      <c r="F23" s="10"/>
      <c r="G23" s="19"/>
      <c r="H23" s="19"/>
      <c r="I23" s="19"/>
    </row>
    <row r="24" spans="1:9">
      <c r="A24" s="10" t="s">
        <v>32</v>
      </c>
      <c r="B24" s="9"/>
      <c r="C24" s="10"/>
      <c r="D24" s="10"/>
      <c r="E24" s="10"/>
      <c r="F24" s="10"/>
      <c r="G24" s="19"/>
      <c r="H24" s="19"/>
      <c r="I24" s="19"/>
    </row>
    <row r="25" spans="1:9">
      <c r="A25" s="10" t="s">
        <v>33</v>
      </c>
      <c r="B25" s="9"/>
      <c r="C25" s="10"/>
      <c r="D25" s="10"/>
      <c r="E25" s="10"/>
      <c r="F25" s="10"/>
      <c r="G25" s="19"/>
      <c r="H25" s="19"/>
      <c r="I25" s="19"/>
    </row>
    <row r="26" spans="1:9">
      <c r="A26" s="10" t="s">
        <v>34</v>
      </c>
      <c r="B26" s="9"/>
      <c r="C26" s="10"/>
      <c r="D26" s="10"/>
      <c r="E26" s="10"/>
      <c r="F26" s="10"/>
      <c r="G26" s="19"/>
      <c r="H26" s="19"/>
      <c r="I26" s="19"/>
    </row>
    <row r="27" spans="1:9">
      <c r="A27" s="10" t="s">
        <v>35</v>
      </c>
      <c r="B27" s="9"/>
      <c r="C27" s="10"/>
      <c r="D27" s="10"/>
      <c r="E27" s="10"/>
      <c r="F27" s="10"/>
      <c r="G27" s="19"/>
      <c r="H27" s="19"/>
      <c r="I27" s="19"/>
    </row>
    <row r="28" spans="1:9">
      <c r="A28" s="10" t="s">
        <v>36</v>
      </c>
      <c r="B28" s="9"/>
      <c r="C28" s="10"/>
      <c r="D28" s="10"/>
      <c r="E28" s="10"/>
      <c r="F28" s="10"/>
      <c r="G28" s="19"/>
      <c r="H28" s="19"/>
      <c r="I28" s="19"/>
    </row>
    <row r="29" spans="1:9">
      <c r="A29" s="10" t="s">
        <v>37</v>
      </c>
      <c r="B29" s="9"/>
      <c r="C29" s="10"/>
      <c r="D29" s="10"/>
      <c r="E29" s="10"/>
      <c r="F29" s="10"/>
      <c r="G29" s="19"/>
      <c r="H29" s="19"/>
      <c r="I29" s="19"/>
    </row>
    <row r="30" spans="1:9">
      <c r="A30" s="10" t="s">
        <v>38</v>
      </c>
      <c r="B30" s="9"/>
      <c r="C30" s="10"/>
      <c r="D30" s="10"/>
      <c r="E30" s="10"/>
      <c r="F30" s="10"/>
      <c r="G30" s="19"/>
      <c r="H30" s="19"/>
      <c r="I30" s="19"/>
    </row>
    <row r="31" spans="1:9">
      <c r="A31" s="10" t="s">
        <v>39</v>
      </c>
      <c r="B31" s="9"/>
      <c r="C31" s="10"/>
      <c r="D31" s="10"/>
      <c r="E31" s="10"/>
      <c r="F31" s="10"/>
      <c r="G31" s="19"/>
      <c r="H31" s="19"/>
      <c r="I31" s="19"/>
    </row>
    <row r="32" spans="1:9">
      <c r="A32" s="10" t="s">
        <v>40</v>
      </c>
      <c r="B32" s="9"/>
      <c r="C32" s="10"/>
      <c r="D32" s="10"/>
      <c r="E32" s="10"/>
      <c r="F32" s="10"/>
      <c r="G32" s="19"/>
      <c r="H32" s="19"/>
      <c r="I32" s="19"/>
    </row>
    <row r="33" spans="1:9">
      <c r="A33" s="10" t="s">
        <v>41</v>
      </c>
      <c r="B33" s="9"/>
      <c r="C33" s="10"/>
      <c r="D33" s="10"/>
      <c r="E33" s="10"/>
      <c r="F33" s="10"/>
      <c r="G33" s="19"/>
      <c r="H33" s="19"/>
      <c r="I33" s="19"/>
    </row>
    <row r="34" spans="1:9">
      <c r="A34" s="10" t="s">
        <v>42</v>
      </c>
      <c r="B34" s="9"/>
      <c r="C34" s="10"/>
      <c r="D34" s="10"/>
      <c r="E34" s="10"/>
      <c r="F34" s="10"/>
      <c r="G34" s="19"/>
      <c r="H34" s="19"/>
      <c r="I34" s="19"/>
    </row>
    <row r="35" spans="1:9">
      <c r="A35" s="10" t="s">
        <v>43</v>
      </c>
      <c r="B35" s="9"/>
      <c r="C35" s="10"/>
      <c r="D35" s="10"/>
      <c r="E35" s="10"/>
      <c r="F35" s="10"/>
      <c r="G35" s="19"/>
      <c r="H35" s="19"/>
      <c r="I35" s="19"/>
    </row>
    <row r="36" spans="1:9">
      <c r="A36" s="10" t="s">
        <v>44</v>
      </c>
      <c r="B36" s="9"/>
      <c r="C36" s="10"/>
      <c r="D36" s="10"/>
      <c r="E36" s="10"/>
      <c r="F36" s="10"/>
      <c r="G36" s="19"/>
      <c r="H36" s="19"/>
      <c r="I36" s="19"/>
    </row>
    <row r="37" spans="1:9">
      <c r="A37" s="10" t="s">
        <v>45</v>
      </c>
      <c r="B37" s="9"/>
      <c r="C37" s="10"/>
      <c r="D37" s="10"/>
      <c r="E37" s="10"/>
      <c r="F37" s="10"/>
      <c r="G37" s="19"/>
      <c r="H37" s="19"/>
      <c r="I37" s="19"/>
    </row>
    <row r="38" spans="1:9">
      <c r="A38" s="10" t="s">
        <v>46</v>
      </c>
      <c r="B38" s="9"/>
      <c r="C38" s="10"/>
      <c r="D38" s="10"/>
      <c r="E38" s="10"/>
      <c r="F38" s="10"/>
      <c r="G38" s="19"/>
      <c r="H38" s="19"/>
      <c r="I38" s="19"/>
    </row>
    <row r="39" spans="1:9">
      <c r="A39" s="10" t="s">
        <v>47</v>
      </c>
      <c r="B39" s="9"/>
      <c r="C39" s="10"/>
      <c r="D39" s="10"/>
      <c r="E39" s="10"/>
      <c r="F39" s="10"/>
      <c r="G39" s="19"/>
      <c r="H39" s="19"/>
      <c r="I39" s="19"/>
    </row>
    <row r="40" spans="1:9">
      <c r="A40" s="10" t="s">
        <v>48</v>
      </c>
      <c r="B40" s="9"/>
      <c r="C40" s="10"/>
      <c r="D40" s="10"/>
      <c r="E40" s="10"/>
      <c r="F40" s="10"/>
      <c r="G40" s="19"/>
      <c r="H40" s="19"/>
      <c r="I40" s="19"/>
    </row>
    <row r="41" spans="1:9">
      <c r="A41" s="10" t="s">
        <v>49</v>
      </c>
      <c r="B41" s="9"/>
      <c r="C41" s="10"/>
      <c r="D41" s="10"/>
      <c r="E41" s="10"/>
      <c r="F41" s="10"/>
      <c r="G41" s="19"/>
      <c r="H41" s="19"/>
      <c r="I41" s="19"/>
    </row>
    <row r="42" spans="1:9">
      <c r="A42" s="10" t="s">
        <v>50</v>
      </c>
      <c r="B42" s="9"/>
      <c r="C42" s="10"/>
      <c r="D42" s="10"/>
      <c r="E42" s="10"/>
      <c r="F42" s="10"/>
      <c r="G42" s="19"/>
      <c r="H42" s="19"/>
      <c r="I42" s="19"/>
    </row>
    <row r="43" spans="1:9">
      <c r="A43" s="10" t="s">
        <v>51</v>
      </c>
      <c r="B43" s="9"/>
      <c r="C43" s="10"/>
      <c r="D43" s="10"/>
      <c r="E43" s="10"/>
      <c r="F43" s="10"/>
      <c r="G43" s="19"/>
      <c r="H43" s="19"/>
      <c r="I43" s="19"/>
    </row>
    <row r="44" spans="1:9">
      <c r="A44" s="10" t="s">
        <v>52</v>
      </c>
      <c r="B44" s="9"/>
      <c r="C44" s="10"/>
      <c r="D44" s="10"/>
      <c r="E44" s="10"/>
      <c r="F44" s="10"/>
      <c r="G44" s="19"/>
      <c r="H44" s="19"/>
      <c r="I44" s="19"/>
    </row>
    <row r="45" spans="1:9">
      <c r="A45" s="10" t="s">
        <v>53</v>
      </c>
      <c r="B45" s="9"/>
      <c r="C45" s="10"/>
      <c r="D45" s="10"/>
      <c r="E45" s="10"/>
      <c r="F45" s="10"/>
      <c r="G45" s="19"/>
      <c r="H45" s="19"/>
      <c r="I45" s="19"/>
    </row>
    <row r="46" spans="1:9">
      <c r="A46" s="10" t="s">
        <v>54</v>
      </c>
      <c r="B46" s="9"/>
      <c r="C46" s="10"/>
      <c r="D46" s="10"/>
      <c r="E46" s="10"/>
      <c r="F46" s="10"/>
      <c r="G46" s="19"/>
      <c r="H46" s="19"/>
      <c r="I46" s="19"/>
    </row>
    <row r="47" spans="1:9">
      <c r="A47" s="10" t="s">
        <v>55</v>
      </c>
      <c r="B47" s="9"/>
      <c r="C47" s="10"/>
      <c r="D47" s="10"/>
      <c r="E47" s="10"/>
      <c r="F47" s="10"/>
      <c r="G47" s="19"/>
      <c r="H47" s="19"/>
      <c r="I47" s="19"/>
    </row>
    <row r="48" spans="1:9">
      <c r="A48" s="10" t="s">
        <v>56</v>
      </c>
      <c r="B48" s="9"/>
      <c r="C48" s="10"/>
      <c r="D48" s="10"/>
      <c r="E48" s="10"/>
      <c r="F48" s="10"/>
      <c r="G48" s="19"/>
      <c r="H48" s="19"/>
      <c r="I48" s="19"/>
    </row>
    <row r="49" spans="1:9">
      <c r="A49" s="10" t="s">
        <v>57</v>
      </c>
      <c r="B49" s="9"/>
      <c r="C49" s="10"/>
      <c r="D49" s="10"/>
      <c r="E49" s="10"/>
      <c r="F49" s="10"/>
      <c r="G49" s="19"/>
      <c r="H49" s="19"/>
      <c r="I49" s="19"/>
    </row>
    <row r="50" spans="1:9">
      <c r="A50" s="10" t="s">
        <v>58</v>
      </c>
      <c r="B50" s="9"/>
      <c r="C50" s="10"/>
      <c r="D50" s="10"/>
      <c r="E50" s="10"/>
      <c r="F50" s="10"/>
      <c r="G50" s="19"/>
      <c r="H50" s="19"/>
      <c r="I50" s="19"/>
    </row>
    <row r="51" spans="1:9">
      <c r="A51" s="10" t="s">
        <v>59</v>
      </c>
      <c r="B51" s="9"/>
      <c r="C51" s="10"/>
      <c r="D51" s="10"/>
      <c r="E51" s="10"/>
      <c r="F51" s="10"/>
      <c r="G51" s="19"/>
      <c r="H51" s="19"/>
      <c r="I51" s="19"/>
    </row>
    <row r="52" spans="1:9">
      <c r="A52" s="10" t="s">
        <v>60</v>
      </c>
      <c r="B52" s="9"/>
      <c r="C52" s="10"/>
      <c r="D52" s="10"/>
      <c r="E52" s="10"/>
      <c r="F52" s="10"/>
      <c r="G52" s="19"/>
      <c r="H52" s="19"/>
      <c r="I52" s="19"/>
    </row>
    <row r="53" spans="1:9">
      <c r="A53" s="10" t="s">
        <v>61</v>
      </c>
      <c r="B53" s="9"/>
      <c r="C53" s="10"/>
      <c r="D53" s="10"/>
      <c r="E53" s="10"/>
      <c r="F53" s="10"/>
      <c r="G53" s="19"/>
      <c r="H53" s="19"/>
      <c r="I53" s="19"/>
    </row>
    <row r="54" spans="1:9">
      <c r="A54" s="10" t="s">
        <v>62</v>
      </c>
      <c r="B54" s="9"/>
      <c r="C54" s="10"/>
      <c r="D54" s="10"/>
      <c r="E54" s="10"/>
      <c r="F54" s="10"/>
      <c r="G54" s="19"/>
      <c r="H54" s="19"/>
      <c r="I54" s="19"/>
    </row>
    <row r="55" spans="1:9">
      <c r="A55" s="10" t="s">
        <v>63</v>
      </c>
      <c r="B55" s="9"/>
      <c r="C55" s="10"/>
      <c r="D55" s="10"/>
      <c r="E55" s="10"/>
      <c r="F55" s="10"/>
      <c r="G55" s="19"/>
      <c r="H55" s="19"/>
      <c r="I55" s="19"/>
    </row>
    <row r="56" spans="1:8">
      <c r="A56" s="3"/>
      <c r="H56" s="3"/>
    </row>
    <row r="57" ht="28" spans="1:8">
      <c r="A57" s="3">
        <v>25948</v>
      </c>
      <c r="B57" s="6">
        <v>12</v>
      </c>
      <c r="C57" s="1">
        <v>10.7</v>
      </c>
      <c r="D57" s="1">
        <v>10</v>
      </c>
      <c r="E57" s="1" t="s">
        <v>64</v>
      </c>
      <c r="F57" s="1" t="s">
        <v>65</v>
      </c>
      <c r="H57" s="3" t="s">
        <v>66</v>
      </c>
    </row>
    <row r="58" spans="1:6">
      <c r="A58" s="3">
        <v>26150</v>
      </c>
      <c r="B58" s="6">
        <v>17</v>
      </c>
      <c r="C58" s="1">
        <v>15.6</v>
      </c>
      <c r="D58" s="1">
        <v>13</v>
      </c>
      <c r="E58" s="1" t="s">
        <v>64</v>
      </c>
      <c r="F58" s="1" t="s">
        <v>67</v>
      </c>
    </row>
    <row r="59" spans="1:6">
      <c r="A59" s="3">
        <v>26244</v>
      </c>
      <c r="B59" s="6">
        <v>22.4</v>
      </c>
      <c r="C59" s="1">
        <v>21.1</v>
      </c>
      <c r="D59" s="1">
        <v>16</v>
      </c>
      <c r="E59" s="1" t="s">
        <v>64</v>
      </c>
      <c r="F59" s="1" t="s">
        <v>68</v>
      </c>
    </row>
    <row r="60" ht="28" spans="1:8">
      <c r="A60" s="3">
        <v>26777</v>
      </c>
      <c r="B60" s="6">
        <v>24.9</v>
      </c>
      <c r="C60" s="1">
        <v>23.6</v>
      </c>
      <c r="D60" s="1">
        <v>17</v>
      </c>
      <c r="E60" s="1" t="s">
        <v>64</v>
      </c>
      <c r="F60" s="1" t="s">
        <v>69</v>
      </c>
      <c r="H60" s="1" t="s">
        <v>70</v>
      </c>
    </row>
    <row r="61" spans="1:7">
      <c r="A61" s="3">
        <v>30945</v>
      </c>
      <c r="B61" s="6">
        <v>40</v>
      </c>
      <c r="C61" s="1">
        <v>39.7</v>
      </c>
      <c r="D61" s="1">
        <v>29</v>
      </c>
      <c r="E61" s="1" t="s">
        <v>71</v>
      </c>
      <c r="F61" s="1" t="s">
        <v>72</v>
      </c>
      <c r="G61" s="7" t="s">
        <v>73</v>
      </c>
    </row>
    <row r="62" spans="1:6">
      <c r="A62" s="3">
        <v>32135</v>
      </c>
      <c r="B62" s="6">
        <v>40</v>
      </c>
      <c r="C62" s="1">
        <v>39.7</v>
      </c>
      <c r="D62" s="1">
        <v>30</v>
      </c>
      <c r="E62" s="1" t="s">
        <v>71</v>
      </c>
      <c r="F62" s="1" t="s">
        <v>74</v>
      </c>
    </row>
    <row r="63" ht="28" spans="1:8">
      <c r="A63" s="3">
        <v>32139</v>
      </c>
      <c r="B63" s="6">
        <v>40</v>
      </c>
      <c r="C63" s="1">
        <v>40</v>
      </c>
      <c r="D63" s="1">
        <v>30</v>
      </c>
      <c r="E63" s="1" t="s">
        <v>71</v>
      </c>
      <c r="F63" s="1" t="s">
        <v>75</v>
      </c>
      <c r="G63" s="7" t="s">
        <v>76</v>
      </c>
      <c r="H63" s="1" t="s">
        <v>77</v>
      </c>
    </row>
    <row r="64" spans="1:6">
      <c r="A64" s="3">
        <v>33950</v>
      </c>
      <c r="B64" s="6">
        <v>41.5</v>
      </c>
      <c r="C64" s="1">
        <v>41.6</v>
      </c>
      <c r="D64" s="1">
        <v>31</v>
      </c>
      <c r="E64" s="1" t="s">
        <v>71</v>
      </c>
      <c r="F64" s="1" t="s">
        <v>78</v>
      </c>
    </row>
    <row r="65" spans="1:6">
      <c r="A65" s="3">
        <v>36431</v>
      </c>
      <c r="B65" s="6">
        <v>52.1</v>
      </c>
      <c r="C65" s="1">
        <v>54.4</v>
      </c>
      <c r="D65" s="1">
        <v>41</v>
      </c>
      <c r="E65" s="1" t="s">
        <v>79</v>
      </c>
      <c r="F65" s="1" t="s">
        <v>80</v>
      </c>
    </row>
    <row r="66" spans="1:6">
      <c r="A66" s="3">
        <v>36572</v>
      </c>
      <c r="B66" s="6">
        <v>52.1</v>
      </c>
      <c r="C66" s="1">
        <v>54.4</v>
      </c>
      <c r="D66" s="1">
        <v>41</v>
      </c>
      <c r="E66" s="1" t="s">
        <v>79</v>
      </c>
      <c r="F66" s="1" t="s">
        <v>81</v>
      </c>
    </row>
    <row r="67" spans="1:6">
      <c r="A67" s="3">
        <v>36641</v>
      </c>
      <c r="B67" s="6">
        <v>52.1</v>
      </c>
      <c r="C67" s="1">
        <v>54.4</v>
      </c>
      <c r="D67" s="1">
        <v>41</v>
      </c>
      <c r="E67" s="1" t="s">
        <v>79</v>
      </c>
      <c r="F67" s="1" t="s">
        <v>82</v>
      </c>
    </row>
    <row r="68" spans="1:6">
      <c r="A68" s="3">
        <v>36705</v>
      </c>
      <c r="B68" s="6">
        <v>53.6</v>
      </c>
      <c r="C68" s="1">
        <v>54.4</v>
      </c>
      <c r="D68" s="1">
        <v>41</v>
      </c>
      <c r="E68" s="1" t="s">
        <v>71</v>
      </c>
      <c r="F68" s="1" t="s">
        <v>83</v>
      </c>
    </row>
    <row r="69" spans="1:6">
      <c r="A69" s="3">
        <v>37527</v>
      </c>
      <c r="B69" s="6">
        <v>73.6</v>
      </c>
      <c r="C69" s="1">
        <v>75.02</v>
      </c>
      <c r="D69" s="1">
        <v>50</v>
      </c>
      <c r="E69" s="1" t="s">
        <v>79</v>
      </c>
      <c r="F69" s="1" t="s">
        <v>84</v>
      </c>
    </row>
    <row r="70" spans="1:6">
      <c r="A70" s="3">
        <v>37649</v>
      </c>
      <c r="B70" s="6">
        <v>94.5</v>
      </c>
      <c r="C70" s="1">
        <v>95.25</v>
      </c>
      <c r="D70" s="1">
        <v>57</v>
      </c>
      <c r="E70" s="1" t="s">
        <v>79</v>
      </c>
      <c r="F70" s="1" t="s">
        <v>85</v>
      </c>
    </row>
    <row r="71" spans="1:6">
      <c r="A71" s="3">
        <v>37982</v>
      </c>
      <c r="B71" s="6">
        <v>114.1</v>
      </c>
      <c r="C71" s="1">
        <v>114.35</v>
      </c>
      <c r="D71" s="1">
        <v>70</v>
      </c>
      <c r="E71" s="1" t="s">
        <v>86</v>
      </c>
      <c r="F71" s="1" t="s">
        <v>87</v>
      </c>
    </row>
    <row r="72" spans="1:6">
      <c r="A72" s="3">
        <v>39362</v>
      </c>
      <c r="B72" s="6">
        <v>141.7</v>
      </c>
      <c r="C72" s="1">
        <v>141.95</v>
      </c>
      <c r="D72" s="1">
        <v>93</v>
      </c>
      <c r="E72" s="1" t="s">
        <v>88</v>
      </c>
      <c r="F72" s="1" t="s">
        <v>89</v>
      </c>
    </row>
    <row r="73" ht="28" spans="1:6">
      <c r="A73" s="3">
        <v>39648</v>
      </c>
      <c r="B73" s="6">
        <v>193.4</v>
      </c>
      <c r="C73" s="1">
        <v>198.7</v>
      </c>
      <c r="D73" s="1">
        <v>122</v>
      </c>
      <c r="E73" s="1" t="s">
        <v>90</v>
      </c>
      <c r="F73" s="1" t="s">
        <v>91</v>
      </c>
    </row>
    <row r="74" spans="1:6">
      <c r="A74" s="3">
        <v>39730</v>
      </c>
      <c r="B74" s="6">
        <v>196.9</v>
      </c>
      <c r="C74" s="1">
        <v>198.7</v>
      </c>
      <c r="D74" s="1">
        <v>123</v>
      </c>
      <c r="E74" s="1" t="s">
        <v>90</v>
      </c>
      <c r="F74" s="1" t="s">
        <v>92</v>
      </c>
    </row>
    <row r="75" spans="1:6">
      <c r="A75" s="3">
        <v>40084</v>
      </c>
      <c r="B75" s="6">
        <v>225.1</v>
      </c>
      <c r="C75" s="1">
        <v>226.9</v>
      </c>
      <c r="D75" s="1">
        <v>147</v>
      </c>
      <c r="E75" s="1" t="s">
        <v>93</v>
      </c>
      <c r="F75" s="1" t="s">
        <v>94</v>
      </c>
    </row>
    <row r="76" ht="42" spans="1:8">
      <c r="A76" s="3">
        <v>40542</v>
      </c>
      <c r="B76" s="6">
        <v>332.3</v>
      </c>
      <c r="C76" s="1">
        <v>337.23</v>
      </c>
      <c r="D76" s="1">
        <v>197</v>
      </c>
      <c r="E76" s="1" t="s">
        <v>95</v>
      </c>
      <c r="F76" s="1" t="s">
        <v>96</v>
      </c>
      <c r="H76" s="35" t="s">
        <v>97</v>
      </c>
    </row>
    <row r="77" ht="56" spans="1:6">
      <c r="A77" s="3">
        <v>40908</v>
      </c>
      <c r="B77" s="6">
        <v>367.3</v>
      </c>
      <c r="C77" s="1">
        <v>372.07</v>
      </c>
      <c r="D77" s="1">
        <v>216</v>
      </c>
      <c r="E77" s="1" t="s">
        <v>98</v>
      </c>
      <c r="F77" s="1" t="s">
        <v>99</v>
      </c>
    </row>
    <row r="78" spans="1:6">
      <c r="A78" s="3">
        <v>41194</v>
      </c>
      <c r="B78" s="6">
        <v>367.3</v>
      </c>
      <c r="C78" s="1">
        <v>372.07</v>
      </c>
      <c r="D78" s="1">
        <v>217</v>
      </c>
      <c r="E78" s="1" t="s">
        <v>98</v>
      </c>
      <c r="F78" s="1" t="s">
        <v>100</v>
      </c>
    </row>
    <row r="79" ht="70" spans="1:6">
      <c r="A79" s="3">
        <v>41273</v>
      </c>
      <c r="B79" s="6">
        <v>435.1</v>
      </c>
      <c r="C79" s="1">
        <v>441.87</v>
      </c>
      <c r="D79" s="1">
        <v>262</v>
      </c>
      <c r="E79" s="1" t="s">
        <v>101</v>
      </c>
      <c r="F79" s="1" t="s">
        <v>102</v>
      </c>
    </row>
    <row r="80" spans="1:6">
      <c r="A80" s="3">
        <v>41399</v>
      </c>
      <c r="B80" s="6">
        <v>450.7</v>
      </c>
      <c r="C80" s="1">
        <v>456.62</v>
      </c>
      <c r="D80" s="1">
        <v>271</v>
      </c>
      <c r="E80" s="1" t="s">
        <v>103</v>
      </c>
      <c r="F80" s="1" t="s">
        <v>104</v>
      </c>
    </row>
    <row r="81" spans="1:6">
      <c r="A81" s="3">
        <v>41629</v>
      </c>
      <c r="B81" s="6">
        <v>450.7</v>
      </c>
      <c r="C81" s="1">
        <v>456.62</v>
      </c>
      <c r="D81" s="1">
        <v>272</v>
      </c>
      <c r="E81" s="1" t="s">
        <v>103</v>
      </c>
      <c r="F81" s="1" t="s">
        <v>105</v>
      </c>
    </row>
    <row r="82" ht="28" spans="1:6">
      <c r="A82" s="3">
        <v>41636</v>
      </c>
      <c r="B82" s="6">
        <v>459.5</v>
      </c>
      <c r="C82" s="1">
        <v>464.61</v>
      </c>
      <c r="D82" s="1">
        <v>277</v>
      </c>
      <c r="E82" s="1" t="s">
        <v>103</v>
      </c>
      <c r="F82" s="1" t="s">
        <v>106</v>
      </c>
    </row>
    <row r="83" spans="1:6">
      <c r="A83" s="3">
        <v>41685</v>
      </c>
      <c r="B83" s="6">
        <v>459.5</v>
      </c>
      <c r="C83" s="1">
        <v>464.61</v>
      </c>
      <c r="D83" s="1">
        <v>278</v>
      </c>
      <c r="E83" s="1" t="s">
        <v>103</v>
      </c>
      <c r="F83" s="1" t="s">
        <v>107</v>
      </c>
    </row>
    <row r="84" ht="84" spans="1:6">
      <c r="A84" s="3">
        <v>42001</v>
      </c>
      <c r="B84" s="6">
        <v>521.8</v>
      </c>
      <c r="C84" s="1">
        <v>525.71</v>
      </c>
      <c r="D84" s="1">
        <v>319</v>
      </c>
      <c r="E84" s="1" t="s">
        <v>108</v>
      </c>
      <c r="F84" s="1" t="s">
        <v>109</v>
      </c>
    </row>
    <row r="85" ht="56" spans="1:6">
      <c r="A85" s="3">
        <v>42364</v>
      </c>
      <c r="B85" s="6">
        <v>546.4</v>
      </c>
      <c r="C85" s="1">
        <v>553.21</v>
      </c>
      <c r="D85" s="1">
        <v>336</v>
      </c>
      <c r="E85" s="1" t="s">
        <v>108</v>
      </c>
      <c r="F85" s="1" t="s">
        <v>110</v>
      </c>
    </row>
    <row r="86" ht="28" spans="1:6">
      <c r="A86" s="3">
        <v>42735</v>
      </c>
      <c r="B86" s="6">
        <v>566.1</v>
      </c>
      <c r="C86" s="1">
        <v>573.39</v>
      </c>
      <c r="D86" s="1">
        <v>346</v>
      </c>
      <c r="E86" s="1" t="s">
        <v>111</v>
      </c>
      <c r="F86" s="1" t="s">
        <v>112</v>
      </c>
    </row>
    <row r="87" ht="42" spans="1:6">
      <c r="A87" s="3">
        <v>43099</v>
      </c>
      <c r="B87" s="6">
        <v>592</v>
      </c>
      <c r="C87" s="1">
        <v>597.99</v>
      </c>
      <c r="D87" s="1">
        <v>364</v>
      </c>
      <c r="E87" s="1" t="s">
        <v>113</v>
      </c>
      <c r="F87" s="1" t="s">
        <v>114</v>
      </c>
    </row>
    <row r="88" ht="42" spans="1:6">
      <c r="A88" s="3">
        <v>43464</v>
      </c>
      <c r="B88" s="6">
        <v>621.3</v>
      </c>
      <c r="C88" s="1">
        <v>626.85</v>
      </c>
      <c r="D88" s="1">
        <v>385</v>
      </c>
      <c r="E88" s="1" t="s">
        <v>113</v>
      </c>
      <c r="F88" s="1" t="s">
        <v>115</v>
      </c>
    </row>
    <row r="89" spans="1:6">
      <c r="A89" s="14">
        <v>43734</v>
      </c>
      <c r="B89" s="6">
        <v>662.7</v>
      </c>
      <c r="C89" s="1">
        <v>668.25</v>
      </c>
      <c r="D89" s="1">
        <v>388</v>
      </c>
      <c r="E89" s="1" t="s">
        <v>116</v>
      </c>
      <c r="F89" s="1" t="s">
        <v>117</v>
      </c>
    </row>
    <row r="90" ht="42" spans="1:6">
      <c r="A90" s="14">
        <v>43827</v>
      </c>
      <c r="B90" s="6">
        <v>683.8</v>
      </c>
      <c r="C90" s="1">
        <v>689.35</v>
      </c>
      <c r="D90" s="1">
        <v>398</v>
      </c>
      <c r="E90" s="1" t="s">
        <v>116</v>
      </c>
      <c r="F90" s="1" t="s">
        <v>118</v>
      </c>
    </row>
    <row r="91" spans="1:6">
      <c r="A91" s="14">
        <v>43829</v>
      </c>
      <c r="B91" s="6">
        <v>683.8</v>
      </c>
      <c r="C91" s="1">
        <v>689.35</v>
      </c>
      <c r="D91" s="1">
        <v>399</v>
      </c>
      <c r="E91" s="1" t="s">
        <v>116</v>
      </c>
      <c r="F91" s="1" t="s">
        <v>119</v>
      </c>
    </row>
    <row r="92" spans="1:6">
      <c r="A92" s="14">
        <v>44196</v>
      </c>
      <c r="B92" s="6">
        <v>700.7</v>
      </c>
      <c r="C92" s="1">
        <v>704.69</v>
      </c>
      <c r="D92" s="1">
        <v>408</v>
      </c>
      <c r="E92" s="1" t="s">
        <v>116</v>
      </c>
      <c r="F92" s="1" t="s">
        <v>120</v>
      </c>
    </row>
    <row r="93" spans="1:6">
      <c r="A93" s="14">
        <v>44434</v>
      </c>
      <c r="B93" s="6">
        <v>700.7</v>
      </c>
      <c r="C93" s="18">
        <v>704.69</v>
      </c>
      <c r="D93" s="1">
        <v>410</v>
      </c>
      <c r="E93" s="1" t="s">
        <v>116</v>
      </c>
      <c r="F93" s="1" t="s">
        <v>121</v>
      </c>
    </row>
    <row r="94" spans="1:6">
      <c r="A94" s="14">
        <v>44437</v>
      </c>
      <c r="B94" s="6">
        <v>700.7</v>
      </c>
      <c r="C94" s="18">
        <v>704.69</v>
      </c>
      <c r="D94" s="1">
        <v>408</v>
      </c>
      <c r="E94" s="1" t="s">
        <v>122</v>
      </c>
      <c r="F94" s="1" t="s">
        <v>123</v>
      </c>
    </row>
    <row r="95" ht="42" spans="1:6">
      <c r="A95" s="14">
        <v>44561</v>
      </c>
      <c r="B95" s="6">
        <v>759.3</v>
      </c>
      <c r="C95" s="1">
        <v>761.79</v>
      </c>
      <c r="E95" s="1" t="s">
        <v>124</v>
      </c>
      <c r="F95" s="1" t="s">
        <v>125</v>
      </c>
    </row>
    <row r="96" ht="28" spans="1:6">
      <c r="A96" s="14">
        <v>44772</v>
      </c>
      <c r="B96" s="6">
        <v>759.3</v>
      </c>
      <c r="C96" s="1">
        <v>761.79</v>
      </c>
      <c r="E96" s="1" t="s">
        <v>124</v>
      </c>
      <c r="F96" s="1" t="s">
        <v>126</v>
      </c>
    </row>
    <row r="97" spans="1:6">
      <c r="A97" s="14">
        <v>44926</v>
      </c>
      <c r="B97" s="6">
        <v>773.5</v>
      </c>
      <c r="C97" s="1">
        <v>775.99</v>
      </c>
      <c r="E97" s="1" t="s">
        <v>124</v>
      </c>
      <c r="F97" s="1" t="s">
        <v>127</v>
      </c>
    </row>
    <row r="98" spans="1:6">
      <c r="A98" s="14">
        <v>44961</v>
      </c>
      <c r="B98" s="6">
        <v>783.2</v>
      </c>
      <c r="C98" s="1">
        <v>785.69</v>
      </c>
      <c r="E98" s="1" t="s">
        <v>124</v>
      </c>
      <c r="F98" s="1" t="s">
        <v>128</v>
      </c>
    </row>
    <row r="99" spans="1:6">
      <c r="A99" s="14">
        <v>45003</v>
      </c>
      <c r="B99" s="6">
        <v>783.2</v>
      </c>
      <c r="C99" s="1">
        <v>785.69</v>
      </c>
      <c r="E99" s="1" t="s">
        <v>124</v>
      </c>
      <c r="F99" s="1" t="s">
        <v>129</v>
      </c>
    </row>
    <row r="100" ht="42" spans="1:6">
      <c r="A100" s="14">
        <v>45290</v>
      </c>
      <c r="B100" s="6">
        <v>813.8</v>
      </c>
      <c r="C100" s="1">
        <v>815.9</v>
      </c>
      <c r="E100" s="1" t="s">
        <v>124</v>
      </c>
      <c r="F100" s="1" t="s">
        <v>130</v>
      </c>
    </row>
    <row r="101" spans="1:6">
      <c r="A101" s="14">
        <v>45641</v>
      </c>
      <c r="B101" s="6">
        <v>859.1</v>
      </c>
      <c r="E101" s="1" t="s">
        <v>131</v>
      </c>
      <c r="F101" s="1" t="s">
        <v>132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B4" sqref="B4"/>
    </sheetView>
  </sheetViews>
  <sheetFormatPr defaultColWidth="8.50833333333333" defaultRowHeight="14"/>
  <cols>
    <col min="1" max="1" width="15.375" style="1" customWidth="1"/>
    <col min="2" max="2" width="10.125" style="6" customWidth="1"/>
    <col min="3" max="5" width="10.125" style="1" customWidth="1"/>
    <col min="6" max="6" width="24.25" style="1" customWidth="1"/>
    <col min="7" max="8" width="15.75" style="7" customWidth="1"/>
    <col min="9" max="9" width="40.375" style="1" customWidth="1"/>
    <col min="10" max="16384" width="8.50833333333333" style="1"/>
  </cols>
  <sheetData>
    <row r="1" ht="28" spans="1:9">
      <c r="A1" s="10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9" t="s">
        <v>6</v>
      </c>
      <c r="H1" s="19" t="s">
        <v>7</v>
      </c>
      <c r="I1" s="19" t="s">
        <v>8</v>
      </c>
    </row>
    <row r="2" ht="28" spans="1:7">
      <c r="A2" s="3">
        <v>38349</v>
      </c>
      <c r="B2" s="24">
        <v>19</v>
      </c>
      <c r="C2" s="1">
        <v>20.39</v>
      </c>
      <c r="D2" s="1">
        <v>19</v>
      </c>
      <c r="E2" s="1" t="s">
        <v>71</v>
      </c>
      <c r="F2" s="1" t="s">
        <v>505</v>
      </c>
      <c r="G2" s="1" t="s">
        <v>506</v>
      </c>
    </row>
    <row r="3" spans="1:9">
      <c r="A3" s="3">
        <v>39261</v>
      </c>
      <c r="B3" s="6">
        <v>20.1</v>
      </c>
      <c r="C3" s="1">
        <v>21.39</v>
      </c>
      <c r="D3" s="1">
        <v>20</v>
      </c>
      <c r="E3" s="1" t="s">
        <v>71</v>
      </c>
      <c r="F3" s="1" t="s">
        <v>507</v>
      </c>
      <c r="G3" s="1" t="s">
        <v>508</v>
      </c>
      <c r="I3" s="1" t="s">
        <v>509</v>
      </c>
    </row>
    <row r="4" spans="1:7">
      <c r="A4" s="3">
        <v>40084</v>
      </c>
      <c r="B4" s="6">
        <v>23.4</v>
      </c>
      <c r="C4" s="1">
        <v>24.72</v>
      </c>
      <c r="D4" s="1">
        <v>23</v>
      </c>
      <c r="E4" s="1" t="s">
        <v>71</v>
      </c>
      <c r="F4" s="1" t="s">
        <v>510</v>
      </c>
      <c r="G4" s="1" t="s">
        <v>511</v>
      </c>
    </row>
    <row r="5" ht="28" spans="1:9">
      <c r="A5" s="3">
        <v>40479</v>
      </c>
      <c r="B5" s="6">
        <v>64.2</v>
      </c>
      <c r="C5" s="1">
        <v>65.38</v>
      </c>
      <c r="E5" s="1" t="s">
        <v>86</v>
      </c>
      <c r="F5" s="1" t="s">
        <v>512</v>
      </c>
      <c r="G5" s="25" t="s">
        <v>513</v>
      </c>
      <c r="H5" s="26"/>
      <c r="I5" s="28" t="s">
        <v>514</v>
      </c>
    </row>
    <row r="6" spans="1:6">
      <c r="A6" s="3">
        <v>40709</v>
      </c>
      <c r="B6" s="6">
        <v>85.4</v>
      </c>
      <c r="C6" s="1">
        <v>85.68</v>
      </c>
      <c r="D6" s="18">
        <v>63</v>
      </c>
      <c r="E6" s="1" t="s">
        <v>86</v>
      </c>
      <c r="F6" s="1" t="s">
        <v>515</v>
      </c>
    </row>
    <row r="7" spans="1:6">
      <c r="A7" s="3">
        <v>40710</v>
      </c>
      <c r="B7" s="6">
        <v>102.2</v>
      </c>
      <c r="C7" s="1">
        <v>101.48</v>
      </c>
      <c r="E7" s="1" t="s">
        <v>86</v>
      </c>
      <c r="F7" s="1" t="s">
        <v>516</v>
      </c>
    </row>
    <row r="8" spans="1:6">
      <c r="A8" s="3">
        <v>40716</v>
      </c>
      <c r="B8" s="6">
        <v>142</v>
      </c>
      <c r="C8" s="1">
        <v>141.48</v>
      </c>
      <c r="E8" s="1" t="s">
        <v>88</v>
      </c>
      <c r="F8" s="1" t="s">
        <v>517</v>
      </c>
    </row>
    <row r="9" ht="28" spans="1:9">
      <c r="A9" s="3">
        <v>40722</v>
      </c>
      <c r="B9" s="6">
        <v>178.6</v>
      </c>
      <c r="C9" s="1">
        <v>178.336</v>
      </c>
      <c r="E9" s="1" t="s">
        <v>88</v>
      </c>
      <c r="F9" s="1" t="s">
        <v>518</v>
      </c>
      <c r="I9" s="1" t="s">
        <v>519</v>
      </c>
    </row>
    <row r="10" spans="1:6">
      <c r="A10" s="3">
        <v>42549</v>
      </c>
      <c r="B10" s="6">
        <v>230.5</v>
      </c>
      <c r="C10" s="1">
        <v>230.036</v>
      </c>
      <c r="E10" s="1" t="s">
        <v>231</v>
      </c>
      <c r="F10" s="1" t="s">
        <v>520</v>
      </c>
    </row>
    <row r="11" ht="28" spans="1:6">
      <c r="A11" s="20">
        <v>42671</v>
      </c>
      <c r="B11" s="6">
        <v>286.1</v>
      </c>
      <c r="C11" s="21">
        <v>285.583</v>
      </c>
      <c r="E11" s="1" t="s">
        <v>90</v>
      </c>
      <c r="F11" s="1" t="s">
        <v>521</v>
      </c>
    </row>
    <row r="12" spans="1:6">
      <c r="A12" s="3">
        <v>43736</v>
      </c>
      <c r="B12" s="6">
        <v>293.7</v>
      </c>
      <c r="C12" s="1">
        <v>293.233</v>
      </c>
      <c r="D12" s="18">
        <v>206</v>
      </c>
      <c r="E12" s="1" t="s">
        <v>90</v>
      </c>
      <c r="F12" s="1" t="s">
        <v>522</v>
      </c>
    </row>
    <row r="13" spans="1:6">
      <c r="A13" s="3">
        <v>43807</v>
      </c>
      <c r="B13" s="6">
        <v>304.5</v>
      </c>
      <c r="C13" s="1">
        <v>304.023</v>
      </c>
      <c r="D13" s="18"/>
      <c r="E13" s="1" t="s">
        <v>90</v>
      </c>
      <c r="F13" s="1" t="s">
        <v>523</v>
      </c>
    </row>
    <row r="14" spans="1:9">
      <c r="A14" s="3">
        <v>44061</v>
      </c>
      <c r="B14" s="6">
        <v>383.2</v>
      </c>
      <c r="C14" s="1">
        <v>382.763</v>
      </c>
      <c r="D14" s="13">
        <v>265</v>
      </c>
      <c r="E14" s="1" t="s">
        <v>181</v>
      </c>
      <c r="F14" s="1" t="s">
        <v>524</v>
      </c>
      <c r="I14" s="7"/>
    </row>
    <row r="15" ht="28" spans="1:9">
      <c r="A15" s="3">
        <v>44132</v>
      </c>
      <c r="B15" s="6">
        <v>411.7</v>
      </c>
      <c r="C15" s="1">
        <v>410.66</v>
      </c>
      <c r="D15" s="1">
        <v>283</v>
      </c>
      <c r="E15" s="1" t="s">
        <v>187</v>
      </c>
      <c r="F15" s="1" t="s">
        <v>525</v>
      </c>
      <c r="I15" s="1" t="s">
        <v>526</v>
      </c>
    </row>
    <row r="16" spans="1:6">
      <c r="A16" s="3">
        <v>44558</v>
      </c>
      <c r="B16" s="6">
        <v>420.1</v>
      </c>
      <c r="C16" s="1">
        <v>419.09</v>
      </c>
      <c r="E16" s="1" t="s">
        <v>495</v>
      </c>
      <c r="F16" s="1">
        <v>20</v>
      </c>
    </row>
    <row r="17" spans="1:6">
      <c r="A17" s="3">
        <v>44862</v>
      </c>
      <c r="B17" s="6">
        <v>472</v>
      </c>
      <c r="C17" s="1">
        <v>470.98</v>
      </c>
      <c r="E17" s="1" t="s">
        <v>527</v>
      </c>
      <c r="F17" s="1" t="s">
        <v>528</v>
      </c>
    </row>
    <row r="18" ht="28" spans="1:6">
      <c r="A18" s="3">
        <v>44893</v>
      </c>
      <c r="B18" s="6">
        <v>518.6</v>
      </c>
      <c r="C18" s="1">
        <v>517.65</v>
      </c>
      <c r="E18" s="1" t="s">
        <v>529</v>
      </c>
      <c r="F18" s="1" t="s">
        <v>530</v>
      </c>
    </row>
    <row r="19" spans="1:6">
      <c r="A19" s="3">
        <v>44923</v>
      </c>
      <c r="B19" s="6">
        <v>547.8</v>
      </c>
      <c r="C19" s="1">
        <v>547.38</v>
      </c>
      <c r="E19" s="1" t="s">
        <v>531</v>
      </c>
      <c r="F19" s="1">
        <v>16</v>
      </c>
    </row>
    <row r="20" spans="1:6">
      <c r="A20" s="3">
        <v>45287</v>
      </c>
      <c r="B20" s="6">
        <v>555.8</v>
      </c>
      <c r="C20" s="1">
        <v>555.39</v>
      </c>
      <c r="E20" s="1" t="s">
        <v>531</v>
      </c>
      <c r="F20" s="1" t="s">
        <v>532</v>
      </c>
    </row>
    <row r="21" spans="1:6">
      <c r="A21" s="3">
        <v>45654</v>
      </c>
      <c r="B21" s="6">
        <f>B20+28</f>
        <v>583.8</v>
      </c>
      <c r="E21" s="1" t="s">
        <v>533</v>
      </c>
      <c r="F21" s="1">
        <v>13</v>
      </c>
    </row>
    <row r="22" spans="1:1">
      <c r="A22" s="27"/>
    </row>
  </sheetData>
  <mergeCells count="1">
    <mergeCell ref="G5:H5"/>
  </mergeCell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B10" sqref="B10"/>
    </sheetView>
  </sheetViews>
  <sheetFormatPr defaultColWidth="8.50833333333333" defaultRowHeight="14"/>
  <cols>
    <col min="1" max="1" width="15.375" style="14" customWidth="1"/>
    <col min="2" max="2" width="10.125" style="6" customWidth="1"/>
    <col min="3" max="5" width="10.125" style="1" customWidth="1"/>
    <col min="6" max="6" width="24.25" style="1" customWidth="1"/>
    <col min="7" max="8" width="15.75" style="7" customWidth="1"/>
    <col min="9" max="9" width="40.375" style="1" customWidth="1"/>
    <col min="10" max="16384" width="8.50833333333333" style="1"/>
  </cols>
  <sheetData>
    <row r="1" ht="28" spans="1:9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9" t="s">
        <v>6</v>
      </c>
      <c r="H1" s="19" t="s">
        <v>7</v>
      </c>
      <c r="I1" s="19" t="s">
        <v>8</v>
      </c>
    </row>
    <row r="2" spans="1:7">
      <c r="A2" s="14">
        <v>38297</v>
      </c>
      <c r="C2" s="1">
        <v>14.35</v>
      </c>
      <c r="D2" s="1">
        <v>14</v>
      </c>
      <c r="E2" s="1" t="s">
        <v>64</v>
      </c>
      <c r="F2" s="1" t="s">
        <v>534</v>
      </c>
      <c r="G2" s="7" t="s">
        <v>535</v>
      </c>
    </row>
    <row r="3" spans="1:2">
      <c r="A3" s="14">
        <v>38521</v>
      </c>
      <c r="B3" s="6">
        <v>13.7</v>
      </c>
    </row>
    <row r="4" spans="1:6">
      <c r="A4" s="14">
        <v>38899</v>
      </c>
      <c r="B4" s="6">
        <v>19.4</v>
      </c>
      <c r="C4" s="1">
        <v>19.15</v>
      </c>
      <c r="D4" s="1">
        <v>18</v>
      </c>
      <c r="E4" s="1" t="s">
        <v>64</v>
      </c>
      <c r="F4" s="1" t="s">
        <v>536</v>
      </c>
    </row>
    <row r="5" spans="1:6">
      <c r="A5" s="14">
        <v>40752</v>
      </c>
      <c r="B5" s="6">
        <v>35</v>
      </c>
      <c r="C5" s="1">
        <v>33.4</v>
      </c>
      <c r="D5" s="1">
        <v>30</v>
      </c>
      <c r="E5" s="1" t="s">
        <v>71</v>
      </c>
      <c r="F5" s="1" t="s">
        <v>537</v>
      </c>
    </row>
    <row r="6" spans="1:6">
      <c r="A6" s="14">
        <v>40813</v>
      </c>
      <c r="B6" s="6">
        <v>36.6</v>
      </c>
      <c r="C6" s="1">
        <v>35</v>
      </c>
      <c r="D6" s="1">
        <v>31</v>
      </c>
      <c r="E6" s="1" t="s">
        <v>71</v>
      </c>
      <c r="F6" s="1" t="s">
        <v>538</v>
      </c>
    </row>
    <row r="7" spans="1:6">
      <c r="A7" s="14">
        <v>40815</v>
      </c>
      <c r="B7" s="6">
        <v>54.2</v>
      </c>
      <c r="C7" s="1">
        <v>52.5</v>
      </c>
      <c r="D7" s="1">
        <v>47</v>
      </c>
      <c r="E7" s="1" t="s">
        <v>79</v>
      </c>
      <c r="F7" s="1" t="s">
        <v>539</v>
      </c>
    </row>
    <row r="8" spans="1:6">
      <c r="A8" s="14">
        <v>40855</v>
      </c>
      <c r="B8" s="6">
        <v>59.4</v>
      </c>
      <c r="C8" s="1">
        <v>57.6</v>
      </c>
      <c r="D8" s="1">
        <v>50</v>
      </c>
      <c r="E8" s="1" t="s">
        <v>79</v>
      </c>
      <c r="F8" s="1" t="s">
        <v>540</v>
      </c>
    </row>
    <row r="9" spans="1:6">
      <c r="A9" s="14">
        <v>40907</v>
      </c>
      <c r="B9" s="6">
        <v>76.2</v>
      </c>
      <c r="C9" s="1">
        <v>74.7</v>
      </c>
      <c r="D9" s="1">
        <v>61</v>
      </c>
      <c r="E9" s="1" t="s">
        <v>79</v>
      </c>
      <c r="F9" s="1" t="s">
        <v>541</v>
      </c>
    </row>
    <row r="10" spans="1:6">
      <c r="A10" s="14">
        <v>41180</v>
      </c>
      <c r="B10" s="6">
        <v>92.2</v>
      </c>
      <c r="C10" s="1">
        <v>90.7</v>
      </c>
      <c r="D10" s="1">
        <v>71</v>
      </c>
      <c r="E10" s="1" t="s">
        <v>86</v>
      </c>
      <c r="F10" s="1" t="s">
        <v>542</v>
      </c>
    </row>
    <row r="11" spans="1:6">
      <c r="A11" s="14">
        <v>41263</v>
      </c>
      <c r="B11" s="6">
        <v>112.4</v>
      </c>
      <c r="C11" s="1">
        <v>111.2</v>
      </c>
      <c r="D11" s="1">
        <v>80</v>
      </c>
      <c r="E11" s="1" t="s">
        <v>86</v>
      </c>
      <c r="F11" s="1" t="s">
        <v>543</v>
      </c>
    </row>
    <row r="12" spans="1:6">
      <c r="A12" s="14">
        <v>41269</v>
      </c>
      <c r="B12" s="6">
        <v>115.6</v>
      </c>
      <c r="C12" s="1">
        <v>113.4</v>
      </c>
      <c r="D12" s="1">
        <v>82</v>
      </c>
      <c r="E12" s="1" t="s">
        <v>86</v>
      </c>
      <c r="F12" s="1" t="s">
        <v>544</v>
      </c>
    </row>
    <row r="13" spans="1:6">
      <c r="A13" s="14">
        <v>41271</v>
      </c>
      <c r="B13" s="6">
        <v>132.1</v>
      </c>
      <c r="C13" s="1">
        <v>130.7</v>
      </c>
      <c r="D13" s="1">
        <v>99</v>
      </c>
      <c r="E13" s="1" t="s">
        <v>86</v>
      </c>
      <c r="F13" s="1" t="s">
        <v>545</v>
      </c>
    </row>
    <row r="14" spans="1:6">
      <c r="A14" s="14">
        <v>41409</v>
      </c>
      <c r="B14" s="6">
        <v>144.7</v>
      </c>
      <c r="C14" s="1">
        <v>143.4</v>
      </c>
      <c r="D14" s="1">
        <v>105</v>
      </c>
      <c r="E14" s="1" t="s">
        <v>88</v>
      </c>
      <c r="F14" s="1" t="s">
        <v>546</v>
      </c>
    </row>
    <row r="15" spans="1:6">
      <c r="A15" s="14">
        <v>41639</v>
      </c>
      <c r="B15" s="6">
        <v>170.8</v>
      </c>
      <c r="C15" s="1">
        <v>170</v>
      </c>
      <c r="D15" s="1">
        <v>113</v>
      </c>
      <c r="E15" s="1" t="s">
        <v>88</v>
      </c>
      <c r="F15" s="1" t="s">
        <v>547</v>
      </c>
    </row>
    <row r="16" ht="28" spans="1:6">
      <c r="A16" s="14">
        <v>42003</v>
      </c>
      <c r="B16" s="6">
        <v>202.3</v>
      </c>
      <c r="C16" s="1">
        <v>202.2</v>
      </c>
      <c r="D16" s="1">
        <v>129</v>
      </c>
      <c r="E16" s="1" t="s">
        <v>88</v>
      </c>
      <c r="F16" s="1" t="s">
        <v>548</v>
      </c>
    </row>
    <row r="17" spans="1:6">
      <c r="A17" s="14">
        <v>42732</v>
      </c>
      <c r="B17" s="6">
        <v>213.3</v>
      </c>
      <c r="C17" s="1">
        <v>213.3</v>
      </c>
      <c r="D17" s="1">
        <v>136</v>
      </c>
      <c r="E17" s="1" t="s">
        <v>88</v>
      </c>
      <c r="F17" s="1" t="s">
        <v>549</v>
      </c>
    </row>
    <row r="18" ht="28" spans="1:6">
      <c r="A18" s="14">
        <v>43097</v>
      </c>
      <c r="B18" s="6">
        <v>262.6</v>
      </c>
      <c r="C18" s="1">
        <v>264</v>
      </c>
      <c r="D18" s="1">
        <v>163</v>
      </c>
      <c r="E18" s="1" t="s">
        <v>484</v>
      </c>
      <c r="F18" s="1" t="s">
        <v>550</v>
      </c>
    </row>
    <row r="19" spans="1:6">
      <c r="A19" s="14">
        <v>43458</v>
      </c>
      <c r="B19" s="6">
        <v>264.6</v>
      </c>
      <c r="C19" s="1">
        <v>266</v>
      </c>
      <c r="D19" s="1">
        <v>164</v>
      </c>
      <c r="E19" s="1" t="s">
        <v>484</v>
      </c>
      <c r="F19" s="1" t="s">
        <v>551</v>
      </c>
    </row>
    <row r="20" ht="28" spans="1:6">
      <c r="A20" s="14">
        <v>43462</v>
      </c>
      <c r="B20" s="6">
        <v>313.9</v>
      </c>
      <c r="C20" s="1">
        <v>315.46</v>
      </c>
      <c r="D20" s="1">
        <v>184</v>
      </c>
      <c r="E20" s="1" t="s">
        <v>90</v>
      </c>
      <c r="F20" s="1" t="s">
        <v>552</v>
      </c>
    </row>
    <row r="21" spans="1:6">
      <c r="A21" s="14">
        <v>43829</v>
      </c>
      <c r="B21" s="6">
        <v>329.5</v>
      </c>
      <c r="C21" s="1">
        <v>330.56</v>
      </c>
      <c r="D21" s="1">
        <v>190</v>
      </c>
      <c r="E21" s="1" t="s">
        <v>239</v>
      </c>
      <c r="F21" s="1" t="s">
        <v>553</v>
      </c>
    </row>
    <row r="22" spans="1:6">
      <c r="A22" s="14">
        <v>44196</v>
      </c>
      <c r="B22" s="6">
        <v>344.3</v>
      </c>
      <c r="C22" s="1">
        <v>345.38</v>
      </c>
      <c r="D22" s="1">
        <v>198</v>
      </c>
      <c r="E22" s="1" t="s">
        <v>239</v>
      </c>
      <c r="F22" s="1" t="s">
        <v>554</v>
      </c>
    </row>
    <row r="23" ht="28" spans="1:7">
      <c r="A23" s="14">
        <v>44216</v>
      </c>
      <c r="B23" s="6">
        <v>370</v>
      </c>
      <c r="C23" s="1">
        <v>371.28</v>
      </c>
      <c r="D23" s="18">
        <v>217</v>
      </c>
      <c r="E23" s="1" t="s">
        <v>239</v>
      </c>
      <c r="F23" s="1" t="s">
        <v>555</v>
      </c>
      <c r="G23" s="7" t="s">
        <v>556</v>
      </c>
    </row>
    <row r="24" spans="1:6">
      <c r="A24" s="14">
        <v>44231</v>
      </c>
      <c r="B24" s="6">
        <v>370</v>
      </c>
      <c r="C24" s="1">
        <v>371.28</v>
      </c>
      <c r="D24" s="18">
        <v>219</v>
      </c>
      <c r="E24" s="1" t="s">
        <v>239</v>
      </c>
      <c r="F24" s="1" t="s">
        <v>557</v>
      </c>
    </row>
    <row r="25" spans="1:9">
      <c r="A25" s="14">
        <v>44586</v>
      </c>
      <c r="B25" s="6">
        <v>402.3</v>
      </c>
      <c r="C25" s="1">
        <v>402.48</v>
      </c>
      <c r="D25" s="18"/>
      <c r="E25" s="1" t="s">
        <v>181</v>
      </c>
      <c r="F25" s="1" t="s">
        <v>558</v>
      </c>
      <c r="I25" s="23"/>
    </row>
    <row r="26" spans="1:9">
      <c r="A26" s="14">
        <v>44730</v>
      </c>
      <c r="B26" s="6">
        <v>435.1</v>
      </c>
      <c r="C26" s="1">
        <v>435.28</v>
      </c>
      <c r="D26" s="18"/>
      <c r="E26" s="1" t="s">
        <v>181</v>
      </c>
      <c r="F26" s="1" t="s">
        <v>559</v>
      </c>
      <c r="I26" s="23"/>
    </row>
    <row r="27" spans="1:9">
      <c r="A27" s="14">
        <v>44770</v>
      </c>
      <c r="B27" s="6">
        <v>435.1</v>
      </c>
      <c r="C27" s="1">
        <v>435.28</v>
      </c>
      <c r="D27" s="18"/>
      <c r="E27" s="1" t="s">
        <v>181</v>
      </c>
      <c r="F27" s="1" t="s">
        <v>560</v>
      </c>
      <c r="I27" s="23"/>
    </row>
    <row r="28" spans="1:6">
      <c r="A28" s="14">
        <v>44779</v>
      </c>
      <c r="B28" s="6">
        <f>435.1+28.2</f>
        <v>463.3</v>
      </c>
      <c r="C28" s="1">
        <v>463.5</v>
      </c>
      <c r="D28" s="18"/>
      <c r="E28" s="1" t="s">
        <v>187</v>
      </c>
      <c r="F28" s="1" t="s">
        <v>561</v>
      </c>
    </row>
    <row r="29" ht="28" spans="1:6">
      <c r="A29" s="14">
        <v>44944</v>
      </c>
      <c r="B29" s="6">
        <v>477.1</v>
      </c>
      <c r="C29" s="1">
        <v>476.07</v>
      </c>
      <c r="D29" s="18"/>
      <c r="E29" s="1" t="s">
        <v>187</v>
      </c>
      <c r="F29" s="1" t="s">
        <v>562</v>
      </c>
    </row>
    <row r="30" spans="1:6">
      <c r="A30" s="14">
        <v>44984</v>
      </c>
      <c r="B30" s="6">
        <v>485.7</v>
      </c>
      <c r="C30" s="1">
        <v>485.02</v>
      </c>
      <c r="D30" s="18"/>
      <c r="E30" s="1" t="s">
        <v>187</v>
      </c>
      <c r="F30" s="1" t="s">
        <v>563</v>
      </c>
    </row>
    <row r="31" spans="1:8">
      <c r="A31" s="14">
        <v>45206</v>
      </c>
      <c r="B31" s="6">
        <v>485.7</v>
      </c>
      <c r="C31" s="1">
        <v>485.02</v>
      </c>
      <c r="D31" s="18"/>
      <c r="E31" s="1" t="s">
        <v>187</v>
      </c>
      <c r="F31" s="1" t="s">
        <v>564</v>
      </c>
      <c r="G31" s="7" t="s">
        <v>565</v>
      </c>
      <c r="H31" s="7" t="s">
        <v>566</v>
      </c>
    </row>
    <row r="32" spans="1:6">
      <c r="A32" s="14">
        <v>45260</v>
      </c>
      <c r="B32" s="6">
        <v>493.8</v>
      </c>
      <c r="C32" s="1">
        <v>493.52</v>
      </c>
      <c r="D32" s="18"/>
      <c r="E32" s="1" t="s">
        <v>187</v>
      </c>
      <c r="F32" s="1" t="s">
        <v>567</v>
      </c>
    </row>
    <row r="33" spans="1:6">
      <c r="A33" s="14">
        <v>45288</v>
      </c>
      <c r="B33" s="6">
        <v>522.8</v>
      </c>
      <c r="C33" s="1">
        <v>522.54</v>
      </c>
      <c r="D33" s="18"/>
      <c r="E33" s="1" t="s">
        <v>495</v>
      </c>
      <c r="F33" s="1">
        <v>18</v>
      </c>
    </row>
    <row r="34" spans="1:6">
      <c r="A34" s="14">
        <v>45659</v>
      </c>
      <c r="B34" s="6">
        <f>B33+37.5</f>
        <v>560.3</v>
      </c>
      <c r="E34" s="1" t="s">
        <v>527</v>
      </c>
      <c r="F34" s="1" t="s">
        <v>568</v>
      </c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workbookViewId="0">
      <selection activeCell="B2" sqref="B2"/>
    </sheetView>
  </sheetViews>
  <sheetFormatPr defaultColWidth="8.50833333333333" defaultRowHeight="14"/>
  <cols>
    <col min="1" max="1" width="15.375" style="14" customWidth="1"/>
    <col min="2" max="2" width="10.125" style="6" customWidth="1"/>
    <col min="3" max="5" width="10.125" style="1" customWidth="1"/>
    <col min="6" max="6" width="24.25" style="1" customWidth="1"/>
    <col min="7" max="8" width="15.75" style="7" customWidth="1"/>
    <col min="9" max="9" width="40.375" style="1" customWidth="1"/>
    <col min="10" max="16384" width="8.50833333333333" style="1"/>
  </cols>
  <sheetData>
    <row r="1" ht="28" spans="1:9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9" t="s">
        <v>6</v>
      </c>
      <c r="H1" s="19" t="s">
        <v>7</v>
      </c>
      <c r="I1" s="19" t="s">
        <v>8</v>
      </c>
    </row>
    <row r="2" ht="42" spans="1:6">
      <c r="A2" s="14">
        <v>38598</v>
      </c>
      <c r="B2" s="6">
        <v>21.2</v>
      </c>
      <c r="E2" s="1" t="s">
        <v>64</v>
      </c>
      <c r="F2" s="1" t="s">
        <v>569</v>
      </c>
    </row>
    <row r="3" ht="28" spans="1:6">
      <c r="A3" s="14">
        <v>40326</v>
      </c>
      <c r="B3" s="6">
        <v>83.6</v>
      </c>
      <c r="E3" s="1" t="s">
        <v>71</v>
      </c>
      <c r="F3" s="1" t="s">
        <v>570</v>
      </c>
    </row>
    <row r="4" ht="28" spans="1:6">
      <c r="A4" s="14">
        <v>41821</v>
      </c>
      <c r="B4" s="6">
        <v>134.2</v>
      </c>
      <c r="E4" s="1" t="s">
        <v>86</v>
      </c>
      <c r="F4" s="1" t="s">
        <v>571</v>
      </c>
    </row>
    <row r="5" spans="1:6">
      <c r="A5" s="14">
        <v>41852</v>
      </c>
      <c r="B5" s="6">
        <v>179.4</v>
      </c>
      <c r="E5" s="1" t="s">
        <v>88</v>
      </c>
      <c r="F5" s="1" t="s">
        <v>572</v>
      </c>
    </row>
    <row r="6" spans="1:6">
      <c r="A6" s="14">
        <v>42095</v>
      </c>
      <c r="B6" s="6">
        <v>224.3</v>
      </c>
      <c r="E6" s="1" t="s">
        <v>231</v>
      </c>
      <c r="F6" s="1" t="s">
        <v>573</v>
      </c>
    </row>
    <row r="7" spans="1:6">
      <c r="A7" s="14">
        <v>42753</v>
      </c>
      <c r="B7" s="6">
        <v>258.1</v>
      </c>
      <c r="E7" s="1" t="s">
        <v>484</v>
      </c>
      <c r="F7" s="1" t="s">
        <v>574</v>
      </c>
    </row>
    <row r="8" spans="1:6">
      <c r="A8" s="14">
        <v>43075</v>
      </c>
      <c r="B8" s="6">
        <v>294.3</v>
      </c>
      <c r="E8" s="1" t="s">
        <v>90</v>
      </c>
      <c r="F8" s="1" t="s">
        <v>575</v>
      </c>
    </row>
    <row r="9" spans="1:6">
      <c r="A9" s="14">
        <v>43099</v>
      </c>
      <c r="B9" s="6">
        <v>346.7</v>
      </c>
      <c r="E9" s="1" t="s">
        <v>239</v>
      </c>
      <c r="F9" s="1" t="s">
        <v>576</v>
      </c>
    </row>
    <row r="10" ht="28" spans="1:6">
      <c r="A10" s="14">
        <v>43246</v>
      </c>
      <c r="B10" s="6">
        <v>378</v>
      </c>
      <c r="E10" s="1" t="s">
        <v>181</v>
      </c>
      <c r="F10" s="1" t="s">
        <v>577</v>
      </c>
    </row>
    <row r="11" spans="1:6">
      <c r="A11" s="14">
        <v>44558</v>
      </c>
      <c r="B11" s="6">
        <v>427</v>
      </c>
      <c r="C11" s="1">
        <v>427.04</v>
      </c>
      <c r="E11" s="1" t="s">
        <v>187</v>
      </c>
      <c r="F11" s="1" t="s">
        <v>578</v>
      </c>
    </row>
    <row r="12" spans="1:6">
      <c r="A12" s="14">
        <v>44834</v>
      </c>
      <c r="B12" s="6">
        <v>429.1</v>
      </c>
      <c r="C12" s="1">
        <v>429.07</v>
      </c>
      <c r="E12" s="1" t="s">
        <v>187</v>
      </c>
      <c r="F12" s="1" t="s">
        <v>579</v>
      </c>
    </row>
    <row r="13" ht="28" spans="1:6">
      <c r="A13" s="14">
        <v>44923</v>
      </c>
      <c r="B13" s="6">
        <v>449.4</v>
      </c>
      <c r="C13" s="1">
        <v>449.45</v>
      </c>
      <c r="D13" s="1" t="s">
        <v>580</v>
      </c>
      <c r="E13" s="1" t="s">
        <v>495</v>
      </c>
      <c r="F13" s="1" t="s">
        <v>581</v>
      </c>
    </row>
    <row r="14" ht="28" spans="1:7">
      <c r="A14" s="14">
        <v>45288</v>
      </c>
      <c r="B14" s="6">
        <v>460.1</v>
      </c>
      <c r="C14" s="1">
        <v>459.66</v>
      </c>
      <c r="E14" s="1" t="s">
        <v>495</v>
      </c>
      <c r="F14" s="1" t="s">
        <v>582</v>
      </c>
      <c r="G14" s="7" t="s">
        <v>583</v>
      </c>
    </row>
    <row r="15" spans="1:6">
      <c r="A15" s="14">
        <v>45382</v>
      </c>
      <c r="B15" s="6">
        <v>473</v>
      </c>
      <c r="C15" s="1">
        <v>472.56</v>
      </c>
      <c r="E15" s="1" t="s">
        <v>527</v>
      </c>
      <c r="F15" s="1" t="s">
        <v>584</v>
      </c>
    </row>
    <row r="16" ht="28" spans="1:6">
      <c r="A16" s="14">
        <v>45654</v>
      </c>
      <c r="B16" s="6">
        <v>484</v>
      </c>
      <c r="E16" s="1" t="s">
        <v>527</v>
      </c>
      <c r="F16" s="1" t="s">
        <v>585</v>
      </c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A1" sqref="A1"/>
    </sheetView>
  </sheetViews>
  <sheetFormatPr defaultColWidth="8.50833333333333" defaultRowHeight="14" outlineLevelRow="6" outlineLevelCol="3"/>
  <cols>
    <col min="1" max="1" width="15.375" style="1" customWidth="1"/>
    <col min="2" max="3" width="10.125" style="1" customWidth="1"/>
    <col min="4" max="4" width="24.25" style="1" customWidth="1"/>
    <col min="5" max="6" width="15.75" style="2" customWidth="1"/>
    <col min="7" max="7" width="40.375" style="1" customWidth="1"/>
    <col min="8" max="8" width="8.50833333333333" style="1"/>
    <col min="9" max="9" width="11.375" style="1" customWidth="1"/>
    <col min="10" max="16383" width="8.50833333333333" style="1"/>
  </cols>
  <sheetData>
    <row r="1" ht="28" spans="1:4">
      <c r="A1" s="3">
        <v>39516</v>
      </c>
      <c r="B1" s="1">
        <v>25.87</v>
      </c>
      <c r="C1" s="1">
        <v>22</v>
      </c>
      <c r="D1" s="1" t="s">
        <v>586</v>
      </c>
    </row>
    <row r="2" spans="1:4">
      <c r="A2" s="20">
        <v>39705</v>
      </c>
      <c r="B2" s="21">
        <v>40.27</v>
      </c>
      <c r="C2" s="21">
        <v>37</v>
      </c>
      <c r="D2" s="1" t="s">
        <v>587</v>
      </c>
    </row>
    <row r="3" spans="1:4">
      <c r="A3" s="22"/>
      <c r="B3" s="22"/>
      <c r="C3" s="22"/>
      <c r="D3" s="1" t="s">
        <v>588</v>
      </c>
    </row>
    <row r="4" spans="1:4">
      <c r="A4" s="3">
        <v>41266</v>
      </c>
      <c r="B4" s="1">
        <v>42.7</v>
      </c>
      <c r="C4" s="1">
        <v>38</v>
      </c>
      <c r="D4" s="1" t="s">
        <v>589</v>
      </c>
    </row>
    <row r="5" spans="1:4">
      <c r="A5" s="3">
        <v>43348</v>
      </c>
      <c r="B5" s="1">
        <v>42.7</v>
      </c>
      <c r="C5" s="1">
        <v>38</v>
      </c>
      <c r="D5" s="1" t="s">
        <v>590</v>
      </c>
    </row>
    <row r="6" spans="1:1">
      <c r="A6" s="3"/>
    </row>
    <row r="7" spans="1:1">
      <c r="A7" s="3"/>
    </row>
  </sheetData>
  <mergeCells count="3">
    <mergeCell ref="A2:A3"/>
    <mergeCell ref="B2:B3"/>
    <mergeCell ref="C2:C3"/>
  </mergeCells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A3" sqref="A3:C3"/>
    </sheetView>
  </sheetViews>
  <sheetFormatPr defaultColWidth="8.50833333333333" defaultRowHeight="14"/>
  <cols>
    <col min="1" max="1" width="15.375" style="14" customWidth="1"/>
    <col min="2" max="2" width="10.125" style="6" customWidth="1"/>
    <col min="3" max="5" width="10.125" style="1" customWidth="1"/>
    <col min="6" max="6" width="24.25" style="1" customWidth="1"/>
    <col min="7" max="8" width="15.75" style="7" customWidth="1"/>
    <col min="9" max="9" width="40.375" style="1" customWidth="1"/>
    <col min="10" max="16384" width="8.50833333333333" style="1"/>
  </cols>
  <sheetData>
    <row r="1" ht="28" spans="1:9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9" t="s">
        <v>6</v>
      </c>
      <c r="H1" s="19" t="s">
        <v>7</v>
      </c>
      <c r="I1" s="19" t="s">
        <v>8</v>
      </c>
    </row>
    <row r="2" spans="1:6">
      <c r="A2" s="14">
        <v>40448</v>
      </c>
      <c r="B2" s="6">
        <v>18.5</v>
      </c>
      <c r="C2" s="1">
        <v>18.13</v>
      </c>
      <c r="D2" s="1">
        <v>17</v>
      </c>
      <c r="E2" s="1" t="s">
        <v>64</v>
      </c>
      <c r="F2" s="1" t="s">
        <v>591</v>
      </c>
    </row>
    <row r="3" ht="28" spans="1:6">
      <c r="A3" s="14">
        <v>41168</v>
      </c>
      <c r="B3" s="6">
        <f>B2+22.4</f>
        <v>40.9</v>
      </c>
      <c r="C3" s="1">
        <v>40.6</v>
      </c>
      <c r="D3" s="1">
        <v>37</v>
      </c>
      <c r="E3" s="1" t="s">
        <v>71</v>
      </c>
      <c r="F3" s="1" t="s">
        <v>592</v>
      </c>
    </row>
    <row r="4" spans="1:6">
      <c r="A4" s="14">
        <v>41433</v>
      </c>
      <c r="B4" s="6">
        <f>B3+8.8</f>
        <v>49.7</v>
      </c>
      <c r="E4" s="1" t="s">
        <v>71</v>
      </c>
      <c r="F4" s="1" t="s">
        <v>593</v>
      </c>
    </row>
    <row r="5" spans="1:6">
      <c r="A5" s="14">
        <v>41938</v>
      </c>
      <c r="B5" s="6">
        <f>B4+11.1</f>
        <v>60.8</v>
      </c>
      <c r="E5" s="1" t="s">
        <v>71</v>
      </c>
      <c r="F5" s="1" t="s">
        <v>594</v>
      </c>
    </row>
    <row r="6" spans="1:6">
      <c r="A6" s="14">
        <v>42210</v>
      </c>
      <c r="B6" s="6">
        <f>B5+5.5</f>
        <v>66.3</v>
      </c>
      <c r="E6" s="1" t="s">
        <v>71</v>
      </c>
      <c r="F6" s="1" t="s">
        <v>595</v>
      </c>
    </row>
    <row r="7" spans="1:6">
      <c r="A7" s="14">
        <v>42364</v>
      </c>
      <c r="B7" s="6">
        <f>21.7+B6</f>
        <v>88</v>
      </c>
      <c r="E7" s="1" t="s">
        <v>79</v>
      </c>
      <c r="F7" s="1" t="s">
        <v>596</v>
      </c>
    </row>
    <row r="8" spans="1:6">
      <c r="A8" s="14">
        <v>42582</v>
      </c>
      <c r="B8" s="6">
        <f>B7+20.4</f>
        <v>108.4</v>
      </c>
      <c r="E8" s="1" t="s">
        <v>86</v>
      </c>
      <c r="F8" s="1" t="s">
        <v>597</v>
      </c>
    </row>
    <row r="9" ht="28" spans="1:6">
      <c r="A9" s="14">
        <v>42888</v>
      </c>
      <c r="B9" s="6">
        <f>B8+11.1+10.5</f>
        <v>130</v>
      </c>
      <c r="C9" s="1">
        <v>129.95</v>
      </c>
      <c r="E9" s="1" t="s">
        <v>86</v>
      </c>
      <c r="F9" s="1" t="s">
        <v>598</v>
      </c>
    </row>
    <row r="10" spans="1:6">
      <c r="A10" s="14">
        <v>42984</v>
      </c>
      <c r="B10" s="6">
        <f>B9+10.9</f>
        <v>140.9</v>
      </c>
      <c r="E10" s="1" t="s">
        <v>88</v>
      </c>
      <c r="F10" s="1" t="s">
        <v>599</v>
      </c>
    </row>
    <row r="11" spans="1:6">
      <c r="A11" s="14">
        <v>43075</v>
      </c>
      <c r="B11" s="6">
        <f>B10+38.6</f>
        <v>179.5</v>
      </c>
      <c r="E11" s="1" t="s">
        <v>231</v>
      </c>
      <c r="F11" s="1">
        <v>7</v>
      </c>
    </row>
    <row r="12" ht="28" spans="1:6">
      <c r="A12" s="14">
        <v>43177</v>
      </c>
      <c r="B12" s="6">
        <f>B11+1+1.7+14.3</f>
        <v>196.5</v>
      </c>
      <c r="E12" s="1" t="s">
        <v>231</v>
      </c>
      <c r="F12" s="1" t="s">
        <v>600</v>
      </c>
    </row>
    <row r="13" ht="28" spans="1:6">
      <c r="A13" s="14">
        <v>43460</v>
      </c>
      <c r="B13" s="6">
        <f>B12+12.2+17.3</f>
        <v>226</v>
      </c>
      <c r="E13" s="1" t="s">
        <v>231</v>
      </c>
      <c r="F13" s="1" t="s">
        <v>601</v>
      </c>
    </row>
    <row r="14" ht="28" spans="1:6">
      <c r="A14" s="14">
        <v>43826</v>
      </c>
      <c r="B14" s="6">
        <f>B13+49+27.3</f>
        <v>302.3</v>
      </c>
      <c r="E14" s="1" t="s">
        <v>484</v>
      </c>
      <c r="F14" s="1" t="s">
        <v>602</v>
      </c>
    </row>
    <row r="15" spans="1:6">
      <c r="A15" s="14">
        <v>44101</v>
      </c>
      <c r="B15" s="6">
        <f>B14+46.8</f>
        <v>349.1</v>
      </c>
      <c r="C15" s="1">
        <v>358.16</v>
      </c>
      <c r="D15" s="1">
        <v>230</v>
      </c>
      <c r="E15" s="1" t="s">
        <v>90</v>
      </c>
      <c r="F15" s="1" t="s">
        <v>603</v>
      </c>
    </row>
    <row r="16" ht="42" spans="1:6">
      <c r="A16" s="14">
        <v>44183</v>
      </c>
      <c r="B16" s="6">
        <f>B15+23.2+68.8+29.1+22.2+26.1</f>
        <v>518.5</v>
      </c>
      <c r="C16" s="1">
        <v>518.5</v>
      </c>
      <c r="D16" s="1">
        <v>332</v>
      </c>
      <c r="E16" s="1" t="s">
        <v>495</v>
      </c>
      <c r="F16" s="1" t="s">
        <v>604</v>
      </c>
    </row>
    <row r="17" spans="1:6">
      <c r="A17" s="14">
        <v>44374</v>
      </c>
      <c r="B17" s="6">
        <f>B16</f>
        <v>518.5</v>
      </c>
      <c r="C17" s="1">
        <v>518.5</v>
      </c>
      <c r="D17" s="1">
        <v>333</v>
      </c>
      <c r="E17" s="1" t="s">
        <v>495</v>
      </c>
      <c r="F17" s="1" t="s">
        <v>605</v>
      </c>
    </row>
    <row r="18" spans="1:6">
      <c r="A18" s="14">
        <v>45151</v>
      </c>
      <c r="B18" s="6">
        <f>B17</f>
        <v>518.5</v>
      </c>
      <c r="C18" s="1">
        <v>518.5</v>
      </c>
      <c r="D18" s="1">
        <v>334</v>
      </c>
      <c r="E18" s="1" t="s">
        <v>495</v>
      </c>
      <c r="F18" s="1" t="s">
        <v>606</v>
      </c>
    </row>
    <row r="19" spans="1:6">
      <c r="A19" s="14">
        <v>45191</v>
      </c>
      <c r="B19" s="6">
        <f>B18</f>
        <v>518.5</v>
      </c>
      <c r="C19" s="1">
        <v>519.07</v>
      </c>
      <c r="D19" s="1">
        <v>335</v>
      </c>
      <c r="E19" s="1" t="s">
        <v>527</v>
      </c>
      <c r="F19" s="1" t="s">
        <v>607</v>
      </c>
    </row>
    <row r="20" spans="1:6">
      <c r="A20" s="14">
        <v>45258</v>
      </c>
      <c r="B20" s="6">
        <f>B19+43.2</f>
        <v>561.7</v>
      </c>
      <c r="C20" s="1">
        <v>562.19</v>
      </c>
      <c r="E20" s="1" t="s">
        <v>527</v>
      </c>
      <c r="F20" s="1" t="s">
        <v>608</v>
      </c>
    </row>
    <row r="21" spans="1:6">
      <c r="A21" s="14">
        <v>45390</v>
      </c>
      <c r="B21" s="6">
        <f>B20</f>
        <v>561.7</v>
      </c>
      <c r="C21" s="1">
        <v>562.19</v>
      </c>
      <c r="E21" s="1" t="s">
        <v>527</v>
      </c>
      <c r="F21" s="1" t="s">
        <v>609</v>
      </c>
    </row>
    <row r="22" spans="1:6">
      <c r="A22" s="14">
        <v>45564</v>
      </c>
      <c r="B22" s="6">
        <f>B21+38.7</f>
        <v>600.4</v>
      </c>
      <c r="C22" s="1">
        <v>600.37</v>
      </c>
      <c r="E22" s="1" t="s">
        <v>610</v>
      </c>
      <c r="F22" s="1" t="s">
        <v>611</v>
      </c>
    </row>
    <row r="23" ht="28" spans="1:6">
      <c r="A23" s="14">
        <v>45645</v>
      </c>
      <c r="B23" s="6">
        <f>B22+7.6+24.9</f>
        <v>632.9</v>
      </c>
      <c r="E23" s="1" t="s">
        <v>529</v>
      </c>
      <c r="F23" s="1" t="s">
        <v>612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B3" sqref="B3"/>
    </sheetView>
  </sheetViews>
  <sheetFormatPr defaultColWidth="8.50833333333333" defaultRowHeight="14"/>
  <cols>
    <col min="1" max="1" width="15.375" style="14" customWidth="1"/>
    <col min="2" max="2" width="10.125" style="6" customWidth="1"/>
    <col min="3" max="5" width="10.125" style="1" customWidth="1"/>
    <col min="6" max="6" width="24.25" style="1" customWidth="1"/>
    <col min="7" max="8" width="15.75" style="7" customWidth="1"/>
    <col min="9" max="9" width="40.375" style="1" customWidth="1"/>
    <col min="10" max="16384" width="8.50833333333333" style="1"/>
  </cols>
  <sheetData>
    <row r="1" ht="28" spans="1:9">
      <c r="A1" s="8" t="s">
        <v>0</v>
      </c>
      <c r="B1" s="9" t="s">
        <v>1</v>
      </c>
      <c r="C1" s="10" t="s">
        <v>613</v>
      </c>
      <c r="D1" s="10" t="s">
        <v>3</v>
      </c>
      <c r="E1" s="10" t="s">
        <v>4</v>
      </c>
      <c r="F1" s="10" t="s">
        <v>5</v>
      </c>
      <c r="G1" s="19" t="s">
        <v>614</v>
      </c>
      <c r="H1" s="19" t="s">
        <v>6</v>
      </c>
      <c r="I1" s="19" t="s">
        <v>7</v>
      </c>
    </row>
    <row r="2" spans="1:6">
      <c r="A2" s="14">
        <v>40448</v>
      </c>
      <c r="B2" s="6">
        <v>27.8</v>
      </c>
      <c r="C2" s="13">
        <v>27.8</v>
      </c>
      <c r="D2" s="1">
        <v>22</v>
      </c>
      <c r="E2" s="1" t="s">
        <v>64</v>
      </c>
      <c r="F2" s="1" t="s">
        <v>615</v>
      </c>
    </row>
    <row r="3" spans="1:6">
      <c r="A3" s="14">
        <v>40907</v>
      </c>
      <c r="B3" s="6">
        <f>B2+21.9</f>
        <v>49.7</v>
      </c>
      <c r="C3" s="13">
        <v>49.66</v>
      </c>
      <c r="D3" s="1">
        <v>41</v>
      </c>
      <c r="E3" s="1" t="s">
        <v>71</v>
      </c>
      <c r="F3" s="1" t="s">
        <v>616</v>
      </c>
    </row>
    <row r="4" spans="1:6">
      <c r="A4" s="14">
        <v>41638</v>
      </c>
      <c r="B4" s="6">
        <f>B3+4.7</f>
        <v>54.4</v>
      </c>
      <c r="C4" s="13">
        <v>54.4</v>
      </c>
      <c r="D4" s="1">
        <v>44</v>
      </c>
      <c r="E4" s="1" t="s">
        <v>71</v>
      </c>
      <c r="F4" s="1" t="s">
        <v>617</v>
      </c>
    </row>
    <row r="5" spans="1:7">
      <c r="A5" s="14">
        <v>43198</v>
      </c>
      <c r="B5" s="6">
        <f>B4+5.3</f>
        <v>59.7</v>
      </c>
      <c r="C5" s="13">
        <v>59.7</v>
      </c>
      <c r="D5" s="1">
        <v>48</v>
      </c>
      <c r="E5" s="1" t="s">
        <v>71</v>
      </c>
      <c r="F5" s="1" t="s">
        <v>618</v>
      </c>
      <c r="G5" s="1">
        <v>60.3</v>
      </c>
    </row>
    <row r="6" ht="28" spans="1:7">
      <c r="A6" s="14">
        <v>43610</v>
      </c>
      <c r="B6" s="6">
        <f>B5+29</f>
        <v>88.7</v>
      </c>
      <c r="C6" s="13">
        <v>88.6</v>
      </c>
      <c r="D6" s="1">
        <v>70</v>
      </c>
      <c r="E6" s="1" t="s">
        <v>79</v>
      </c>
      <c r="F6" s="1" t="s">
        <v>619</v>
      </c>
      <c r="G6" s="1">
        <v>89.3</v>
      </c>
    </row>
    <row r="7" spans="1:7">
      <c r="A7" s="14">
        <v>43950</v>
      </c>
      <c r="B7" s="6">
        <f>B6+27.2</f>
        <v>115.9</v>
      </c>
      <c r="C7" s="13">
        <v>115.89</v>
      </c>
      <c r="D7" s="1">
        <v>91</v>
      </c>
      <c r="E7" s="1" t="s">
        <v>86</v>
      </c>
      <c r="F7" s="1" t="s">
        <v>620</v>
      </c>
      <c r="G7" s="1">
        <v>115.89</v>
      </c>
    </row>
    <row r="8" spans="1:7">
      <c r="A8" s="14">
        <v>44285</v>
      </c>
      <c r="B8" s="6">
        <f>B7</f>
        <v>115.9</v>
      </c>
      <c r="C8" s="13">
        <v>115.89</v>
      </c>
      <c r="D8" s="1">
        <v>92</v>
      </c>
      <c r="E8" s="1" t="s">
        <v>86</v>
      </c>
      <c r="F8" s="1" t="s">
        <v>621</v>
      </c>
      <c r="G8" s="1">
        <v>115.89</v>
      </c>
    </row>
    <row r="9" ht="28" spans="1:7">
      <c r="A9" s="14">
        <v>45198</v>
      </c>
      <c r="B9" s="6">
        <f>B8+47.7</f>
        <v>163.6</v>
      </c>
      <c r="C9" s="13">
        <v>165</v>
      </c>
      <c r="E9" s="1" t="s">
        <v>88</v>
      </c>
      <c r="F9" s="1" t="s">
        <v>622</v>
      </c>
      <c r="G9" s="1">
        <v>163.7</v>
      </c>
    </row>
    <row r="10" spans="1:6">
      <c r="A10" s="14">
        <v>45656</v>
      </c>
      <c r="B10" s="6">
        <f>B9+23</f>
        <v>186.6</v>
      </c>
      <c r="E10" s="1" t="s">
        <v>231</v>
      </c>
      <c r="F10" s="1" t="s">
        <v>623</v>
      </c>
    </row>
  </sheetData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workbookViewId="0">
      <selection activeCell="B3" sqref="B3"/>
    </sheetView>
  </sheetViews>
  <sheetFormatPr defaultColWidth="8.50833333333333" defaultRowHeight="14"/>
  <cols>
    <col min="1" max="1" width="15.375" style="14" customWidth="1"/>
    <col min="2" max="2" width="10.125" style="6" customWidth="1"/>
    <col min="3" max="5" width="10.125" style="1" customWidth="1"/>
    <col min="6" max="6" width="24.25" style="1" customWidth="1"/>
    <col min="7" max="8" width="15.75" style="7" customWidth="1"/>
    <col min="9" max="9" width="40.375" style="1" customWidth="1"/>
    <col min="10" max="16384" width="8.50833333333333" style="1"/>
  </cols>
  <sheetData>
    <row r="1" ht="28" spans="1:6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>
      <c r="A2" s="14">
        <v>40802</v>
      </c>
      <c r="B2" s="6">
        <v>20.5</v>
      </c>
      <c r="E2" s="1" t="s">
        <v>64</v>
      </c>
      <c r="F2" s="1" t="s">
        <v>624</v>
      </c>
    </row>
    <row r="3" spans="1:6">
      <c r="A3" s="14">
        <v>41532</v>
      </c>
      <c r="B3" s="6">
        <f>B2+25.4</f>
        <v>45.9</v>
      </c>
      <c r="E3" s="1" t="s">
        <v>71</v>
      </c>
      <c r="F3" s="1" t="s">
        <v>625</v>
      </c>
    </row>
    <row r="4" spans="1:6">
      <c r="A4" s="14">
        <v>41806</v>
      </c>
      <c r="B4" s="6">
        <f>B3+6.3</f>
        <v>52.2</v>
      </c>
      <c r="E4" s="1" t="s">
        <v>71</v>
      </c>
      <c r="F4" s="1" t="s">
        <v>626</v>
      </c>
    </row>
    <row r="5" spans="1:6">
      <c r="A5" s="14">
        <v>42682</v>
      </c>
      <c r="B5" s="6">
        <f>B4+39.2</f>
        <v>91.4</v>
      </c>
      <c r="E5" s="1" t="s">
        <v>79</v>
      </c>
      <c r="F5" s="1" t="s">
        <v>627</v>
      </c>
    </row>
    <row r="6" spans="1:6">
      <c r="A6" s="14">
        <v>43460</v>
      </c>
      <c r="B6" s="6">
        <f>B5+35.2</f>
        <v>126.6</v>
      </c>
      <c r="E6" s="1" t="s">
        <v>86</v>
      </c>
      <c r="F6" s="1" t="s">
        <v>628</v>
      </c>
    </row>
    <row r="7" spans="1:6">
      <c r="A7" s="14">
        <v>43734</v>
      </c>
      <c r="B7" s="6">
        <f>B6+6.1</f>
        <v>132.7</v>
      </c>
      <c r="C7" s="1">
        <v>132.45</v>
      </c>
      <c r="D7" s="1">
        <v>99</v>
      </c>
      <c r="E7" s="1" t="s">
        <v>86</v>
      </c>
      <c r="F7" s="1" t="s">
        <v>629</v>
      </c>
    </row>
    <row r="8" spans="1:6">
      <c r="A8" s="14">
        <v>43737</v>
      </c>
      <c r="B8" s="6">
        <f>B7+29.3</f>
        <v>162</v>
      </c>
      <c r="C8" s="1">
        <v>161.76</v>
      </c>
      <c r="D8" s="1">
        <v>108</v>
      </c>
      <c r="E8" s="1" t="s">
        <v>88</v>
      </c>
      <c r="F8" s="1" t="s">
        <v>630</v>
      </c>
    </row>
    <row r="9" ht="42" spans="1:6">
      <c r="A9" s="14">
        <v>44193</v>
      </c>
      <c r="B9" s="6">
        <f>B8+82.8</f>
        <v>244.8</v>
      </c>
      <c r="C9" s="1">
        <v>244.31</v>
      </c>
      <c r="D9" s="1">
        <v>169</v>
      </c>
      <c r="E9" s="1" t="s">
        <v>90</v>
      </c>
      <c r="F9" s="1" t="s">
        <v>631</v>
      </c>
    </row>
    <row r="10" spans="1:6">
      <c r="A10" s="14">
        <v>44376</v>
      </c>
      <c r="B10" s="6">
        <f>B9+13.7</f>
        <v>258.5</v>
      </c>
      <c r="C10" s="1">
        <v>257.96</v>
      </c>
      <c r="D10" s="1">
        <v>177</v>
      </c>
      <c r="E10" s="1" t="s">
        <v>90</v>
      </c>
      <c r="F10" s="1" t="s">
        <v>632</v>
      </c>
    </row>
    <row r="11" spans="1:6">
      <c r="A11" s="14">
        <v>44464</v>
      </c>
      <c r="B11" s="6">
        <f>B10</f>
        <v>258.5</v>
      </c>
      <c r="C11" s="1">
        <v>257.96</v>
      </c>
      <c r="D11" s="1">
        <v>178</v>
      </c>
      <c r="E11" s="1" t="s">
        <v>90</v>
      </c>
      <c r="F11" s="1" t="s">
        <v>633</v>
      </c>
    </row>
    <row r="12" spans="1:9">
      <c r="A12" s="14">
        <v>44924</v>
      </c>
      <c r="B12" s="6">
        <f>B11+19.5</f>
        <v>278</v>
      </c>
      <c r="C12" s="1">
        <v>277.46</v>
      </c>
      <c r="D12" s="1">
        <v>195</v>
      </c>
      <c r="E12" s="1" t="s">
        <v>90</v>
      </c>
      <c r="F12" s="1" t="s">
        <v>634</v>
      </c>
      <c r="I12" s="1" t="s">
        <v>635</v>
      </c>
    </row>
    <row r="13" ht="28" spans="1:6">
      <c r="A13" s="14">
        <v>45104</v>
      </c>
      <c r="B13" s="6">
        <f>B12+6.9+15.1</f>
        <v>300</v>
      </c>
      <c r="C13" s="1">
        <v>301</v>
      </c>
      <c r="E13" s="1" t="s">
        <v>239</v>
      </c>
      <c r="F13" s="1" t="s">
        <v>636</v>
      </c>
    </row>
    <row r="14" spans="1:6">
      <c r="A14" s="14">
        <v>45190</v>
      </c>
      <c r="B14" s="6">
        <f>B13+10.6</f>
        <v>310.6</v>
      </c>
      <c r="C14" s="1">
        <v>311.61</v>
      </c>
      <c r="E14" s="1" t="s">
        <v>239</v>
      </c>
      <c r="F14" s="1" t="s">
        <v>637</v>
      </c>
    </row>
    <row r="15" spans="1:6">
      <c r="A15" s="14">
        <v>45561</v>
      </c>
      <c r="B15" s="6">
        <f>B14+3.7+4.2+34.4</f>
        <v>352.9</v>
      </c>
      <c r="C15" s="1">
        <v>353.41</v>
      </c>
      <c r="E15" s="1" t="s">
        <v>181</v>
      </c>
      <c r="F15" s="1" t="s">
        <v>638</v>
      </c>
    </row>
    <row r="16" spans="1:6">
      <c r="A16" s="14">
        <v>45652</v>
      </c>
      <c r="B16" s="6">
        <f>B15+49.9</f>
        <v>402.8</v>
      </c>
      <c r="E16" s="1" t="s">
        <v>187</v>
      </c>
      <c r="F16" s="1" t="s">
        <v>639</v>
      </c>
    </row>
  </sheetData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B3" sqref="B3"/>
    </sheetView>
  </sheetViews>
  <sheetFormatPr defaultColWidth="8.50833333333333" defaultRowHeight="14" outlineLevelCol="5"/>
  <cols>
    <col min="1" max="1" width="15.375" style="14" customWidth="1"/>
    <col min="2" max="2" width="10.125" style="6" customWidth="1"/>
    <col min="3" max="5" width="10.125" style="1" customWidth="1"/>
    <col min="6" max="6" width="24.25" style="1" customWidth="1"/>
    <col min="7" max="8" width="15.75" style="7" customWidth="1"/>
    <col min="9" max="9" width="40.375" style="1" customWidth="1"/>
    <col min="10" max="16384" width="8.50833333333333" style="1"/>
  </cols>
  <sheetData>
    <row r="1" ht="28" spans="1:6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>
      <c r="A2" s="14">
        <v>41027</v>
      </c>
      <c r="B2" s="6">
        <v>25.7</v>
      </c>
      <c r="E2" s="1" t="s">
        <v>64</v>
      </c>
      <c r="F2" s="1">
        <v>1</v>
      </c>
    </row>
    <row r="3" spans="1:6">
      <c r="A3" s="14">
        <v>41636</v>
      </c>
      <c r="B3" s="6">
        <f>B2+26.5</f>
        <v>52.2</v>
      </c>
      <c r="E3" s="1" t="s">
        <v>71</v>
      </c>
      <c r="F3" s="1">
        <v>2</v>
      </c>
    </row>
    <row r="4" spans="1:6">
      <c r="A4" s="14">
        <v>42637</v>
      </c>
      <c r="B4" s="6">
        <f>B3+16</f>
        <v>68.2</v>
      </c>
      <c r="C4" s="1">
        <v>67.7</v>
      </c>
      <c r="D4" s="1">
        <v>59</v>
      </c>
      <c r="E4" s="1" t="s">
        <v>71</v>
      </c>
      <c r="F4" s="1" t="s">
        <v>640</v>
      </c>
    </row>
    <row r="5" spans="1:6">
      <c r="A5" s="14">
        <v>42840</v>
      </c>
      <c r="B5" s="6">
        <f>B4+52.8</f>
        <v>121</v>
      </c>
      <c r="E5" s="1" t="s">
        <v>79</v>
      </c>
      <c r="F5" s="1" t="s">
        <v>641</v>
      </c>
    </row>
    <row r="6" spans="1:6">
      <c r="A6" s="14">
        <v>43824</v>
      </c>
      <c r="B6" s="6">
        <f>B5+45.2</f>
        <v>166.2</v>
      </c>
      <c r="C6" s="1">
        <v>166.27</v>
      </c>
      <c r="D6" s="1">
        <v>135</v>
      </c>
      <c r="E6" s="1" t="s">
        <v>86</v>
      </c>
      <c r="F6" s="1">
        <v>3</v>
      </c>
    </row>
    <row r="7" spans="1:6">
      <c r="A7" s="14">
        <v>44376</v>
      </c>
      <c r="B7" s="6">
        <f>B6+44.1</f>
        <v>210.3</v>
      </c>
      <c r="C7" s="1">
        <v>210.37</v>
      </c>
      <c r="D7" s="1">
        <v>169</v>
      </c>
      <c r="E7" s="1" t="s">
        <v>88</v>
      </c>
      <c r="F7" s="1">
        <v>5</v>
      </c>
    </row>
    <row r="8" spans="1:6">
      <c r="A8" s="14" t="s">
        <v>642</v>
      </c>
      <c r="B8" s="6">
        <v>4.6</v>
      </c>
      <c r="E8" s="1" t="s">
        <v>88</v>
      </c>
      <c r="F8" s="1" t="s">
        <v>643</v>
      </c>
    </row>
    <row r="9" spans="1:6">
      <c r="A9" s="14">
        <v>45101</v>
      </c>
      <c r="B9" s="6">
        <f>210.3+41.3</f>
        <v>251.6</v>
      </c>
      <c r="C9" s="1">
        <v>251.64</v>
      </c>
      <c r="E9" s="1" t="s">
        <v>231</v>
      </c>
      <c r="F9" s="1" t="s">
        <v>644</v>
      </c>
    </row>
    <row r="10" spans="1:6">
      <c r="A10" s="14">
        <v>45106</v>
      </c>
      <c r="B10" s="6">
        <f>B9+35.1</f>
        <v>286.7</v>
      </c>
      <c r="C10" s="1">
        <v>286.76</v>
      </c>
      <c r="E10" s="1" t="s">
        <v>484</v>
      </c>
      <c r="F10" s="1">
        <v>6</v>
      </c>
    </row>
    <row r="11" spans="1:6">
      <c r="A11" s="14">
        <v>45179</v>
      </c>
      <c r="B11" s="6">
        <f>B10+35.6</f>
        <v>322.3</v>
      </c>
      <c r="C11" s="1">
        <v>322.36</v>
      </c>
      <c r="E11" s="1" t="s">
        <v>90</v>
      </c>
      <c r="F11" s="1">
        <v>8</v>
      </c>
    </row>
    <row r="12" spans="1:6">
      <c r="A12" s="14">
        <v>45627</v>
      </c>
      <c r="B12" s="6">
        <f>B11+24.4</f>
        <v>346.7</v>
      </c>
      <c r="E12" s="1" t="s">
        <v>239</v>
      </c>
      <c r="F12" s="1">
        <v>7</v>
      </c>
    </row>
  </sheetData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B23" sqref="B23"/>
    </sheetView>
  </sheetViews>
  <sheetFormatPr defaultColWidth="8.50833333333333" defaultRowHeight="14" outlineLevelCol="5"/>
  <cols>
    <col min="1" max="1" width="15.375" style="1" customWidth="1"/>
    <col min="2" max="2" width="10.125" style="6" customWidth="1"/>
    <col min="3" max="5" width="10.125" style="1" customWidth="1"/>
    <col min="6" max="6" width="24.25" style="1" customWidth="1"/>
    <col min="7" max="8" width="15.75" style="2" customWidth="1"/>
    <col min="9" max="9" width="40.375" style="1" customWidth="1"/>
    <col min="10" max="16384" width="8.50833333333333" style="1"/>
  </cols>
  <sheetData>
    <row r="1" ht="28" spans="1:6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>
      <c r="A2" s="3">
        <v>41088</v>
      </c>
      <c r="B2" s="6">
        <v>18.1</v>
      </c>
      <c r="C2" s="1">
        <v>18.018</v>
      </c>
      <c r="D2" s="1">
        <v>4</v>
      </c>
      <c r="E2" s="1" t="s">
        <v>64</v>
      </c>
      <c r="F2" s="1" t="s">
        <v>645</v>
      </c>
    </row>
    <row r="3" spans="1:6">
      <c r="A3" s="3">
        <v>41414</v>
      </c>
      <c r="B3" s="6">
        <f>B2+22.3</f>
        <v>40.4</v>
      </c>
      <c r="C3" s="1">
        <v>47</v>
      </c>
      <c r="D3" s="1">
        <v>22</v>
      </c>
      <c r="E3" s="1" t="s">
        <v>71</v>
      </c>
      <c r="F3" s="1">
        <v>1</v>
      </c>
    </row>
    <row r="4" spans="1:6">
      <c r="A4" s="3">
        <v>41759</v>
      </c>
      <c r="B4" s="6">
        <f>B3+19.2</f>
        <v>59.6</v>
      </c>
      <c r="C4" s="1">
        <v>59.4</v>
      </c>
      <c r="D4" s="1">
        <v>36</v>
      </c>
      <c r="E4" s="1" t="s">
        <v>71</v>
      </c>
      <c r="F4" s="1" t="s">
        <v>646</v>
      </c>
    </row>
    <row r="5" spans="1:6">
      <c r="A5" s="3">
        <v>42434</v>
      </c>
      <c r="B5" s="6">
        <f>B4</f>
        <v>59.6</v>
      </c>
      <c r="C5" s="1">
        <v>59.4</v>
      </c>
      <c r="D5" s="1">
        <v>36</v>
      </c>
      <c r="E5" s="1" t="s">
        <v>71</v>
      </c>
      <c r="F5" s="1" t="s">
        <v>647</v>
      </c>
    </row>
    <row r="6" spans="1:6">
      <c r="A6" s="3">
        <v>42730</v>
      </c>
      <c r="B6" s="6">
        <f>B4+5.3</f>
        <v>64.9</v>
      </c>
      <c r="C6" s="1">
        <v>64.6</v>
      </c>
      <c r="D6" s="1">
        <v>41</v>
      </c>
      <c r="E6" s="1" t="s">
        <v>71</v>
      </c>
      <c r="F6" s="1" t="s">
        <v>648</v>
      </c>
    </row>
    <row r="7" spans="1:6">
      <c r="A7" s="3">
        <v>42976</v>
      </c>
      <c r="B7" s="6">
        <f>B6+23.4</f>
        <v>88.3</v>
      </c>
      <c r="C7" s="1">
        <v>88</v>
      </c>
      <c r="D7" s="1">
        <v>61</v>
      </c>
      <c r="E7" s="1" t="s">
        <v>79</v>
      </c>
      <c r="F7" s="1" t="s">
        <v>649</v>
      </c>
    </row>
    <row r="8" spans="1:6">
      <c r="A8" s="3">
        <v>44097</v>
      </c>
      <c r="B8" s="6">
        <f>B7+50.7</f>
        <v>139</v>
      </c>
      <c r="C8" s="1">
        <v>139.4</v>
      </c>
      <c r="D8" s="1">
        <v>93</v>
      </c>
      <c r="E8" s="1" t="s">
        <v>86</v>
      </c>
      <c r="F8" s="1" t="s">
        <v>650</v>
      </c>
    </row>
    <row r="9" spans="1:6">
      <c r="A9" s="3">
        <v>44741</v>
      </c>
      <c r="B9" s="6">
        <f>B8+26.5</f>
        <v>165.5</v>
      </c>
      <c r="C9" s="1">
        <v>165.85</v>
      </c>
      <c r="E9" s="1" t="s">
        <v>88</v>
      </c>
      <c r="F9" s="1">
        <v>5</v>
      </c>
    </row>
    <row r="10" spans="1:1">
      <c r="A10" s="3"/>
    </row>
  </sheetData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selection activeCell="B3" sqref="B3"/>
    </sheetView>
  </sheetViews>
  <sheetFormatPr defaultColWidth="8.50833333333333" defaultRowHeight="14" outlineLevelCol="6"/>
  <cols>
    <col min="1" max="1" width="15.375" style="14" customWidth="1"/>
    <col min="2" max="2" width="10.125" style="6" customWidth="1"/>
    <col min="3" max="5" width="10.125" style="1" customWidth="1"/>
    <col min="6" max="6" width="24.25" style="1" customWidth="1"/>
    <col min="7" max="8" width="15.75" style="7" customWidth="1"/>
    <col min="9" max="9" width="40.375" style="1" customWidth="1"/>
    <col min="10" max="16384" width="8.50833333333333" style="1"/>
  </cols>
  <sheetData>
    <row r="1" ht="28" spans="1:6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>
      <c r="A2" s="14">
        <v>41237</v>
      </c>
      <c r="B2" s="6">
        <v>47</v>
      </c>
      <c r="C2" s="1">
        <v>47.97</v>
      </c>
      <c r="D2" s="1">
        <v>26</v>
      </c>
      <c r="E2" s="1" t="s">
        <v>64</v>
      </c>
      <c r="F2" s="1" t="s">
        <v>651</v>
      </c>
    </row>
    <row r="3" spans="1:6">
      <c r="A3" s="14">
        <v>41455</v>
      </c>
      <c r="B3" s="6">
        <f>B2</f>
        <v>47</v>
      </c>
      <c r="C3" s="1">
        <v>47.97</v>
      </c>
      <c r="D3" s="1">
        <v>27</v>
      </c>
      <c r="E3" s="1" t="s">
        <v>64</v>
      </c>
      <c r="F3" s="1" t="s">
        <v>652</v>
      </c>
    </row>
    <row r="4" ht="28" spans="1:6">
      <c r="A4" s="14">
        <v>41967</v>
      </c>
      <c r="B4" s="6">
        <f>B2+18.2</f>
        <v>65.2</v>
      </c>
      <c r="C4" s="1">
        <v>66</v>
      </c>
      <c r="D4" s="1">
        <v>40</v>
      </c>
      <c r="E4" s="1" t="s">
        <v>71</v>
      </c>
      <c r="F4" s="1" t="s">
        <v>653</v>
      </c>
    </row>
    <row r="5" spans="1:6">
      <c r="A5" s="14">
        <v>42037</v>
      </c>
      <c r="B5" s="6">
        <f>B4+9.7</f>
        <v>74.9</v>
      </c>
      <c r="C5" s="1">
        <v>75.68</v>
      </c>
      <c r="D5" s="1">
        <v>49</v>
      </c>
      <c r="E5" s="1" t="s">
        <v>79</v>
      </c>
      <c r="F5" s="1" t="s">
        <v>654</v>
      </c>
    </row>
    <row r="6" spans="1:6">
      <c r="A6" s="14">
        <v>42183</v>
      </c>
      <c r="B6" s="6">
        <f>B5</f>
        <v>74.9</v>
      </c>
      <c r="C6" s="1">
        <v>75.68</v>
      </c>
      <c r="D6" s="1">
        <v>50</v>
      </c>
      <c r="E6" s="1" t="s">
        <v>79</v>
      </c>
      <c r="F6" s="1" t="s">
        <v>655</v>
      </c>
    </row>
    <row r="7" spans="1:6">
      <c r="A7" s="14">
        <v>42332</v>
      </c>
      <c r="B7" s="6">
        <f>B6+5</f>
        <v>79.9</v>
      </c>
      <c r="E7" s="1" t="s">
        <v>79</v>
      </c>
      <c r="F7" s="1" t="s">
        <v>656</v>
      </c>
    </row>
    <row r="8" spans="1:7">
      <c r="A8" s="14">
        <v>42919</v>
      </c>
      <c r="B8" s="6">
        <f>B7+11.2</f>
        <v>91.1</v>
      </c>
      <c r="C8" s="1">
        <v>93</v>
      </c>
      <c r="D8" s="1">
        <v>67</v>
      </c>
      <c r="E8" s="1" t="s">
        <v>79</v>
      </c>
      <c r="F8" s="1" t="s">
        <v>657</v>
      </c>
      <c r="G8" s="7" t="s">
        <v>658</v>
      </c>
    </row>
    <row r="9" spans="1:6">
      <c r="A9" s="14">
        <v>43096</v>
      </c>
      <c r="B9" s="6">
        <f>B8+13.9</f>
        <v>105</v>
      </c>
      <c r="E9" s="1" t="s">
        <v>79</v>
      </c>
      <c r="F9" s="1" t="s">
        <v>659</v>
      </c>
    </row>
    <row r="10" spans="1:6">
      <c r="A10" s="14">
        <v>43109</v>
      </c>
      <c r="B10" s="6">
        <f>B9+11.2</f>
        <v>116.2</v>
      </c>
      <c r="E10" s="1" t="s">
        <v>79</v>
      </c>
      <c r="F10" s="1" t="s">
        <v>660</v>
      </c>
    </row>
    <row r="11" spans="1:6">
      <c r="A11" s="14">
        <v>43640</v>
      </c>
      <c r="B11" s="6">
        <f>B10+17.2</f>
        <v>133.4</v>
      </c>
      <c r="C11" s="1">
        <v>135.3</v>
      </c>
      <c r="D11" s="1">
        <v>96</v>
      </c>
      <c r="E11" s="1" t="s">
        <v>86</v>
      </c>
      <c r="F11" s="1" t="s">
        <v>661</v>
      </c>
    </row>
    <row r="12" spans="1:6">
      <c r="A12" s="14">
        <v>43944</v>
      </c>
      <c r="B12" s="6">
        <f>B11+36.8+35.1</f>
        <v>205.3</v>
      </c>
      <c r="C12" s="1">
        <v>206.64</v>
      </c>
      <c r="D12" s="1">
        <v>133</v>
      </c>
      <c r="E12" s="1" t="s">
        <v>88</v>
      </c>
      <c r="F12" s="1" t="s">
        <v>662</v>
      </c>
    </row>
    <row r="13" spans="1:6">
      <c r="A13" s="14">
        <v>44012</v>
      </c>
      <c r="B13" s="6">
        <f>B12</f>
        <v>205.3</v>
      </c>
      <c r="C13" s="1">
        <v>206.64</v>
      </c>
      <c r="D13" s="1">
        <v>135</v>
      </c>
      <c r="E13" s="1" t="s">
        <v>88</v>
      </c>
      <c r="F13" s="1" t="s">
        <v>663</v>
      </c>
    </row>
    <row r="14" spans="1:6">
      <c r="A14" s="14">
        <v>44195</v>
      </c>
      <c r="B14" s="6">
        <f>B12+11.3+48.9+38</f>
        <v>303.5</v>
      </c>
      <c r="C14" s="1">
        <v>306</v>
      </c>
      <c r="D14" s="1">
        <v>195</v>
      </c>
      <c r="E14" s="1" t="s">
        <v>484</v>
      </c>
      <c r="F14" s="1" t="s">
        <v>664</v>
      </c>
    </row>
    <row r="15" spans="1:6">
      <c r="A15" s="14">
        <v>44315</v>
      </c>
      <c r="B15" s="6">
        <f>B14</f>
        <v>303.5</v>
      </c>
      <c r="C15" s="1">
        <v>306</v>
      </c>
      <c r="D15" s="1">
        <v>196</v>
      </c>
      <c r="E15" s="1" t="s">
        <v>484</v>
      </c>
      <c r="F15" s="1" t="s">
        <v>665</v>
      </c>
    </row>
    <row r="16" spans="1:6">
      <c r="A16" s="14">
        <v>44375</v>
      </c>
      <c r="B16" s="6">
        <f>B14+17.1</f>
        <v>320.6</v>
      </c>
      <c r="C16" s="1">
        <v>323.1</v>
      </c>
      <c r="D16" s="1">
        <v>205</v>
      </c>
      <c r="E16" s="1" t="s">
        <v>90</v>
      </c>
      <c r="F16" s="1">
        <v>8</v>
      </c>
    </row>
    <row r="17" spans="1:6">
      <c r="A17" s="14">
        <v>44387</v>
      </c>
      <c r="B17" s="6">
        <f>B16</f>
        <v>320.6</v>
      </c>
      <c r="C17" s="1">
        <v>323.1</v>
      </c>
      <c r="D17" s="1">
        <v>205</v>
      </c>
      <c r="E17" s="1" t="s">
        <v>239</v>
      </c>
      <c r="F17" s="1" t="s">
        <v>666</v>
      </c>
    </row>
    <row r="18" spans="1:6">
      <c r="A18" s="14">
        <v>44456</v>
      </c>
      <c r="B18" s="6">
        <f>B16+6+3.5</f>
        <v>330.1</v>
      </c>
      <c r="C18" s="1">
        <v>332.1</v>
      </c>
      <c r="D18" s="1">
        <v>210</v>
      </c>
      <c r="E18" s="1" t="s">
        <v>239</v>
      </c>
      <c r="F18" s="1" t="s">
        <v>667</v>
      </c>
    </row>
    <row r="19" spans="1:6">
      <c r="A19" s="14">
        <v>44506</v>
      </c>
      <c r="B19" s="6">
        <f>B18+10</f>
        <v>340.1</v>
      </c>
      <c r="C19" s="1">
        <v>341.1</v>
      </c>
      <c r="D19" s="1">
        <v>217</v>
      </c>
      <c r="E19" s="1" t="s">
        <v>239</v>
      </c>
      <c r="F19" s="1" t="s">
        <v>201</v>
      </c>
    </row>
    <row r="20" ht="28" spans="1:6">
      <c r="A20" s="14">
        <v>44613</v>
      </c>
      <c r="B20" s="6">
        <f>B19+21+23.9+12</f>
        <v>397</v>
      </c>
      <c r="C20" s="1">
        <v>401</v>
      </c>
      <c r="D20" s="1">
        <v>253</v>
      </c>
      <c r="E20" s="1" t="s">
        <v>187</v>
      </c>
      <c r="F20" s="1" t="s">
        <v>668</v>
      </c>
    </row>
    <row r="21" spans="1:6">
      <c r="A21" s="14">
        <v>44652</v>
      </c>
      <c r="B21" s="6">
        <f>B20+6+12</f>
        <v>415</v>
      </c>
      <c r="C21" s="1">
        <v>419</v>
      </c>
      <c r="E21" s="1" t="s">
        <v>187</v>
      </c>
      <c r="F21" s="1" t="s">
        <v>669</v>
      </c>
    </row>
    <row r="22" spans="1:6">
      <c r="A22" s="14">
        <v>44722</v>
      </c>
      <c r="B22" s="6">
        <f>B21+31.5</f>
        <v>446.5</v>
      </c>
      <c r="C22" s="1">
        <v>450</v>
      </c>
      <c r="E22" s="1" t="s">
        <v>187</v>
      </c>
      <c r="F22" s="1" t="s">
        <v>545</v>
      </c>
    </row>
    <row r="23" spans="1:6">
      <c r="A23" s="14">
        <v>44736</v>
      </c>
      <c r="B23" s="6">
        <f>B22+1</f>
        <v>447.5</v>
      </c>
      <c r="C23" s="1">
        <v>451</v>
      </c>
      <c r="E23" s="1" t="s">
        <v>187</v>
      </c>
      <c r="F23" s="1" t="s">
        <v>670</v>
      </c>
    </row>
    <row r="24" spans="1:6">
      <c r="A24" s="14">
        <v>44762</v>
      </c>
      <c r="B24" s="6">
        <f>B23</f>
        <v>447.5</v>
      </c>
      <c r="C24" s="1">
        <v>451</v>
      </c>
      <c r="E24" s="1" t="s">
        <v>187</v>
      </c>
      <c r="F24" s="1" t="s">
        <v>671</v>
      </c>
    </row>
    <row r="25" spans="1:6">
      <c r="A25" s="14">
        <v>44826</v>
      </c>
      <c r="B25" s="6">
        <f>B24+2.2+5+59.1</f>
        <v>513.8</v>
      </c>
      <c r="C25" s="1">
        <v>516</v>
      </c>
      <c r="E25" s="1" t="s">
        <v>495</v>
      </c>
      <c r="F25" s="1" t="s">
        <v>672</v>
      </c>
    </row>
    <row r="26" spans="1:6">
      <c r="A26" s="14">
        <v>44909</v>
      </c>
      <c r="B26" s="6">
        <f>B25</f>
        <v>513.8</v>
      </c>
      <c r="C26" s="1">
        <v>516</v>
      </c>
      <c r="E26" s="1" t="s">
        <v>495</v>
      </c>
      <c r="F26" s="1" t="s">
        <v>673</v>
      </c>
    </row>
    <row r="27" spans="1:6">
      <c r="A27" s="14">
        <v>44978</v>
      </c>
      <c r="B27" s="6">
        <f>B25</f>
        <v>513.8</v>
      </c>
      <c r="C27" s="1">
        <v>516</v>
      </c>
      <c r="E27" s="1" t="s">
        <v>495</v>
      </c>
      <c r="F27" s="1" t="s">
        <v>674</v>
      </c>
    </row>
    <row r="28" spans="1:6">
      <c r="A28" s="14">
        <v>45258</v>
      </c>
      <c r="B28" s="6">
        <f>B25</f>
        <v>513.8</v>
      </c>
      <c r="C28" s="1">
        <v>516</v>
      </c>
      <c r="E28" s="1" t="s">
        <v>495</v>
      </c>
      <c r="F28" s="1" t="s">
        <v>675</v>
      </c>
    </row>
    <row r="29" spans="1:6">
      <c r="A29" s="14">
        <v>45658</v>
      </c>
      <c r="B29" s="6">
        <f>B25+2.2</f>
        <v>516</v>
      </c>
      <c r="C29" s="1">
        <v>516</v>
      </c>
      <c r="E29" s="1" t="s">
        <v>495</v>
      </c>
      <c r="F29" s="1" t="s">
        <v>676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0"/>
  <sheetViews>
    <sheetView workbookViewId="0">
      <selection activeCell="G14" sqref="G14"/>
    </sheetView>
  </sheetViews>
  <sheetFormatPr defaultColWidth="8.50833333333333" defaultRowHeight="14"/>
  <cols>
    <col min="1" max="1" width="15.375" style="1" customWidth="1"/>
    <col min="2" max="2" width="10.125" style="6" customWidth="1"/>
    <col min="3" max="4" width="10.125" style="1" customWidth="1"/>
    <col min="5" max="5" width="10.125" style="6" customWidth="1"/>
    <col min="6" max="6" width="24.25" style="1" customWidth="1"/>
    <col min="7" max="7" width="33.1666666666667" style="1" customWidth="1"/>
    <col min="8" max="8" width="8.50833333333333" style="1"/>
    <col min="9" max="9" width="8.50833333333333" style="1" customWidth="1"/>
    <col min="10" max="10" width="11.375" style="1" customWidth="1"/>
    <col min="11" max="16384" width="8.50833333333333" style="1"/>
  </cols>
  <sheetData>
    <row r="1" ht="28" spans="1:17">
      <c r="A1" s="10" t="s">
        <v>0</v>
      </c>
      <c r="B1" s="9" t="s">
        <v>133</v>
      </c>
      <c r="C1" s="10" t="s">
        <v>134</v>
      </c>
      <c r="D1" s="10" t="s">
        <v>3</v>
      </c>
      <c r="E1" s="10" t="s">
        <v>4</v>
      </c>
      <c r="F1" s="10" t="s">
        <v>5</v>
      </c>
      <c r="G1" s="19" t="s">
        <v>135</v>
      </c>
      <c r="H1" s="1" t="s">
        <v>136</v>
      </c>
      <c r="I1" s="1" t="s">
        <v>137</v>
      </c>
      <c r="J1" s="1" t="s">
        <v>138</v>
      </c>
      <c r="K1" s="1" t="s">
        <v>139</v>
      </c>
      <c r="L1" s="1" t="s">
        <v>140</v>
      </c>
      <c r="M1" s="1" t="s">
        <v>141</v>
      </c>
      <c r="N1" s="1" t="s">
        <v>142</v>
      </c>
      <c r="O1" s="1" t="s">
        <v>143</v>
      </c>
      <c r="P1" s="1" t="s">
        <v>144</v>
      </c>
      <c r="Q1" s="1" t="s">
        <v>145</v>
      </c>
    </row>
    <row r="2" spans="1:8">
      <c r="A2" s="10" t="s">
        <v>18</v>
      </c>
      <c r="B2" s="10"/>
      <c r="C2" s="10"/>
      <c r="D2" s="10"/>
      <c r="E2" s="10"/>
      <c r="F2" s="10"/>
      <c r="G2" s="10"/>
      <c r="H2" s="1">
        <v>33.6</v>
      </c>
    </row>
    <row r="3" spans="1:8">
      <c r="A3" s="10" t="s">
        <v>19</v>
      </c>
      <c r="B3" s="10"/>
      <c r="C3" s="10"/>
      <c r="D3" s="10"/>
      <c r="E3" s="10"/>
      <c r="F3" s="10"/>
      <c r="G3" s="10"/>
      <c r="H3" s="1">
        <v>33.6</v>
      </c>
    </row>
    <row r="4" spans="1:8">
      <c r="A4" s="10" t="s">
        <v>20</v>
      </c>
      <c r="B4" s="10"/>
      <c r="C4" s="10"/>
      <c r="D4" s="10"/>
      <c r="E4" s="10"/>
      <c r="F4" s="10"/>
      <c r="G4" s="10"/>
      <c r="H4" s="1">
        <v>33.6</v>
      </c>
    </row>
    <row r="5" spans="1:8">
      <c r="A5" s="10" t="s">
        <v>21</v>
      </c>
      <c r="B5" s="10"/>
      <c r="C5" s="10"/>
      <c r="D5" s="10"/>
      <c r="E5" s="10"/>
      <c r="F5" s="10"/>
      <c r="G5" s="10"/>
      <c r="H5" s="1">
        <v>33.6</v>
      </c>
    </row>
    <row r="6" spans="1:8">
      <c r="A6" s="10" t="s">
        <v>22</v>
      </c>
      <c r="B6" s="10"/>
      <c r="C6" s="10"/>
      <c r="D6" s="10"/>
      <c r="E6" s="10"/>
      <c r="F6" s="10"/>
      <c r="G6" s="10"/>
      <c r="H6" s="1">
        <v>33.6</v>
      </c>
    </row>
    <row r="7" spans="1:8">
      <c r="A7" s="10" t="s">
        <v>23</v>
      </c>
      <c r="B7" s="10"/>
      <c r="C7" s="10"/>
      <c r="D7" s="10"/>
      <c r="E7" s="10"/>
      <c r="F7" s="10"/>
      <c r="G7" s="10"/>
      <c r="H7" s="1">
        <v>33.6</v>
      </c>
    </row>
    <row r="8" spans="1:8">
      <c r="A8" s="10" t="s">
        <v>24</v>
      </c>
      <c r="B8" s="10"/>
      <c r="C8" s="10"/>
      <c r="D8" s="10"/>
      <c r="E8" s="10"/>
      <c r="F8" s="10"/>
      <c r="G8" s="10"/>
      <c r="H8" s="1">
        <v>33.6</v>
      </c>
    </row>
    <row r="9" spans="1:8">
      <c r="A9" s="10" t="s">
        <v>25</v>
      </c>
      <c r="B9" s="10"/>
      <c r="C9" s="10"/>
      <c r="D9" s="10"/>
      <c r="E9" s="10"/>
      <c r="F9" s="10"/>
      <c r="G9" s="10"/>
      <c r="H9" s="1">
        <v>33.6</v>
      </c>
    </row>
    <row r="10" spans="1:8">
      <c r="A10" s="10" t="s">
        <v>26</v>
      </c>
      <c r="B10" s="10"/>
      <c r="C10" s="10"/>
      <c r="D10" s="10"/>
      <c r="E10" s="10"/>
      <c r="F10" s="10"/>
      <c r="G10" s="10"/>
      <c r="H10" s="1">
        <v>33.6</v>
      </c>
    </row>
    <row r="11" spans="1:8">
      <c r="A11" s="10" t="s">
        <v>27</v>
      </c>
      <c r="B11" s="10"/>
      <c r="C11" s="10"/>
      <c r="D11" s="10"/>
      <c r="E11" s="10"/>
      <c r="F11" s="10"/>
      <c r="G11" s="10"/>
      <c r="H11" s="1">
        <v>33.6</v>
      </c>
    </row>
    <row r="12" spans="1:8">
      <c r="A12" s="10" t="s">
        <v>28</v>
      </c>
      <c r="B12" s="10"/>
      <c r="C12" s="10"/>
      <c r="D12" s="10"/>
      <c r="E12" s="10"/>
      <c r="F12" s="10"/>
      <c r="G12" s="10"/>
      <c r="H12" s="1">
        <v>33.6</v>
      </c>
    </row>
    <row r="13" spans="1:8">
      <c r="A13" s="10" t="s">
        <v>29</v>
      </c>
      <c r="B13" s="10"/>
      <c r="C13" s="10"/>
      <c r="D13" s="10"/>
      <c r="E13" s="10"/>
      <c r="F13" s="10"/>
      <c r="G13" s="10"/>
      <c r="H13" s="1">
        <v>33.6</v>
      </c>
    </row>
    <row r="14" spans="1:8">
      <c r="A14" s="10" t="s">
        <v>30</v>
      </c>
      <c r="B14" s="10"/>
      <c r="C14" s="10"/>
      <c r="D14" s="10"/>
      <c r="E14" s="10"/>
      <c r="F14" s="10"/>
      <c r="G14" s="10"/>
      <c r="H14" s="1">
        <v>33.6</v>
      </c>
    </row>
    <row r="15" spans="1:8">
      <c r="A15" s="10" t="s">
        <v>31</v>
      </c>
      <c r="B15" s="10"/>
      <c r="C15" s="10"/>
      <c r="D15" s="10"/>
      <c r="E15" s="10"/>
      <c r="F15" s="10"/>
      <c r="G15" s="10"/>
      <c r="H15" s="1">
        <v>33.6</v>
      </c>
    </row>
    <row r="16" spans="1:8">
      <c r="A16" s="10" t="s">
        <v>32</v>
      </c>
      <c r="B16" s="10"/>
      <c r="C16" s="10"/>
      <c r="D16" s="10"/>
      <c r="E16" s="10"/>
      <c r="F16" s="10"/>
      <c r="G16" s="10"/>
      <c r="H16" s="1">
        <v>33.6</v>
      </c>
    </row>
    <row r="17" spans="1:8">
      <c r="A17" s="10" t="s">
        <v>33</v>
      </c>
      <c r="B17" s="10"/>
      <c r="C17" s="10"/>
      <c r="D17" s="10"/>
      <c r="E17" s="10"/>
      <c r="F17" s="10"/>
      <c r="G17" s="10"/>
      <c r="H17" s="1">
        <v>33.6</v>
      </c>
    </row>
    <row r="18" spans="1:8">
      <c r="A18" s="10" t="s">
        <v>34</v>
      </c>
      <c r="B18" s="10"/>
      <c r="C18" s="10"/>
      <c r="D18" s="10"/>
      <c r="E18" s="10"/>
      <c r="F18" s="10"/>
      <c r="G18" s="10"/>
      <c r="H18" s="1">
        <v>33.6</v>
      </c>
    </row>
    <row r="19" spans="1:8">
      <c r="A19" s="10" t="s">
        <v>35</v>
      </c>
      <c r="B19" s="10"/>
      <c r="C19" s="10"/>
      <c r="D19" s="10"/>
      <c r="E19" s="10"/>
      <c r="F19" s="10"/>
      <c r="G19" s="10"/>
      <c r="H19" s="1">
        <v>33.6</v>
      </c>
    </row>
    <row r="20" spans="1:8">
      <c r="A20" s="10" t="s">
        <v>36</v>
      </c>
      <c r="B20" s="10"/>
      <c r="C20" s="10"/>
      <c r="D20" s="10"/>
      <c r="E20" s="10"/>
      <c r="F20" s="10"/>
      <c r="G20" s="10"/>
      <c r="H20" s="1">
        <v>33.6</v>
      </c>
    </row>
    <row r="21" spans="1:8">
      <c r="A21" s="10" t="s">
        <v>37</v>
      </c>
      <c r="B21" s="10"/>
      <c r="C21" s="10"/>
      <c r="D21" s="10"/>
      <c r="E21" s="10"/>
      <c r="F21" s="10"/>
      <c r="G21" s="10"/>
      <c r="H21" s="1">
        <v>33.6</v>
      </c>
    </row>
    <row r="22" spans="1:8">
      <c r="A22" s="10" t="s">
        <v>38</v>
      </c>
      <c r="B22" s="10"/>
      <c r="C22" s="10"/>
      <c r="D22" s="10"/>
      <c r="E22" s="10"/>
      <c r="F22" s="10"/>
      <c r="G22" s="10"/>
      <c r="H22" s="1">
        <v>33.6</v>
      </c>
    </row>
    <row r="23" spans="1:8">
      <c r="A23" s="10" t="s">
        <v>39</v>
      </c>
      <c r="B23" s="10"/>
      <c r="C23" s="10"/>
      <c r="D23" s="10"/>
      <c r="E23" s="10"/>
      <c r="F23" s="10"/>
      <c r="G23" s="10"/>
      <c r="H23" s="1">
        <v>33.6</v>
      </c>
    </row>
    <row r="24" spans="1:8">
      <c r="A24" s="10" t="s">
        <v>40</v>
      </c>
      <c r="B24" s="10"/>
      <c r="C24" s="10"/>
      <c r="D24" s="10"/>
      <c r="E24" s="10"/>
      <c r="F24" s="10"/>
      <c r="G24" s="10"/>
      <c r="H24" s="1">
        <v>33.6</v>
      </c>
    </row>
    <row r="25" spans="1:8">
      <c r="A25" s="10" t="s">
        <v>41</v>
      </c>
      <c r="B25" s="10"/>
      <c r="C25" s="10"/>
      <c r="D25" s="10"/>
      <c r="E25" s="10"/>
      <c r="F25" s="10"/>
      <c r="G25" s="10"/>
      <c r="H25" s="1">
        <v>33.6</v>
      </c>
    </row>
    <row r="26" spans="1:8">
      <c r="A26" s="10" t="s">
        <v>42</v>
      </c>
      <c r="B26" s="10"/>
      <c r="C26" s="10"/>
      <c r="D26" s="10"/>
      <c r="E26" s="10"/>
      <c r="F26" s="10"/>
      <c r="G26" s="10"/>
      <c r="H26" s="1">
        <v>33.6</v>
      </c>
    </row>
    <row r="27" spans="1:8">
      <c r="A27" s="10" t="s">
        <v>43</v>
      </c>
      <c r="B27" s="10"/>
      <c r="C27" s="10"/>
      <c r="D27" s="10"/>
      <c r="E27" s="10"/>
      <c r="F27" s="10"/>
      <c r="G27" s="10"/>
      <c r="H27" s="1">
        <v>33.6</v>
      </c>
    </row>
    <row r="28" spans="1:7">
      <c r="A28" s="10" t="s">
        <v>44</v>
      </c>
      <c r="B28" s="10"/>
      <c r="C28" s="10"/>
      <c r="D28" s="10"/>
      <c r="E28" s="10"/>
      <c r="F28" s="10"/>
      <c r="G28" s="10"/>
    </row>
    <row r="29" spans="1:7">
      <c r="A29" s="10" t="s">
        <v>45</v>
      </c>
      <c r="B29" s="10"/>
      <c r="C29" s="10"/>
      <c r="D29" s="10"/>
      <c r="E29" s="10"/>
      <c r="F29" s="10"/>
      <c r="G29" s="10"/>
    </row>
    <row r="30" spans="1:7">
      <c r="A30" s="10" t="s">
        <v>46</v>
      </c>
      <c r="B30" s="10"/>
      <c r="C30" s="10"/>
      <c r="D30" s="10"/>
      <c r="E30" s="10"/>
      <c r="F30" s="10"/>
      <c r="G30" s="10"/>
    </row>
    <row r="31" spans="1:7">
      <c r="A31" s="10" t="s">
        <v>47</v>
      </c>
      <c r="B31" s="10"/>
      <c r="C31" s="10"/>
      <c r="D31" s="10"/>
      <c r="E31" s="10"/>
      <c r="F31" s="10"/>
      <c r="G31" s="10"/>
    </row>
    <row r="32" spans="1:7">
      <c r="A32" s="10" t="s">
        <v>48</v>
      </c>
      <c r="B32" s="10"/>
      <c r="C32" s="10"/>
      <c r="D32" s="10"/>
      <c r="E32" s="10"/>
      <c r="F32" s="10"/>
      <c r="G32" s="10"/>
    </row>
    <row r="33" spans="1:7">
      <c r="A33" s="10" t="s">
        <v>49</v>
      </c>
      <c r="B33" s="10"/>
      <c r="C33" s="10"/>
      <c r="D33" s="10"/>
      <c r="E33" s="10"/>
      <c r="F33" s="10"/>
      <c r="G33" s="10"/>
    </row>
    <row r="34" spans="1:7">
      <c r="A34" s="10" t="s">
        <v>50</v>
      </c>
      <c r="B34" s="10"/>
      <c r="C34" s="10"/>
      <c r="D34" s="10"/>
      <c r="E34" s="10"/>
      <c r="F34" s="10"/>
      <c r="G34" s="10"/>
    </row>
    <row r="35" spans="1:7">
      <c r="A35" s="10" t="s">
        <v>51</v>
      </c>
      <c r="B35" s="10"/>
      <c r="C35" s="10"/>
      <c r="D35" s="10"/>
      <c r="E35" s="10"/>
      <c r="F35" s="10"/>
      <c r="G35" s="10"/>
    </row>
    <row r="36" spans="1:7">
      <c r="A36" s="10" t="s">
        <v>52</v>
      </c>
      <c r="B36" s="10"/>
      <c r="C36" s="10"/>
      <c r="D36" s="10"/>
      <c r="E36" s="10"/>
      <c r="F36" s="10"/>
      <c r="G36" s="10"/>
    </row>
    <row r="37" spans="1:7">
      <c r="A37" s="10" t="s">
        <v>53</v>
      </c>
      <c r="B37" s="10"/>
      <c r="C37" s="10"/>
      <c r="D37" s="10"/>
      <c r="E37" s="10"/>
      <c r="F37" s="10"/>
      <c r="G37" s="10"/>
    </row>
    <row r="38" spans="1:7">
      <c r="A38" s="10" t="s">
        <v>54</v>
      </c>
      <c r="B38" s="10"/>
      <c r="C38" s="10"/>
      <c r="D38" s="10"/>
      <c r="E38" s="10"/>
      <c r="F38" s="10"/>
      <c r="G38" s="10"/>
    </row>
    <row r="39" spans="1:7">
      <c r="A39" s="10" t="s">
        <v>55</v>
      </c>
      <c r="B39" s="10"/>
      <c r="C39" s="10"/>
      <c r="D39" s="10"/>
      <c r="E39" s="10"/>
      <c r="F39" s="10"/>
      <c r="G39" s="10"/>
    </row>
    <row r="40" spans="1:7">
      <c r="A40" s="10" t="s">
        <v>56</v>
      </c>
      <c r="B40" s="10"/>
      <c r="C40" s="10"/>
      <c r="D40" s="10"/>
      <c r="E40" s="10"/>
      <c r="F40" s="10"/>
      <c r="G40" s="10"/>
    </row>
    <row r="41" spans="1:7">
      <c r="A41" s="10" t="s">
        <v>57</v>
      </c>
      <c r="B41" s="10"/>
      <c r="C41" s="10"/>
      <c r="D41" s="10"/>
      <c r="E41" s="10"/>
      <c r="F41" s="10"/>
      <c r="G41" s="10"/>
    </row>
    <row r="42" spans="1:7">
      <c r="A42" s="10" t="s">
        <v>58</v>
      </c>
      <c r="B42" s="10"/>
      <c r="C42" s="10"/>
      <c r="D42" s="10"/>
      <c r="E42" s="10"/>
      <c r="F42" s="10"/>
      <c r="G42" s="10"/>
    </row>
    <row r="43" spans="1:7">
      <c r="A43" s="10" t="s">
        <v>59</v>
      </c>
      <c r="B43" s="10"/>
      <c r="C43" s="10"/>
      <c r="D43" s="10"/>
      <c r="E43" s="10"/>
      <c r="F43" s="10"/>
      <c r="G43" s="10"/>
    </row>
    <row r="44" spans="1:7">
      <c r="A44" s="10" t="s">
        <v>60</v>
      </c>
      <c r="B44" s="10"/>
      <c r="C44" s="10"/>
      <c r="D44" s="10"/>
      <c r="E44" s="10"/>
      <c r="F44" s="10"/>
      <c r="G44" s="10"/>
    </row>
    <row r="45" spans="1:7">
      <c r="A45" s="10" t="s">
        <v>61</v>
      </c>
      <c r="B45" s="10"/>
      <c r="C45" s="10"/>
      <c r="D45" s="10"/>
      <c r="E45" s="10"/>
      <c r="F45" s="10"/>
      <c r="G45" s="10"/>
    </row>
    <row r="46" spans="1:7">
      <c r="A46" s="10" t="s">
        <v>62</v>
      </c>
      <c r="B46" s="10"/>
      <c r="C46" s="10"/>
      <c r="D46" s="10"/>
      <c r="E46" s="10"/>
      <c r="F46" s="10"/>
      <c r="G46" s="10"/>
    </row>
    <row r="47" spans="1:7">
      <c r="A47" s="10" t="s">
        <v>63</v>
      </c>
      <c r="B47" s="10"/>
      <c r="C47" s="10"/>
      <c r="D47" s="10"/>
      <c r="E47" s="10"/>
      <c r="F47" s="10"/>
      <c r="G47" s="10"/>
    </row>
    <row r="48" spans="1:8">
      <c r="A48" s="4">
        <v>3927</v>
      </c>
      <c r="B48" s="6">
        <f t="shared" ref="B48:B64" si="0">SUM(H48:Q48)</f>
        <v>35.3</v>
      </c>
      <c r="C48" s="1">
        <f t="shared" ref="C48:C64" si="1">SUM(I48:Q48)</f>
        <v>0</v>
      </c>
      <c r="F48" s="1" t="s">
        <v>146</v>
      </c>
      <c r="G48" s="1" t="s">
        <v>147</v>
      </c>
      <c r="H48" s="1">
        <v>35.3</v>
      </c>
    </row>
    <row r="49" spans="1:8">
      <c r="A49" s="4">
        <v>27728</v>
      </c>
      <c r="B49" s="6">
        <f t="shared" si="0"/>
        <v>33.6</v>
      </c>
      <c r="C49" s="1">
        <f t="shared" si="1"/>
        <v>0</v>
      </c>
      <c r="F49" s="1" t="s">
        <v>148</v>
      </c>
      <c r="H49" s="1">
        <v>33.6</v>
      </c>
    </row>
    <row r="50" spans="1:9">
      <c r="A50" s="3">
        <v>29129</v>
      </c>
      <c r="B50" s="6">
        <f t="shared" si="0"/>
        <v>42</v>
      </c>
      <c r="C50" s="1">
        <f t="shared" si="1"/>
        <v>8.4</v>
      </c>
      <c r="D50" s="18">
        <v>9</v>
      </c>
      <c r="E50" s="6" t="s">
        <v>149</v>
      </c>
      <c r="F50" s="1" t="s">
        <v>150</v>
      </c>
      <c r="H50" s="1">
        <v>33.6</v>
      </c>
      <c r="I50" s="1">
        <v>8.4</v>
      </c>
    </row>
    <row r="51" spans="1:9">
      <c r="A51" s="3">
        <v>29205</v>
      </c>
      <c r="B51" s="6">
        <f t="shared" si="0"/>
        <v>45.9</v>
      </c>
      <c r="C51" s="1">
        <f t="shared" si="1"/>
        <v>12.3</v>
      </c>
      <c r="D51" s="18">
        <v>12</v>
      </c>
      <c r="E51" s="6" t="s">
        <v>149</v>
      </c>
      <c r="F51" s="1" t="s">
        <v>151</v>
      </c>
      <c r="G51" s="1" t="s">
        <v>152</v>
      </c>
      <c r="H51" s="1">
        <v>33.6</v>
      </c>
      <c r="I51" s="1">
        <v>12.3</v>
      </c>
    </row>
    <row r="52" spans="1:9">
      <c r="A52" s="3">
        <v>29211</v>
      </c>
      <c r="B52" s="6">
        <f t="shared" si="0"/>
        <v>45.9</v>
      </c>
      <c r="C52" s="1">
        <f t="shared" si="1"/>
        <v>12.3</v>
      </c>
      <c r="D52" s="18">
        <v>13</v>
      </c>
      <c r="E52" s="6" t="s">
        <v>149</v>
      </c>
      <c r="F52" s="1" t="s">
        <v>153</v>
      </c>
      <c r="H52" s="1">
        <v>33.6</v>
      </c>
      <c r="I52" s="1">
        <v>12.3</v>
      </c>
    </row>
    <row r="53" spans="1:9">
      <c r="A53" s="3">
        <v>29220</v>
      </c>
      <c r="B53" s="6">
        <f t="shared" si="0"/>
        <v>45.9</v>
      </c>
      <c r="C53" s="1">
        <f t="shared" si="1"/>
        <v>12.3</v>
      </c>
      <c r="D53" s="18">
        <v>14</v>
      </c>
      <c r="E53" s="6" t="s">
        <v>149</v>
      </c>
      <c r="F53" s="1" t="s">
        <v>154</v>
      </c>
      <c r="H53" s="1">
        <v>33.6</v>
      </c>
      <c r="I53" s="1">
        <v>12.3</v>
      </c>
    </row>
    <row r="54" spans="1:9">
      <c r="A54" s="3">
        <v>29263</v>
      </c>
      <c r="B54" s="6">
        <f t="shared" si="0"/>
        <v>49</v>
      </c>
      <c r="C54" s="1">
        <f t="shared" si="1"/>
        <v>15.4</v>
      </c>
      <c r="D54" s="18">
        <v>16</v>
      </c>
      <c r="E54" s="6" t="s">
        <v>149</v>
      </c>
      <c r="F54" s="1" t="s">
        <v>155</v>
      </c>
      <c r="H54" s="1">
        <v>33.6</v>
      </c>
      <c r="I54" s="1">
        <v>15.4</v>
      </c>
    </row>
    <row r="55" spans="1:10">
      <c r="A55" s="3">
        <v>30081</v>
      </c>
      <c r="B55" s="6">
        <f t="shared" si="0"/>
        <v>58.6</v>
      </c>
      <c r="C55" s="1">
        <f t="shared" si="1"/>
        <v>25</v>
      </c>
      <c r="D55" s="18">
        <v>26</v>
      </c>
      <c r="E55" s="6" t="s">
        <v>156</v>
      </c>
      <c r="F55" s="1" t="s">
        <v>157</v>
      </c>
      <c r="H55" s="1">
        <v>33.6</v>
      </c>
      <c r="I55" s="1">
        <v>15.4</v>
      </c>
      <c r="J55" s="1">
        <v>9.6</v>
      </c>
    </row>
    <row r="56" spans="1:10">
      <c r="A56" s="3">
        <v>30088</v>
      </c>
      <c r="B56" s="6">
        <f t="shared" si="0"/>
        <v>59.9</v>
      </c>
      <c r="C56" s="1">
        <f t="shared" si="1"/>
        <v>26.3</v>
      </c>
      <c r="D56" s="18">
        <v>28</v>
      </c>
      <c r="E56" s="6" t="s">
        <v>156</v>
      </c>
      <c r="F56" s="1" t="s">
        <v>158</v>
      </c>
      <c r="G56" s="1" t="s">
        <v>159</v>
      </c>
      <c r="H56" s="1">
        <v>33.6</v>
      </c>
      <c r="I56" s="1">
        <v>10.5</v>
      </c>
      <c r="J56" s="1">
        <v>15.8</v>
      </c>
    </row>
    <row r="57" spans="1:11">
      <c r="A57" s="3">
        <v>31198</v>
      </c>
      <c r="B57" s="6">
        <f t="shared" si="0"/>
        <v>71.1</v>
      </c>
      <c r="C57" s="1">
        <f t="shared" si="1"/>
        <v>37.5</v>
      </c>
      <c r="D57" s="18">
        <v>40</v>
      </c>
      <c r="E57" s="6" t="s">
        <v>160</v>
      </c>
      <c r="F57" s="1" t="s">
        <v>161</v>
      </c>
      <c r="G57" s="1" t="s">
        <v>162</v>
      </c>
      <c r="H57" s="1">
        <v>33.6</v>
      </c>
      <c r="I57" s="1">
        <v>10.5</v>
      </c>
      <c r="J57" s="1">
        <v>15.8</v>
      </c>
      <c r="K57" s="1">
        <v>11.2</v>
      </c>
    </row>
    <row r="58" spans="1:11">
      <c r="A58" s="3">
        <v>31555</v>
      </c>
      <c r="B58" s="6">
        <f t="shared" si="0"/>
        <v>72.9</v>
      </c>
      <c r="C58" s="1">
        <f t="shared" si="1"/>
        <v>39.3</v>
      </c>
      <c r="D58" s="18"/>
      <c r="E58" s="6" t="s">
        <v>160</v>
      </c>
      <c r="F58" s="1" t="s">
        <v>163</v>
      </c>
      <c r="H58" s="1">
        <v>33.6</v>
      </c>
      <c r="I58" s="1">
        <v>10.5</v>
      </c>
      <c r="J58" s="1">
        <v>15.8</v>
      </c>
      <c r="K58" s="1">
        <v>13</v>
      </c>
    </row>
    <row r="59" spans="1:11">
      <c r="A59" s="3">
        <v>32726</v>
      </c>
      <c r="B59" s="6">
        <f t="shared" si="0"/>
        <v>76.2</v>
      </c>
      <c r="C59" s="1">
        <f t="shared" si="1"/>
        <v>42.6</v>
      </c>
      <c r="E59" s="6" t="s">
        <v>160</v>
      </c>
      <c r="F59" s="1" t="s">
        <v>164</v>
      </c>
      <c r="H59" s="1">
        <v>33.6</v>
      </c>
      <c r="I59" s="1">
        <v>13.8</v>
      </c>
      <c r="J59" s="1">
        <v>15.8</v>
      </c>
      <c r="K59" s="1">
        <v>13</v>
      </c>
    </row>
    <row r="60" spans="1:12">
      <c r="A60" s="3">
        <v>35968</v>
      </c>
      <c r="B60" s="6">
        <f t="shared" si="0"/>
        <v>107.3</v>
      </c>
      <c r="C60" s="1">
        <f t="shared" si="1"/>
        <v>73.7</v>
      </c>
      <c r="E60" s="6" t="s">
        <v>165</v>
      </c>
      <c r="F60" s="1" t="s">
        <v>166</v>
      </c>
      <c r="H60" s="1">
        <v>33.6</v>
      </c>
      <c r="I60" s="1">
        <v>13.8</v>
      </c>
      <c r="J60" s="1">
        <v>15.8</v>
      </c>
      <c r="K60" s="1">
        <v>13</v>
      </c>
      <c r="L60" s="1">
        <v>31.1</v>
      </c>
    </row>
    <row r="61" spans="1:13">
      <c r="A61" s="3">
        <v>35982</v>
      </c>
      <c r="B61" s="6">
        <f t="shared" si="0"/>
        <v>141.3</v>
      </c>
      <c r="C61" s="1">
        <f t="shared" si="1"/>
        <v>107.7</v>
      </c>
      <c r="E61" s="6" t="s">
        <v>167</v>
      </c>
      <c r="F61" s="1" t="s">
        <v>168</v>
      </c>
      <c r="H61" s="1">
        <v>33.6</v>
      </c>
      <c r="I61" s="1">
        <v>13.8</v>
      </c>
      <c r="J61" s="1">
        <v>15.8</v>
      </c>
      <c r="K61" s="1">
        <v>13</v>
      </c>
      <c r="L61" s="1">
        <v>31.1</v>
      </c>
      <c r="M61" s="1">
        <v>34</v>
      </c>
    </row>
    <row r="62" spans="1:13">
      <c r="A62" s="3">
        <v>37161</v>
      </c>
      <c r="B62" s="6">
        <f t="shared" si="0"/>
        <v>142.3</v>
      </c>
      <c r="C62" s="1">
        <f t="shared" si="1"/>
        <v>108.7</v>
      </c>
      <c r="E62" s="6" t="s">
        <v>167</v>
      </c>
      <c r="F62" s="1" t="s">
        <v>169</v>
      </c>
      <c r="H62" s="1">
        <v>33.6</v>
      </c>
      <c r="I62" s="1">
        <v>14.8</v>
      </c>
      <c r="J62" s="1">
        <v>15.8</v>
      </c>
      <c r="K62" s="1">
        <v>13</v>
      </c>
      <c r="L62" s="1">
        <v>31.1</v>
      </c>
      <c r="M62" s="1">
        <v>34</v>
      </c>
    </row>
    <row r="63" ht="28" spans="1:14">
      <c r="A63" s="3">
        <v>37472</v>
      </c>
      <c r="B63" s="6">
        <f t="shared" si="0"/>
        <v>144.3</v>
      </c>
      <c r="C63" s="1">
        <f t="shared" si="1"/>
        <v>110.7</v>
      </c>
      <c r="E63" s="6" t="s">
        <v>170</v>
      </c>
      <c r="F63" s="1" t="s">
        <v>171</v>
      </c>
      <c r="H63" s="1">
        <v>33.6</v>
      </c>
      <c r="I63" s="1">
        <v>12.5</v>
      </c>
      <c r="J63" s="1">
        <v>15.8</v>
      </c>
      <c r="K63" s="1">
        <v>13</v>
      </c>
      <c r="L63" s="1">
        <v>31.1</v>
      </c>
      <c r="M63" s="1">
        <v>34</v>
      </c>
      <c r="N63" s="1">
        <v>4.3</v>
      </c>
    </row>
    <row r="64" ht="28" spans="1:14">
      <c r="A64" s="3">
        <v>37486</v>
      </c>
      <c r="B64" s="6">
        <f t="shared" si="0"/>
        <v>151.6</v>
      </c>
      <c r="C64" s="1">
        <f t="shared" si="1"/>
        <v>118</v>
      </c>
      <c r="E64" s="6" t="s">
        <v>170</v>
      </c>
      <c r="F64" s="1" t="s">
        <v>172</v>
      </c>
      <c r="H64" s="1">
        <v>33.6</v>
      </c>
      <c r="I64" s="1">
        <v>14.6</v>
      </c>
      <c r="J64" s="1">
        <v>15.8</v>
      </c>
      <c r="K64" s="1">
        <v>13</v>
      </c>
      <c r="L64" s="1">
        <v>31.1</v>
      </c>
      <c r="M64" s="1">
        <v>34</v>
      </c>
      <c r="N64" s="1">
        <v>9.5</v>
      </c>
    </row>
    <row r="65" spans="1:15">
      <c r="A65" s="3">
        <v>37985</v>
      </c>
      <c r="B65" s="6">
        <f t="shared" ref="B65:B70" si="2">SUM(H65:Q65)</f>
        <v>181.2</v>
      </c>
      <c r="C65" s="1">
        <f t="shared" ref="C65:C70" si="3">SUM(I65:Q65)-O65</f>
        <v>118</v>
      </c>
      <c r="E65" s="6" t="s">
        <v>173</v>
      </c>
      <c r="F65" s="1" t="s">
        <v>174</v>
      </c>
      <c r="G65" s="1" t="s">
        <v>175</v>
      </c>
      <c r="H65" s="1">
        <v>33.6</v>
      </c>
      <c r="I65" s="1">
        <v>14.6</v>
      </c>
      <c r="J65" s="1">
        <v>15.8</v>
      </c>
      <c r="K65" s="1">
        <v>13</v>
      </c>
      <c r="L65" s="1">
        <v>31.1</v>
      </c>
      <c r="M65" s="1">
        <v>34</v>
      </c>
      <c r="N65" s="1">
        <v>9.5</v>
      </c>
      <c r="O65" s="1">
        <v>29.6</v>
      </c>
    </row>
    <row r="66" spans="1:15">
      <c r="A66" s="3">
        <v>38284</v>
      </c>
      <c r="B66" s="6">
        <f t="shared" si="2"/>
        <v>181.2</v>
      </c>
      <c r="C66" s="1">
        <f t="shared" si="3"/>
        <v>118</v>
      </c>
      <c r="E66" s="6" t="s">
        <v>173</v>
      </c>
      <c r="H66" s="1">
        <v>33.6</v>
      </c>
      <c r="I66" s="1">
        <v>14.6</v>
      </c>
      <c r="J66" s="1">
        <v>15.8</v>
      </c>
      <c r="K66" s="1">
        <v>13</v>
      </c>
      <c r="L66" s="1">
        <v>31.1</v>
      </c>
      <c r="M66" s="1">
        <v>34</v>
      </c>
      <c r="N66" s="1">
        <v>9.5</v>
      </c>
      <c r="O66" s="1">
        <v>29.6</v>
      </c>
    </row>
    <row r="67" spans="1:15">
      <c r="A67" s="3">
        <v>38342</v>
      </c>
      <c r="B67" s="6">
        <f t="shared" si="2"/>
        <v>191.3</v>
      </c>
      <c r="C67" s="1">
        <f t="shared" si="3"/>
        <v>118</v>
      </c>
      <c r="E67" s="6" t="s">
        <v>176</v>
      </c>
      <c r="F67" s="1" t="s">
        <v>177</v>
      </c>
      <c r="H67" s="1">
        <v>33.6</v>
      </c>
      <c r="I67" s="1">
        <v>14.6</v>
      </c>
      <c r="J67" s="1">
        <v>15.8</v>
      </c>
      <c r="K67" s="1">
        <v>13</v>
      </c>
      <c r="L67" s="1">
        <v>31.1</v>
      </c>
      <c r="M67" s="1">
        <v>34</v>
      </c>
      <c r="N67" s="1">
        <v>9.5</v>
      </c>
      <c r="O67" s="1">
        <v>39.7</v>
      </c>
    </row>
    <row r="68" spans="1:16">
      <c r="A68" s="3">
        <v>38565</v>
      </c>
      <c r="B68" s="6">
        <f t="shared" si="2"/>
        <v>194.6</v>
      </c>
      <c r="C68" s="1">
        <f t="shared" si="3"/>
        <v>121.3</v>
      </c>
      <c r="E68" s="6" t="s">
        <v>178</v>
      </c>
      <c r="F68" s="1" t="s">
        <v>144</v>
      </c>
      <c r="H68" s="1">
        <v>33.6</v>
      </c>
      <c r="I68" s="1">
        <v>14.6</v>
      </c>
      <c r="J68" s="1">
        <v>15.8</v>
      </c>
      <c r="K68" s="1">
        <v>13</v>
      </c>
      <c r="L68" s="1">
        <v>31.1</v>
      </c>
      <c r="M68" s="1">
        <v>34</v>
      </c>
      <c r="N68" s="1">
        <v>9.5</v>
      </c>
      <c r="O68" s="1">
        <v>39.7</v>
      </c>
      <c r="P68" s="1">
        <v>3.3</v>
      </c>
    </row>
    <row r="69" spans="1:16">
      <c r="A69" s="3">
        <v>38696</v>
      </c>
      <c r="B69" s="6">
        <f t="shared" si="2"/>
        <v>195.8</v>
      </c>
      <c r="C69" s="1">
        <f t="shared" si="3"/>
        <v>122.5</v>
      </c>
      <c r="E69" s="6" t="s">
        <v>178</v>
      </c>
      <c r="F69" s="1" t="s">
        <v>179</v>
      </c>
      <c r="H69" s="1">
        <v>33.6</v>
      </c>
      <c r="I69" s="1">
        <v>14.6</v>
      </c>
      <c r="J69" s="1">
        <v>15.8</v>
      </c>
      <c r="K69" s="1">
        <v>13</v>
      </c>
      <c r="L69" s="1">
        <v>31.1</v>
      </c>
      <c r="M69" s="1">
        <v>35.2</v>
      </c>
      <c r="N69" s="1">
        <v>9.5</v>
      </c>
      <c r="O69" s="1">
        <v>39.7</v>
      </c>
      <c r="P69" s="1">
        <v>3.3</v>
      </c>
    </row>
    <row r="70" spans="1:16">
      <c r="A70" s="3">
        <v>39309</v>
      </c>
      <c r="B70" s="6">
        <f t="shared" si="2"/>
        <v>203.2</v>
      </c>
      <c r="C70" s="1">
        <f t="shared" si="3"/>
        <v>122.5</v>
      </c>
      <c r="E70" s="6" t="s">
        <v>178</v>
      </c>
      <c r="F70" s="1" t="s">
        <v>180</v>
      </c>
      <c r="H70" s="1">
        <v>41</v>
      </c>
      <c r="I70" s="1">
        <v>14.6</v>
      </c>
      <c r="J70" s="1">
        <v>15.8</v>
      </c>
      <c r="K70" s="1">
        <v>13</v>
      </c>
      <c r="L70" s="1">
        <v>31.1</v>
      </c>
      <c r="M70" s="1">
        <v>35.2</v>
      </c>
      <c r="N70" s="1">
        <v>9.5</v>
      </c>
      <c r="O70" s="1">
        <v>39.7</v>
      </c>
      <c r="P70" s="1">
        <v>3.3</v>
      </c>
    </row>
    <row r="71" spans="1:16">
      <c r="A71" s="3">
        <v>39418</v>
      </c>
      <c r="B71" s="6" t="s">
        <v>10</v>
      </c>
      <c r="C71" s="1">
        <f>SUM(H71:Q71)</f>
        <v>203.2</v>
      </c>
      <c r="E71" s="6" t="s">
        <v>181</v>
      </c>
      <c r="F71" s="1" t="s">
        <v>182</v>
      </c>
      <c r="H71" s="1">
        <v>41</v>
      </c>
      <c r="I71" s="1">
        <v>14.6</v>
      </c>
      <c r="J71" s="1">
        <v>15.8</v>
      </c>
      <c r="K71" s="1">
        <v>13</v>
      </c>
      <c r="L71" s="1">
        <v>31.1</v>
      </c>
      <c r="M71" s="1">
        <v>35.2</v>
      </c>
      <c r="N71" s="1">
        <v>9.5</v>
      </c>
      <c r="O71" s="1">
        <v>39.7</v>
      </c>
      <c r="P71" s="1">
        <v>3.3</v>
      </c>
    </row>
    <row r="72" spans="1:16">
      <c r="A72" s="3">
        <v>40020</v>
      </c>
      <c r="B72" s="6" t="s">
        <v>10</v>
      </c>
      <c r="C72" s="1">
        <f>SUM(H72:Q72)</f>
        <v>206.2</v>
      </c>
      <c r="E72" s="6" t="s">
        <v>181</v>
      </c>
      <c r="F72" s="1" t="s">
        <v>183</v>
      </c>
      <c r="H72" s="1">
        <v>41</v>
      </c>
      <c r="I72" s="1">
        <v>14.6</v>
      </c>
      <c r="J72" s="1">
        <v>15.8</v>
      </c>
      <c r="K72" s="1">
        <v>13</v>
      </c>
      <c r="L72" s="1">
        <v>31.1</v>
      </c>
      <c r="M72" s="1">
        <v>35.2</v>
      </c>
      <c r="N72" s="1">
        <v>12.5</v>
      </c>
      <c r="O72" s="1">
        <v>39.7</v>
      </c>
      <c r="P72" s="1">
        <v>3.3</v>
      </c>
    </row>
    <row r="73" spans="1:16">
      <c r="A73" s="3">
        <v>40041</v>
      </c>
      <c r="B73" s="6" t="s">
        <v>10</v>
      </c>
      <c r="C73" s="1">
        <f>SUM(H73:Q73)</f>
        <v>211.8</v>
      </c>
      <c r="E73" s="6" t="s">
        <v>181</v>
      </c>
      <c r="F73" s="1" t="s">
        <v>184</v>
      </c>
      <c r="H73" s="1">
        <v>41</v>
      </c>
      <c r="I73" s="1">
        <v>14.6</v>
      </c>
      <c r="J73" s="1">
        <v>15.8</v>
      </c>
      <c r="K73" s="1">
        <v>13</v>
      </c>
      <c r="L73" s="1">
        <v>31.1</v>
      </c>
      <c r="M73" s="1">
        <v>35.2</v>
      </c>
      <c r="N73" s="1">
        <v>12.5</v>
      </c>
      <c r="O73" s="1">
        <v>45.3</v>
      </c>
      <c r="P73" s="1">
        <v>3.3</v>
      </c>
    </row>
    <row r="74" spans="1:16">
      <c r="A74" s="3">
        <v>42001</v>
      </c>
      <c r="B74" s="6" t="s">
        <v>10</v>
      </c>
      <c r="C74" s="1">
        <f t="shared" ref="C74:C80" si="4">SUM(H74:Q74)</f>
        <v>215.1</v>
      </c>
      <c r="E74" s="6" t="s">
        <v>181</v>
      </c>
      <c r="F74" s="1" t="s">
        <v>185</v>
      </c>
      <c r="H74" s="1">
        <v>41</v>
      </c>
      <c r="I74" s="1">
        <v>14.6</v>
      </c>
      <c r="J74" s="1">
        <v>15.8</v>
      </c>
      <c r="K74" s="1">
        <v>16.3</v>
      </c>
      <c r="L74" s="1">
        <v>31.1</v>
      </c>
      <c r="M74" s="1">
        <v>35.2</v>
      </c>
      <c r="N74" s="1">
        <v>12.5</v>
      </c>
      <c r="O74" s="1">
        <v>45.3</v>
      </c>
      <c r="P74" s="1">
        <v>3.3</v>
      </c>
    </row>
    <row r="75" spans="1:16">
      <c r="A75" s="3">
        <v>42666</v>
      </c>
      <c r="B75" s="6" t="s">
        <v>10</v>
      </c>
      <c r="C75" s="1">
        <f t="shared" si="4"/>
        <v>217.7</v>
      </c>
      <c r="E75" s="6" t="s">
        <v>181</v>
      </c>
      <c r="F75" s="1" t="s">
        <v>186</v>
      </c>
      <c r="H75" s="1">
        <v>41</v>
      </c>
      <c r="I75" s="1">
        <v>17.2</v>
      </c>
      <c r="J75" s="1">
        <v>15.8</v>
      </c>
      <c r="K75" s="1">
        <v>16.3</v>
      </c>
      <c r="L75" s="1">
        <v>31.1</v>
      </c>
      <c r="M75" s="1">
        <v>35.2</v>
      </c>
      <c r="N75" s="1">
        <v>12.5</v>
      </c>
      <c r="O75" s="1">
        <v>45.3</v>
      </c>
      <c r="P75" s="1">
        <v>3.3</v>
      </c>
    </row>
    <row r="76" spans="1:17">
      <c r="A76" s="3">
        <v>42732</v>
      </c>
      <c r="B76" s="6" t="s">
        <v>10</v>
      </c>
      <c r="C76" s="1">
        <f t="shared" si="4"/>
        <v>224.7</v>
      </c>
      <c r="D76" s="1">
        <v>113</v>
      </c>
      <c r="E76" s="6" t="s">
        <v>187</v>
      </c>
      <c r="F76" s="1" t="s">
        <v>188</v>
      </c>
      <c r="G76" s="1" t="s">
        <v>189</v>
      </c>
      <c r="H76" s="1">
        <v>41</v>
      </c>
      <c r="I76" s="1">
        <v>17.2</v>
      </c>
      <c r="J76" s="1">
        <v>15.8</v>
      </c>
      <c r="K76" s="1">
        <v>16.3</v>
      </c>
      <c r="L76" s="1">
        <v>31.1</v>
      </c>
      <c r="M76" s="1">
        <v>35.2</v>
      </c>
      <c r="N76" s="1">
        <v>12.5</v>
      </c>
      <c r="O76" s="1">
        <v>45.3</v>
      </c>
      <c r="P76" s="1">
        <v>3.3</v>
      </c>
      <c r="Q76" s="1">
        <v>7</v>
      </c>
    </row>
    <row r="77" spans="1:17">
      <c r="A77" s="3">
        <v>43875</v>
      </c>
      <c r="B77" s="6" t="s">
        <v>10</v>
      </c>
      <c r="C77" s="1">
        <f t="shared" si="4"/>
        <v>231.7</v>
      </c>
      <c r="D77" s="1">
        <v>116</v>
      </c>
      <c r="E77" s="6" t="s">
        <v>187</v>
      </c>
      <c r="F77" s="1" t="s">
        <v>190</v>
      </c>
      <c r="H77" s="1">
        <v>41</v>
      </c>
      <c r="I77" s="1">
        <v>17.2</v>
      </c>
      <c r="J77" s="1">
        <v>15.8</v>
      </c>
      <c r="K77" s="1">
        <v>16.3</v>
      </c>
      <c r="L77" s="1">
        <v>31.1</v>
      </c>
      <c r="M77" s="1">
        <v>35.2</v>
      </c>
      <c r="N77" s="1">
        <v>12.5</v>
      </c>
      <c r="O77" s="1">
        <v>52.3</v>
      </c>
      <c r="P77" s="1">
        <v>3.3</v>
      </c>
      <c r="Q77" s="1">
        <v>7</v>
      </c>
    </row>
    <row r="78" spans="1:17">
      <c r="A78" s="3">
        <v>44374</v>
      </c>
      <c r="B78" s="6" t="s">
        <v>10</v>
      </c>
      <c r="C78" s="1">
        <f t="shared" si="4"/>
        <v>235.6</v>
      </c>
      <c r="D78" s="1">
        <v>119</v>
      </c>
      <c r="E78" s="6" t="s">
        <v>181</v>
      </c>
      <c r="F78" s="1" t="s">
        <v>191</v>
      </c>
      <c r="G78" s="1" t="s">
        <v>192</v>
      </c>
      <c r="H78" s="1">
        <v>41</v>
      </c>
      <c r="I78" s="1">
        <v>17.2</v>
      </c>
      <c r="J78" s="1">
        <v>15.8</v>
      </c>
      <c r="K78" s="1">
        <v>16.3</v>
      </c>
      <c r="L78" s="1">
        <v>31.1</v>
      </c>
      <c r="M78" s="1">
        <v>35.2</v>
      </c>
      <c r="N78" s="1">
        <v>12.5</v>
      </c>
      <c r="O78" s="1">
        <v>56.2</v>
      </c>
      <c r="P78" s="1">
        <v>3.3</v>
      </c>
      <c r="Q78" s="1">
        <v>7</v>
      </c>
    </row>
    <row r="79" spans="1:17">
      <c r="A79" s="3">
        <v>44687</v>
      </c>
      <c r="B79" s="6" t="s">
        <v>10</v>
      </c>
      <c r="C79" s="1">
        <f t="shared" si="4"/>
        <v>235.6</v>
      </c>
      <c r="D79" s="1">
        <v>119</v>
      </c>
      <c r="E79" s="6" t="s">
        <v>181</v>
      </c>
      <c r="F79" s="1" t="s">
        <v>10</v>
      </c>
      <c r="G79" s="1" t="s">
        <v>193</v>
      </c>
      <c r="H79" s="1">
        <v>41</v>
      </c>
      <c r="I79" s="1">
        <v>17.2</v>
      </c>
      <c r="J79" s="1">
        <v>15.8</v>
      </c>
      <c r="K79" s="1">
        <v>16.3</v>
      </c>
      <c r="L79" s="1">
        <v>31.1</v>
      </c>
      <c r="M79" s="1">
        <v>35.2</v>
      </c>
      <c r="N79" s="1">
        <v>12.5</v>
      </c>
      <c r="O79" s="1">
        <v>56.2</v>
      </c>
      <c r="P79" s="1">
        <v>3.3</v>
      </c>
      <c r="Q79" s="1">
        <v>7</v>
      </c>
    </row>
    <row r="80" spans="1:17">
      <c r="A80" s="3">
        <v>44696</v>
      </c>
      <c r="B80" s="6" t="s">
        <v>10</v>
      </c>
      <c r="C80" s="1">
        <f t="shared" si="4"/>
        <v>240.4</v>
      </c>
      <c r="E80" s="6" t="s">
        <v>181</v>
      </c>
      <c r="F80" s="1" t="s">
        <v>194</v>
      </c>
      <c r="H80" s="1">
        <v>45.8</v>
      </c>
      <c r="I80" s="1">
        <v>17.2</v>
      </c>
      <c r="J80" s="1">
        <v>15.8</v>
      </c>
      <c r="K80" s="1">
        <v>16.3</v>
      </c>
      <c r="L80" s="1">
        <v>31.1</v>
      </c>
      <c r="M80" s="1">
        <v>35.2</v>
      </c>
      <c r="N80" s="1">
        <v>12.5</v>
      </c>
      <c r="O80" s="1">
        <v>56.2</v>
      </c>
      <c r="P80" s="1">
        <v>3.3</v>
      </c>
      <c r="Q80" s="1">
        <v>7</v>
      </c>
    </row>
  </sheetData>
  <pageMargins left="0.7" right="0.7" top="0.75" bottom="0.75" header="0.3" footer="0.3"/>
  <pageSetup paperSize="9" orientation="portrait"/>
  <headerFooter/>
  <ignoredErrors>
    <ignoredError sqref="C49:C70" formulaRange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B8" sqref="B8"/>
    </sheetView>
  </sheetViews>
  <sheetFormatPr defaultColWidth="8.50833333333333" defaultRowHeight="14" outlineLevelCol="5"/>
  <cols>
    <col min="1" max="1" width="15.375" style="1" customWidth="1"/>
    <col min="2" max="2" width="10.125" style="6" customWidth="1"/>
    <col min="3" max="5" width="10.125" style="1" customWidth="1"/>
    <col min="6" max="6" width="24.25" style="1" customWidth="1"/>
    <col min="7" max="8" width="15.75" style="2" customWidth="1"/>
    <col min="9" max="9" width="40.375" style="1" customWidth="1"/>
    <col min="10" max="16384" width="8.50833333333333" style="1"/>
  </cols>
  <sheetData>
    <row r="1" ht="28" spans="1:6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ht="28" spans="1:6">
      <c r="A2" s="3">
        <v>41543</v>
      </c>
      <c r="B2" s="6">
        <v>17.5</v>
      </c>
      <c r="C2" s="1">
        <v>17.47</v>
      </c>
      <c r="D2" s="1">
        <v>17</v>
      </c>
      <c r="E2" s="1" t="s">
        <v>64</v>
      </c>
      <c r="F2" s="1" t="s">
        <v>677</v>
      </c>
    </row>
    <row r="3" spans="1:6">
      <c r="A3" s="3">
        <v>41908</v>
      </c>
      <c r="B3" s="6">
        <f>B2</f>
        <v>17.5</v>
      </c>
      <c r="C3" s="1">
        <v>17.47</v>
      </c>
      <c r="D3" s="1">
        <v>18</v>
      </c>
      <c r="E3" s="1" t="s">
        <v>64</v>
      </c>
      <c r="F3" s="1" t="s">
        <v>678</v>
      </c>
    </row>
    <row r="4" spans="1:6">
      <c r="A4" s="3">
        <v>42761</v>
      </c>
      <c r="B4" s="6">
        <f>B2+4.5</f>
        <v>22</v>
      </c>
      <c r="C4" s="1">
        <v>23.18</v>
      </c>
      <c r="D4" s="1">
        <v>21</v>
      </c>
      <c r="E4" s="1" t="s">
        <v>71</v>
      </c>
      <c r="F4" s="1">
        <v>3</v>
      </c>
    </row>
    <row r="5" spans="1:6">
      <c r="A5" s="3">
        <v>42902</v>
      </c>
      <c r="B5" s="6">
        <f>B4</f>
        <v>22</v>
      </c>
      <c r="C5" s="1">
        <v>23.18</v>
      </c>
      <c r="D5" s="1">
        <v>22</v>
      </c>
      <c r="E5" s="1" t="s">
        <v>71</v>
      </c>
      <c r="F5" s="1" t="s">
        <v>679</v>
      </c>
    </row>
    <row r="6" spans="1:6">
      <c r="A6" s="3">
        <v>43565</v>
      </c>
      <c r="B6" s="6">
        <f>B4+8.8</f>
        <v>30.8</v>
      </c>
      <c r="C6" s="1">
        <v>31.72</v>
      </c>
      <c r="D6" s="1">
        <v>27</v>
      </c>
      <c r="E6" s="1" t="s">
        <v>71</v>
      </c>
      <c r="F6" s="1" t="s">
        <v>680</v>
      </c>
    </row>
    <row r="7" spans="1:6">
      <c r="A7" s="3">
        <v>44458</v>
      </c>
      <c r="B7" s="6">
        <f>B6+28.7</f>
        <v>59.5</v>
      </c>
      <c r="C7" s="1">
        <v>60.42</v>
      </c>
      <c r="D7" s="1">
        <v>46</v>
      </c>
      <c r="E7" s="1" t="s">
        <v>79</v>
      </c>
      <c r="F7" s="1">
        <v>2</v>
      </c>
    </row>
    <row r="8" spans="1:6">
      <c r="A8" s="3">
        <v>44526</v>
      </c>
      <c r="B8" s="6">
        <f>B7+5.4+14.4</f>
        <v>79.3</v>
      </c>
      <c r="C8" s="1">
        <v>79.61</v>
      </c>
      <c r="D8" s="1">
        <v>66</v>
      </c>
      <c r="E8" s="1" t="s">
        <v>79</v>
      </c>
      <c r="F8" s="1" t="s">
        <v>681</v>
      </c>
    </row>
    <row r="9" spans="1:6">
      <c r="A9" s="3">
        <v>45198</v>
      </c>
      <c r="B9" s="6">
        <f>B8+3.3</f>
        <v>82.6</v>
      </c>
      <c r="C9" s="1">
        <v>82.91</v>
      </c>
      <c r="D9" s="1">
        <v>69</v>
      </c>
      <c r="E9" s="1" t="s">
        <v>79</v>
      </c>
      <c r="F9" s="1" t="s">
        <v>682</v>
      </c>
    </row>
    <row r="10" spans="1:6">
      <c r="A10" s="3">
        <v>45286</v>
      </c>
      <c r="B10" s="6">
        <f>B9+0.8</f>
        <v>83.4</v>
      </c>
      <c r="C10" s="1">
        <v>83.66</v>
      </c>
      <c r="D10" s="1">
        <v>70</v>
      </c>
      <c r="E10" s="1" t="s">
        <v>79</v>
      </c>
      <c r="F10" s="1" t="s">
        <v>683</v>
      </c>
    </row>
    <row r="11" spans="1:6">
      <c r="A11" s="3">
        <v>45622</v>
      </c>
      <c r="B11" s="6">
        <f>B10+9.2</f>
        <v>92.6</v>
      </c>
      <c r="E11" s="1" t="s">
        <v>79</v>
      </c>
      <c r="F11" s="1" t="s">
        <v>684</v>
      </c>
    </row>
  </sheetData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selection activeCell="F26" sqref="F26"/>
    </sheetView>
  </sheetViews>
  <sheetFormatPr defaultColWidth="8.50833333333333" defaultRowHeight="14" outlineLevelCol="6"/>
  <cols>
    <col min="1" max="1" width="15.375" style="14" customWidth="1"/>
    <col min="2" max="2" width="10.125" style="6" customWidth="1"/>
    <col min="3" max="5" width="10.125" style="1" customWidth="1"/>
    <col min="6" max="6" width="24.25" style="1" customWidth="1"/>
    <col min="7" max="7" width="40.375" style="7" customWidth="1"/>
    <col min="8" max="16384" width="8.50833333333333" style="1"/>
  </cols>
  <sheetData>
    <row r="1" ht="28" spans="1:6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>
      <c r="A2" s="14">
        <v>41636</v>
      </c>
      <c r="B2" s="6">
        <v>26.2</v>
      </c>
      <c r="C2" s="1">
        <v>26.2</v>
      </c>
      <c r="D2" s="1">
        <v>20</v>
      </c>
      <c r="E2" s="1" t="s">
        <v>64</v>
      </c>
      <c r="F2" s="1" t="s">
        <v>685</v>
      </c>
    </row>
    <row r="3" spans="1:7">
      <c r="A3" s="14">
        <v>42601</v>
      </c>
      <c r="B3" s="6">
        <f>B2+20.7</f>
        <v>46.9</v>
      </c>
      <c r="C3" s="1">
        <v>47</v>
      </c>
      <c r="D3" s="1">
        <v>36</v>
      </c>
      <c r="E3" s="1" t="s">
        <v>71</v>
      </c>
      <c r="F3" s="1" t="s">
        <v>686</v>
      </c>
      <c r="G3" s="1" t="s">
        <v>687</v>
      </c>
    </row>
    <row r="4" ht="28" spans="1:7">
      <c r="A4" s="14">
        <v>42747</v>
      </c>
      <c r="B4" s="6">
        <f>B3+46.7</f>
        <v>93.6</v>
      </c>
      <c r="C4" s="1">
        <v>95.4</v>
      </c>
      <c r="D4" s="1">
        <v>60</v>
      </c>
      <c r="E4" s="1" t="s">
        <v>79</v>
      </c>
      <c r="F4" s="1" t="s">
        <v>688</v>
      </c>
      <c r="G4" s="18" t="s">
        <v>689</v>
      </c>
    </row>
    <row r="5" spans="1:6">
      <c r="A5" s="14">
        <v>43605</v>
      </c>
      <c r="B5" s="6">
        <f>B4+40.4</f>
        <v>134</v>
      </c>
      <c r="C5" s="1">
        <v>135.83</v>
      </c>
      <c r="D5" s="1">
        <v>91</v>
      </c>
      <c r="E5" s="1" t="s">
        <v>86</v>
      </c>
      <c r="F5" s="1">
        <v>5</v>
      </c>
    </row>
    <row r="6" spans="1:6">
      <c r="A6" s="14">
        <v>43727</v>
      </c>
      <c r="B6" s="6">
        <f>B5+7.5</f>
        <v>141.5</v>
      </c>
      <c r="C6" s="1">
        <v>143.28</v>
      </c>
      <c r="D6" s="1">
        <v>96</v>
      </c>
      <c r="E6" s="1" t="s">
        <v>88</v>
      </c>
      <c r="F6" s="1">
        <v>14</v>
      </c>
    </row>
    <row r="7" spans="1:6">
      <c r="A7" s="14">
        <v>43827</v>
      </c>
      <c r="B7" s="6">
        <f>B6+10.3</f>
        <v>151.8</v>
      </c>
      <c r="C7" s="1">
        <v>153.53</v>
      </c>
      <c r="D7" s="1">
        <v>102</v>
      </c>
      <c r="E7" s="1" t="s">
        <v>88</v>
      </c>
      <c r="F7" s="1" t="s">
        <v>690</v>
      </c>
    </row>
    <row r="8" spans="1:6">
      <c r="A8" s="14">
        <v>44191</v>
      </c>
      <c r="B8" s="6">
        <f>B7+49.9</f>
        <v>201.7</v>
      </c>
      <c r="C8" s="1">
        <v>204.28</v>
      </c>
      <c r="D8" s="1">
        <v>146</v>
      </c>
      <c r="E8" s="1" t="s">
        <v>484</v>
      </c>
      <c r="F8" s="1" t="s">
        <v>691</v>
      </c>
    </row>
    <row r="9" spans="1:6">
      <c r="A9" s="14">
        <v>44331</v>
      </c>
      <c r="B9" s="6">
        <f>B8</f>
        <v>201.7</v>
      </c>
      <c r="C9" s="1">
        <v>204.28</v>
      </c>
      <c r="D9" s="1">
        <v>147</v>
      </c>
      <c r="E9" s="1" t="s">
        <v>484</v>
      </c>
      <c r="F9" s="1" t="s">
        <v>692</v>
      </c>
    </row>
    <row r="10" spans="1:6">
      <c r="A10" s="14">
        <v>44373</v>
      </c>
      <c r="B10" s="6">
        <f>B9+4.9</f>
        <v>206.6</v>
      </c>
      <c r="C10" s="1">
        <v>209.13</v>
      </c>
      <c r="D10" s="1">
        <v>149</v>
      </c>
      <c r="E10" s="1" t="s">
        <v>484</v>
      </c>
      <c r="F10" s="1" t="s">
        <v>693</v>
      </c>
    </row>
    <row r="11" spans="1:6">
      <c r="A11" s="14">
        <v>44621</v>
      </c>
      <c r="B11" s="6">
        <f>B10</f>
        <v>206.6</v>
      </c>
      <c r="C11" s="1">
        <v>209.13</v>
      </c>
      <c r="D11" s="1">
        <v>151</v>
      </c>
      <c r="E11" s="1" t="s">
        <v>484</v>
      </c>
      <c r="F11" s="1" t="s">
        <v>694</v>
      </c>
    </row>
    <row r="12" spans="1:6">
      <c r="A12" s="14">
        <v>44732</v>
      </c>
      <c r="B12" s="6">
        <f>B11+9</f>
        <v>215.6</v>
      </c>
      <c r="C12" s="1">
        <v>218.11</v>
      </c>
      <c r="E12" s="1" t="s">
        <v>484</v>
      </c>
      <c r="F12" s="1" t="s">
        <v>695</v>
      </c>
    </row>
    <row r="13" spans="1:6">
      <c r="A13" s="14">
        <v>44834</v>
      </c>
      <c r="B13" s="6">
        <f>B12+17</f>
        <v>232.6</v>
      </c>
      <c r="C13" s="1">
        <v>235.11</v>
      </c>
      <c r="E13" s="1" t="s">
        <v>90</v>
      </c>
      <c r="F13" s="1" t="s">
        <v>696</v>
      </c>
    </row>
    <row r="14" spans="1:5">
      <c r="A14" s="14">
        <v>44898</v>
      </c>
      <c r="B14" s="6">
        <f>B13</f>
        <v>232.6</v>
      </c>
      <c r="C14" s="1">
        <v>235.11</v>
      </c>
      <c r="E14" s="1" t="s">
        <v>90</v>
      </c>
    </row>
    <row r="15" spans="1:6">
      <c r="A15" s="14">
        <v>45177</v>
      </c>
      <c r="B15" s="6">
        <f>B14+6.3</f>
        <v>238.9</v>
      </c>
      <c r="C15" s="1">
        <v>241.43</v>
      </c>
      <c r="E15" s="1" t="s">
        <v>90</v>
      </c>
      <c r="F15" s="1" t="s">
        <v>697</v>
      </c>
    </row>
    <row r="16" spans="1:6">
      <c r="A16" s="14">
        <v>45197</v>
      </c>
      <c r="B16" s="6">
        <f>B15+21.8</f>
        <v>260.7</v>
      </c>
      <c r="C16" s="1">
        <v>261.17</v>
      </c>
      <c r="E16" s="1" t="s">
        <v>239</v>
      </c>
      <c r="F16" s="1" t="s">
        <v>698</v>
      </c>
    </row>
    <row r="17" spans="1:6">
      <c r="A17" s="14">
        <v>45280</v>
      </c>
      <c r="B17" s="6">
        <f>B16+16.5</f>
        <v>277.2</v>
      </c>
      <c r="C17" s="1">
        <v>277.71</v>
      </c>
      <c r="E17" s="1" t="s">
        <v>181</v>
      </c>
      <c r="F17" s="1">
        <v>12</v>
      </c>
    </row>
    <row r="18" spans="1:6">
      <c r="A18" s="14">
        <v>45288</v>
      </c>
      <c r="B18" s="6">
        <f>B17+67.1</f>
        <v>344.3</v>
      </c>
      <c r="C18" s="1">
        <v>344.83</v>
      </c>
      <c r="E18" s="1" t="s">
        <v>187</v>
      </c>
      <c r="F18" s="1" t="s">
        <v>699</v>
      </c>
    </row>
    <row r="19" spans="1:6">
      <c r="A19" s="14">
        <v>45626</v>
      </c>
      <c r="B19" s="6">
        <f>B18+26.4</f>
        <v>370.7</v>
      </c>
      <c r="E19" s="1" t="s">
        <v>187</v>
      </c>
      <c r="F19" s="1" t="s">
        <v>700</v>
      </c>
    </row>
    <row r="20" spans="1:6">
      <c r="A20" s="14">
        <v>45655</v>
      </c>
      <c r="B20" s="6">
        <f>B19+26.8+51.8</f>
        <v>449.3</v>
      </c>
      <c r="E20" s="1" t="s">
        <v>527</v>
      </c>
      <c r="F20" s="1" t="s">
        <v>701</v>
      </c>
    </row>
  </sheetData>
  <pageMargins left="0.7" right="0.7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B5" sqref="B5"/>
    </sheetView>
  </sheetViews>
  <sheetFormatPr defaultColWidth="8.50833333333333" defaultRowHeight="14" outlineLevelCol="5"/>
  <cols>
    <col min="1" max="1" width="15.375" style="14" customWidth="1"/>
    <col min="2" max="2" width="10.125" style="6" customWidth="1"/>
    <col min="3" max="5" width="10.125" style="1" customWidth="1"/>
    <col min="6" max="6" width="24.25" style="1" customWidth="1"/>
    <col min="7" max="8" width="15.75" style="7" customWidth="1"/>
    <col min="9" max="9" width="40.375" style="1" customWidth="1"/>
    <col min="10" max="16384" width="8.50833333333333" style="1"/>
  </cols>
  <sheetData>
    <row r="1" ht="28" spans="1:6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>
      <c r="A2" s="14">
        <v>41758</v>
      </c>
      <c r="B2" s="6">
        <v>21.9</v>
      </c>
      <c r="E2" s="1" t="s">
        <v>64</v>
      </c>
      <c r="F2" s="1">
        <v>2</v>
      </c>
    </row>
    <row r="3" spans="1:6">
      <c r="A3" s="14">
        <v>42366</v>
      </c>
      <c r="B3" s="6">
        <f>B2+4.5</f>
        <v>26.4</v>
      </c>
      <c r="E3" s="1" t="s">
        <v>64</v>
      </c>
      <c r="F3" s="1">
        <v>2</v>
      </c>
    </row>
    <row r="4" spans="1:6">
      <c r="A4" s="14">
        <v>42496</v>
      </c>
      <c r="B4" s="6" t="s">
        <v>702</v>
      </c>
      <c r="E4" s="1" t="s">
        <v>149</v>
      </c>
      <c r="F4" s="1" t="s">
        <v>253</v>
      </c>
    </row>
    <row r="5" spans="1:6">
      <c r="A5" s="14">
        <v>42549</v>
      </c>
      <c r="B5" s="6">
        <f>B3+23.6</f>
        <v>50</v>
      </c>
      <c r="E5" s="1" t="s">
        <v>156</v>
      </c>
      <c r="F5" s="1">
        <v>1</v>
      </c>
    </row>
    <row r="6" spans="1:6">
      <c r="A6" s="14">
        <v>43611</v>
      </c>
      <c r="B6" s="6">
        <f>B5+33.5</f>
        <v>83.5</v>
      </c>
      <c r="E6" s="1" t="s">
        <v>160</v>
      </c>
      <c r="F6" s="1">
        <v>4</v>
      </c>
    </row>
    <row r="7" spans="1:6">
      <c r="A7" s="14">
        <v>44010</v>
      </c>
      <c r="B7" s="6">
        <f>B6+59</f>
        <v>142.5</v>
      </c>
      <c r="C7" s="1">
        <v>142.5</v>
      </c>
      <c r="D7" s="1">
        <v>111</v>
      </c>
      <c r="E7" s="1" t="s">
        <v>167</v>
      </c>
      <c r="F7" s="1" t="s">
        <v>703</v>
      </c>
    </row>
    <row r="8" spans="1:6">
      <c r="A8" s="14">
        <v>44740</v>
      </c>
      <c r="B8" s="6">
        <f>B7+48.1</f>
        <v>190.6</v>
      </c>
      <c r="C8" s="1">
        <v>191.11</v>
      </c>
      <c r="D8" s="1">
        <v>145</v>
      </c>
      <c r="E8" s="1" t="s">
        <v>170</v>
      </c>
      <c r="F8" s="1">
        <v>6</v>
      </c>
    </row>
    <row r="9" spans="1:6">
      <c r="A9" s="14">
        <v>45105</v>
      </c>
      <c r="B9" s="6">
        <f>B8+17.3</f>
        <v>207.9</v>
      </c>
      <c r="C9" s="1">
        <v>208.4</v>
      </c>
      <c r="E9" s="1" t="s">
        <v>170</v>
      </c>
      <c r="F9" s="1" t="s">
        <v>704</v>
      </c>
    </row>
    <row r="10" spans="1:6">
      <c r="A10" s="14">
        <v>45471</v>
      </c>
      <c r="B10" s="6">
        <f>B9+9.9</f>
        <v>217.8</v>
      </c>
      <c r="E10" s="1" t="s">
        <v>170</v>
      </c>
      <c r="F10" s="1" t="s">
        <v>705</v>
      </c>
    </row>
  </sheetData>
  <pageMargins left="0.7" right="0.7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B3" sqref="B3"/>
    </sheetView>
  </sheetViews>
  <sheetFormatPr defaultColWidth="8.50833333333333" defaultRowHeight="14"/>
  <cols>
    <col min="1" max="1" width="15.375" style="14" customWidth="1"/>
    <col min="2" max="2" width="10.125" style="6" customWidth="1"/>
    <col min="3" max="5" width="10.125" style="1" customWidth="1"/>
    <col min="6" max="6" width="24.25" style="1" customWidth="1"/>
    <col min="7" max="7" width="15.75" style="7" customWidth="1"/>
    <col min="8" max="8" width="15.75" style="2" customWidth="1"/>
    <col min="9" max="9" width="40.375" style="1" customWidth="1"/>
    <col min="10" max="16384" width="8.50833333333333" style="1"/>
  </cols>
  <sheetData>
    <row r="1" ht="28" spans="1:6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>
      <c r="A2" s="14">
        <v>41789</v>
      </c>
      <c r="B2" s="6">
        <v>20.9</v>
      </c>
      <c r="E2" s="1" t="s">
        <v>64</v>
      </c>
      <c r="F2" s="1">
        <v>1</v>
      </c>
    </row>
    <row r="3" spans="1:6">
      <c r="A3" s="14">
        <v>42273</v>
      </c>
      <c r="B3" s="6">
        <f>B2+28.4</f>
        <v>49.3</v>
      </c>
      <c r="E3" s="1" t="s">
        <v>71</v>
      </c>
      <c r="F3" s="1">
        <v>2</v>
      </c>
    </row>
    <row r="4" spans="1:6">
      <c r="A4" s="14">
        <v>42448</v>
      </c>
      <c r="B4" s="6">
        <f>B3+25.3</f>
        <v>74.6</v>
      </c>
      <c r="E4" s="1" t="s">
        <v>71</v>
      </c>
      <c r="F4" s="1" t="s">
        <v>705</v>
      </c>
    </row>
    <row r="5" spans="1:6">
      <c r="A5" s="14">
        <v>43646</v>
      </c>
      <c r="B5" s="6">
        <f>B4+16.7</f>
        <v>91.3</v>
      </c>
      <c r="E5" s="1" t="s">
        <v>79</v>
      </c>
      <c r="F5" s="1">
        <v>3</v>
      </c>
    </row>
    <row r="6" spans="1:6">
      <c r="A6" s="14">
        <v>43736</v>
      </c>
      <c r="B6" s="6">
        <f>B5+5.6</f>
        <v>96.9</v>
      </c>
      <c r="E6" s="1" t="s">
        <v>79</v>
      </c>
      <c r="F6" s="1" t="s">
        <v>706</v>
      </c>
    </row>
    <row r="7" spans="1:6">
      <c r="A7" s="14">
        <v>43981</v>
      </c>
      <c r="B7" s="6">
        <f>B6+5.6</f>
        <v>102.5</v>
      </c>
      <c r="C7" s="1">
        <v>102.51</v>
      </c>
      <c r="D7" s="1">
        <v>72</v>
      </c>
      <c r="E7" s="1" t="s">
        <v>79</v>
      </c>
      <c r="F7" s="1" t="s">
        <v>707</v>
      </c>
    </row>
    <row r="8" spans="1:6">
      <c r="A8" s="14">
        <v>44101</v>
      </c>
      <c r="B8" s="6">
        <f>B7+15.9</f>
        <v>118.4</v>
      </c>
      <c r="C8" s="1">
        <v>118.43</v>
      </c>
      <c r="D8" s="1">
        <v>78</v>
      </c>
      <c r="E8" s="1" t="s">
        <v>79</v>
      </c>
      <c r="F8" s="1" t="s">
        <v>708</v>
      </c>
    </row>
    <row r="9" spans="1:6">
      <c r="A9" s="14">
        <v>44188</v>
      </c>
      <c r="B9" s="6">
        <f>B8+36</f>
        <v>154.4</v>
      </c>
      <c r="C9" s="1">
        <v>154.38</v>
      </c>
      <c r="D9" s="1">
        <v>103</v>
      </c>
      <c r="E9" s="1" t="s">
        <v>86</v>
      </c>
      <c r="F9" s="1">
        <v>4</v>
      </c>
    </row>
    <row r="10" spans="1:6">
      <c r="A10" s="14">
        <v>44558</v>
      </c>
      <c r="B10" s="6">
        <f>B9+27.9</f>
        <v>182.3</v>
      </c>
      <c r="C10" s="1">
        <v>182.28</v>
      </c>
      <c r="E10" s="1" t="s">
        <v>88</v>
      </c>
      <c r="F10" s="1">
        <v>5</v>
      </c>
    </row>
    <row r="11" spans="1:9">
      <c r="A11" s="14">
        <v>44896</v>
      </c>
      <c r="B11" s="6">
        <f>B10+2.9</f>
        <v>185.2</v>
      </c>
      <c r="C11" s="1">
        <v>185.18</v>
      </c>
      <c r="E11" s="1" t="s">
        <v>88</v>
      </c>
      <c r="F11" s="1" t="s">
        <v>709</v>
      </c>
      <c r="I11" s="17" t="s">
        <v>710</v>
      </c>
    </row>
    <row r="12" spans="1:9">
      <c r="A12" s="14">
        <v>45471</v>
      </c>
      <c r="B12" s="6">
        <f>B11+9</f>
        <v>194.2</v>
      </c>
      <c r="C12" s="1">
        <v>194.22</v>
      </c>
      <c r="E12" s="1" t="s">
        <v>88</v>
      </c>
      <c r="F12" s="1" t="s">
        <v>711</v>
      </c>
      <c r="I12" s="17"/>
    </row>
    <row r="13" spans="1:6">
      <c r="A13" s="14">
        <v>45667</v>
      </c>
      <c r="B13" s="6">
        <f>B12+1.7</f>
        <v>195.9</v>
      </c>
      <c r="E13" s="1" t="s">
        <v>88</v>
      </c>
      <c r="F13" s="1" t="s">
        <v>712</v>
      </c>
    </row>
    <row r="14" spans="1:6">
      <c r="A14" s="14">
        <v>45793</v>
      </c>
      <c r="B14" s="6">
        <f>B13+2.5</f>
        <v>198.4</v>
      </c>
      <c r="E14" s="1" t="s">
        <v>88</v>
      </c>
      <c r="F14" s="1" t="s">
        <v>712</v>
      </c>
    </row>
  </sheetData>
  <pageMargins left="0.7" right="0.7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B5" sqref="B5"/>
    </sheetView>
  </sheetViews>
  <sheetFormatPr defaultColWidth="8.50833333333333" defaultRowHeight="14" outlineLevelRow="6"/>
  <cols>
    <col min="1" max="1" width="15.375" style="14" customWidth="1"/>
    <col min="2" max="2" width="10.125" style="6" customWidth="1"/>
    <col min="3" max="5" width="10.125" style="1" customWidth="1"/>
    <col min="6" max="6" width="24.25" style="1" customWidth="1"/>
    <col min="7" max="8" width="15.75" style="2" customWidth="1"/>
    <col min="9" max="9" width="40.375" style="1" customWidth="1"/>
    <col min="10" max="16384" width="8.50833333333333" style="1"/>
  </cols>
  <sheetData>
    <row r="1" ht="28" spans="1:6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>
      <c r="A2" s="14">
        <v>41821</v>
      </c>
      <c r="B2" s="6">
        <v>29.4</v>
      </c>
      <c r="E2" s="1" t="s">
        <v>64</v>
      </c>
      <c r="F2" s="1">
        <v>1</v>
      </c>
    </row>
    <row r="3" spans="1:6">
      <c r="A3" s="14">
        <v>42001</v>
      </c>
      <c r="B3" s="6">
        <f>B2+26.4</f>
        <v>55.8</v>
      </c>
      <c r="E3" s="1" t="s">
        <v>71</v>
      </c>
      <c r="F3" s="1">
        <v>2</v>
      </c>
    </row>
    <row r="4" spans="1:6">
      <c r="A4" s="14">
        <v>43736</v>
      </c>
      <c r="B4" s="6">
        <f>B3+5.2</f>
        <v>61</v>
      </c>
      <c r="C4" s="1">
        <v>61.35</v>
      </c>
      <c r="D4" s="1">
        <v>48</v>
      </c>
      <c r="E4" s="1" t="s">
        <v>71</v>
      </c>
      <c r="F4" s="1" t="s">
        <v>713</v>
      </c>
    </row>
    <row r="5" spans="1:6">
      <c r="A5" s="14">
        <v>44132</v>
      </c>
      <c r="B5" s="6">
        <f>B4+28.5</f>
        <v>89.5</v>
      </c>
      <c r="C5" s="1">
        <v>89.85</v>
      </c>
      <c r="D5" s="1">
        <v>69</v>
      </c>
      <c r="E5" s="1" t="s">
        <v>79</v>
      </c>
      <c r="F5" s="1">
        <v>3</v>
      </c>
    </row>
    <row r="6" spans="1:6">
      <c r="A6" s="14">
        <v>44547</v>
      </c>
      <c r="B6" s="6">
        <f>B5+24.1</f>
        <v>113.6</v>
      </c>
      <c r="C6" s="1">
        <v>113.95</v>
      </c>
      <c r="E6" s="1" t="s">
        <v>86</v>
      </c>
      <c r="F6" s="1">
        <v>4</v>
      </c>
    </row>
    <row r="7" spans="1:9">
      <c r="A7" s="14">
        <v>45322</v>
      </c>
      <c r="B7" s="6">
        <f>B6+30.4</f>
        <v>144</v>
      </c>
      <c r="C7" s="1">
        <v>144.35</v>
      </c>
      <c r="E7" s="1" t="s">
        <v>88</v>
      </c>
      <c r="F7" s="1" t="s">
        <v>714</v>
      </c>
      <c r="I7" s="13" t="s">
        <v>715</v>
      </c>
    </row>
  </sheetData>
  <pageMargins left="0.7" right="0.7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workbookViewId="0">
      <selection activeCell="B5" sqref="B5"/>
    </sheetView>
  </sheetViews>
  <sheetFormatPr defaultColWidth="8.50833333333333" defaultRowHeight="14" outlineLevelCol="6"/>
  <cols>
    <col min="1" max="1" width="15.375" style="14" customWidth="1"/>
    <col min="2" max="2" width="10.125" style="6" customWidth="1"/>
    <col min="3" max="5" width="10.125" style="1" customWidth="1"/>
    <col min="6" max="6" width="24.25" style="1" customWidth="1"/>
    <col min="7" max="8" width="15.75" style="2" customWidth="1"/>
    <col min="9" max="9" width="40.375" style="1" customWidth="1"/>
    <col min="10" max="16384" width="8.50833333333333" style="1"/>
  </cols>
  <sheetData>
    <row r="1" ht="28" spans="1:6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7">
      <c r="A2" s="14">
        <v>42354</v>
      </c>
      <c r="B2" s="6">
        <v>12</v>
      </c>
      <c r="C2" s="1">
        <v>11</v>
      </c>
      <c r="D2" s="1">
        <v>10</v>
      </c>
      <c r="E2" s="1" t="s">
        <v>64</v>
      </c>
      <c r="F2" s="1" t="s">
        <v>716</v>
      </c>
      <c r="G2" s="1"/>
    </row>
    <row r="3" spans="1:7">
      <c r="A3" s="14">
        <v>42722</v>
      </c>
      <c r="B3" s="6">
        <f>B2+13.2</f>
        <v>25.2</v>
      </c>
      <c r="C3" s="1">
        <v>24.9</v>
      </c>
      <c r="D3" s="1">
        <v>22</v>
      </c>
      <c r="E3" s="1" t="s">
        <v>64</v>
      </c>
      <c r="F3" s="1" t="s">
        <v>717</v>
      </c>
      <c r="G3" s="1"/>
    </row>
    <row r="4" spans="1:7">
      <c r="A4" s="14">
        <v>43079</v>
      </c>
      <c r="B4" s="6">
        <f>B3+21.2</f>
        <v>46.4</v>
      </c>
      <c r="C4" s="1">
        <v>47</v>
      </c>
      <c r="D4" s="1">
        <v>40</v>
      </c>
      <c r="E4" s="1" t="s">
        <v>71</v>
      </c>
      <c r="F4" s="1" t="s">
        <v>718</v>
      </c>
      <c r="G4" s="1"/>
    </row>
    <row r="5" spans="1:7">
      <c r="A5" s="14">
        <v>43213</v>
      </c>
      <c r="B5" s="6">
        <f>B4+58.4</f>
        <v>104.8</v>
      </c>
      <c r="C5" s="1">
        <v>105.35</v>
      </c>
      <c r="D5" s="1">
        <v>61</v>
      </c>
      <c r="E5" s="1" t="s">
        <v>79</v>
      </c>
      <c r="F5" s="1">
        <v>11</v>
      </c>
      <c r="G5" s="1"/>
    </row>
    <row r="6" spans="1:7">
      <c r="A6" s="14">
        <v>43460</v>
      </c>
      <c r="B6" s="6">
        <f>B5+67.5</f>
        <v>172.3</v>
      </c>
      <c r="C6" s="1">
        <v>172.35</v>
      </c>
      <c r="D6" s="1">
        <v>82</v>
      </c>
      <c r="E6" s="1" t="s">
        <v>86</v>
      </c>
      <c r="F6" s="1">
        <v>13</v>
      </c>
      <c r="G6" s="1" t="s">
        <v>719</v>
      </c>
    </row>
    <row r="7" spans="1:7">
      <c r="A7" s="14">
        <v>43815</v>
      </c>
      <c r="B7" s="6">
        <f>B6+4</f>
        <v>176.3</v>
      </c>
      <c r="C7" s="1">
        <v>176.65</v>
      </c>
      <c r="D7" s="1">
        <v>85</v>
      </c>
      <c r="E7" s="1" t="s">
        <v>86</v>
      </c>
      <c r="F7" s="1" t="s">
        <v>720</v>
      </c>
      <c r="G7" s="1"/>
    </row>
    <row r="8" spans="1:7">
      <c r="A8" s="14">
        <v>44189</v>
      </c>
      <c r="B8" s="6">
        <f>B7+69.6</f>
        <v>245.9</v>
      </c>
      <c r="C8" s="1">
        <v>241.143</v>
      </c>
      <c r="D8" s="1">
        <v>111</v>
      </c>
      <c r="E8" s="1" t="s">
        <v>231</v>
      </c>
      <c r="F8" s="1" t="s">
        <v>721</v>
      </c>
      <c r="G8" s="1" t="s">
        <v>722</v>
      </c>
    </row>
    <row r="9" spans="1:7">
      <c r="A9" s="14">
        <v>44397</v>
      </c>
      <c r="B9" s="6">
        <f>B8</f>
        <v>245.9</v>
      </c>
      <c r="C9" s="1">
        <v>241.143</v>
      </c>
      <c r="E9" s="1" t="s">
        <v>231</v>
      </c>
      <c r="F9" s="1" t="s">
        <v>723</v>
      </c>
      <c r="G9" s="1"/>
    </row>
    <row r="10" spans="1:7">
      <c r="A10" s="14">
        <v>44560</v>
      </c>
      <c r="B10" s="6">
        <f>B8+38.7</f>
        <v>284.6</v>
      </c>
      <c r="C10" s="1">
        <v>284.85</v>
      </c>
      <c r="E10" s="1" t="s">
        <v>231</v>
      </c>
      <c r="F10" s="1" t="s">
        <v>724</v>
      </c>
      <c r="G10" s="1"/>
    </row>
    <row r="11" spans="1:7">
      <c r="A11" s="14">
        <v>44921</v>
      </c>
      <c r="B11" s="6">
        <f>B10+30.7</f>
        <v>315.3</v>
      </c>
      <c r="C11" s="1">
        <v>315.55</v>
      </c>
      <c r="E11" s="1" t="s">
        <v>484</v>
      </c>
      <c r="F11" s="1" t="s">
        <v>725</v>
      </c>
      <c r="G11" s="1"/>
    </row>
    <row r="12" spans="1:7">
      <c r="A12" s="14">
        <v>45132</v>
      </c>
      <c r="B12" s="6">
        <f>B11</f>
        <v>315.3</v>
      </c>
      <c r="C12" s="1">
        <v>315.55</v>
      </c>
      <c r="E12" s="1" t="s">
        <v>484</v>
      </c>
      <c r="F12" s="1" t="s">
        <v>726</v>
      </c>
      <c r="G12" s="1"/>
    </row>
    <row r="13" spans="1:7">
      <c r="A13" s="14">
        <v>45169</v>
      </c>
      <c r="B13" s="6">
        <f>B12</f>
        <v>315.3</v>
      </c>
      <c r="C13" s="1">
        <v>315.55</v>
      </c>
      <c r="E13" s="1" t="s">
        <v>484</v>
      </c>
      <c r="F13" s="1" t="s">
        <v>727</v>
      </c>
      <c r="G13" s="1"/>
    </row>
    <row r="14" spans="1:7">
      <c r="A14" s="14">
        <v>45225</v>
      </c>
      <c r="B14" s="6">
        <f>B13+2.5</f>
        <v>317.8</v>
      </c>
      <c r="C14" s="1">
        <v>315.55</v>
      </c>
      <c r="E14" s="1" t="s">
        <v>484</v>
      </c>
      <c r="F14" s="1" t="s">
        <v>728</v>
      </c>
      <c r="G14" s="1"/>
    </row>
    <row r="15" spans="1:7">
      <c r="A15" s="14">
        <v>45408</v>
      </c>
      <c r="B15" s="6">
        <f>B14+30.8</f>
        <v>348.6</v>
      </c>
      <c r="C15" s="1">
        <v>348.84</v>
      </c>
      <c r="E15" s="1" t="s">
        <v>90</v>
      </c>
      <c r="F15" s="1">
        <v>6</v>
      </c>
      <c r="G15" s="1"/>
    </row>
    <row r="16" spans="1:7">
      <c r="A16" s="14">
        <v>45644</v>
      </c>
      <c r="B16" s="6">
        <f>B15+3.8</f>
        <v>352.4</v>
      </c>
      <c r="E16" s="1" t="s">
        <v>90</v>
      </c>
      <c r="F16" s="1" t="s">
        <v>729</v>
      </c>
      <c r="G16" s="1"/>
    </row>
  </sheetData>
  <pageMargins left="0.7" right="0.7" top="0.75" bottom="0.75" header="0.3" footer="0.3"/>
  <pageSetup paperSize="9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B3" sqref="B3"/>
    </sheetView>
  </sheetViews>
  <sheetFormatPr defaultColWidth="8.50833333333333" defaultRowHeight="14" outlineLevelRow="5" outlineLevelCol="6"/>
  <cols>
    <col min="1" max="1" width="15.375" style="14" customWidth="1"/>
    <col min="2" max="2" width="10.125" style="6" customWidth="1"/>
    <col min="3" max="5" width="10.125" style="1" customWidth="1"/>
    <col min="6" max="6" width="24.25" style="1" customWidth="1"/>
    <col min="7" max="7" width="40.375" style="1" customWidth="1"/>
    <col min="8" max="16384" width="8.50833333333333" style="1"/>
  </cols>
  <sheetData>
    <row r="1" ht="28" spans="1:7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6"/>
    </row>
    <row r="2" spans="1:6">
      <c r="A2" s="14">
        <v>42364</v>
      </c>
      <c r="B2" s="6">
        <v>28.8</v>
      </c>
      <c r="E2" s="1" t="s">
        <v>64</v>
      </c>
      <c r="F2" s="1">
        <v>1</v>
      </c>
    </row>
    <row r="3" spans="1:6">
      <c r="A3" s="14">
        <v>42965</v>
      </c>
      <c r="B3" s="6">
        <f>B2+19.6</f>
        <v>48.4</v>
      </c>
      <c r="E3" s="1" t="s">
        <v>71</v>
      </c>
      <c r="F3" s="1">
        <v>2</v>
      </c>
    </row>
    <row r="4" spans="1:6">
      <c r="A4" s="14">
        <v>43646</v>
      </c>
      <c r="B4" s="6">
        <f>B3+11.9</f>
        <v>60.3</v>
      </c>
      <c r="E4" s="1" t="s">
        <v>71</v>
      </c>
      <c r="F4" s="1" t="s">
        <v>729</v>
      </c>
    </row>
    <row r="5" spans="1:6">
      <c r="A5" s="14">
        <v>44191</v>
      </c>
      <c r="B5" s="6">
        <f>B4+28.5</f>
        <v>88.8</v>
      </c>
      <c r="C5" s="1">
        <v>88.9</v>
      </c>
      <c r="D5" s="1">
        <v>74</v>
      </c>
      <c r="E5" s="1" t="s">
        <v>79</v>
      </c>
      <c r="F5" s="1">
        <v>3</v>
      </c>
    </row>
    <row r="6" spans="1:7">
      <c r="A6" s="14">
        <v>44556</v>
      </c>
      <c r="B6" s="6">
        <f>B5+39.6</f>
        <v>128.4</v>
      </c>
      <c r="C6" s="1">
        <v>128.5</v>
      </c>
      <c r="D6" s="1">
        <v>103</v>
      </c>
      <c r="E6" s="1" t="s">
        <v>86</v>
      </c>
      <c r="F6" s="1">
        <v>4</v>
      </c>
      <c r="G6" s="13" t="s">
        <v>730</v>
      </c>
    </row>
  </sheetData>
  <pageMargins left="0.7" right="0.7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B4" sqref="B4"/>
    </sheetView>
  </sheetViews>
  <sheetFormatPr defaultColWidth="8.50833333333333" defaultRowHeight="14" outlineLevelCol="6"/>
  <cols>
    <col min="1" max="1" width="15.375" style="1" customWidth="1"/>
    <col min="2" max="2" width="10.125" style="6" customWidth="1"/>
    <col min="3" max="5" width="10.125" style="1" customWidth="1"/>
    <col min="6" max="6" width="24.25" style="1" customWidth="1"/>
    <col min="7" max="7" width="40.375" style="1" customWidth="1"/>
    <col min="8" max="16384" width="8.50833333333333" style="1"/>
  </cols>
  <sheetData>
    <row r="1" ht="28" spans="1:7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6"/>
    </row>
    <row r="2" spans="1:6">
      <c r="A2" s="3">
        <v>42508</v>
      </c>
      <c r="B2" s="6">
        <v>9.2</v>
      </c>
      <c r="C2" s="1">
        <v>9.76</v>
      </c>
      <c r="D2" s="1">
        <v>9</v>
      </c>
      <c r="E2" s="1" t="s">
        <v>64</v>
      </c>
      <c r="F2" s="1" t="s">
        <v>731</v>
      </c>
    </row>
    <row r="3" spans="1:6">
      <c r="A3" s="3">
        <v>42741</v>
      </c>
      <c r="B3" s="6">
        <f>B2+15.7</f>
        <v>24.9</v>
      </c>
      <c r="C3" s="1">
        <v>24.89</v>
      </c>
      <c r="D3" s="1">
        <v>21</v>
      </c>
      <c r="E3" s="1" t="s">
        <v>64</v>
      </c>
      <c r="F3" s="1" t="s">
        <v>732</v>
      </c>
    </row>
    <row r="4" spans="1:6">
      <c r="A4" s="3">
        <v>43581</v>
      </c>
      <c r="B4" s="6">
        <f>B3+30.2</f>
        <v>55.1</v>
      </c>
      <c r="C4" s="1">
        <v>55.06</v>
      </c>
      <c r="D4" s="1">
        <v>43</v>
      </c>
      <c r="E4" s="1" t="s">
        <v>71</v>
      </c>
      <c r="F4" s="1">
        <v>2</v>
      </c>
    </row>
    <row r="5" spans="1:6">
      <c r="A5" s="3">
        <v>44192</v>
      </c>
      <c r="B5" s="6">
        <f>B4+4.9</f>
        <v>60</v>
      </c>
      <c r="C5" s="1">
        <v>59.98</v>
      </c>
      <c r="D5" s="1">
        <v>47</v>
      </c>
      <c r="E5" s="1" t="s">
        <v>71</v>
      </c>
      <c r="F5" s="1" t="s">
        <v>733</v>
      </c>
    </row>
    <row r="6" spans="1:6">
      <c r="A6" s="3">
        <v>44680</v>
      </c>
      <c r="B6" s="6">
        <f>B5+22.4</f>
        <v>82.4</v>
      </c>
      <c r="C6" s="1">
        <v>82.38</v>
      </c>
      <c r="E6" s="1" t="s">
        <v>79</v>
      </c>
      <c r="F6" s="1">
        <v>5</v>
      </c>
    </row>
    <row r="7" spans="1:6">
      <c r="A7" s="3">
        <v>44801</v>
      </c>
      <c r="B7" s="6">
        <f>B6+31.3</f>
        <v>113.7</v>
      </c>
      <c r="C7" s="1">
        <v>113.73</v>
      </c>
      <c r="E7" s="1" t="s">
        <v>86</v>
      </c>
      <c r="F7" s="1">
        <v>6</v>
      </c>
    </row>
    <row r="8" ht="28" spans="1:7">
      <c r="A8" s="3">
        <v>45165</v>
      </c>
      <c r="B8" s="6">
        <f>B7+29.3</f>
        <v>143</v>
      </c>
      <c r="C8" s="1">
        <v>139</v>
      </c>
      <c r="E8" s="1" t="s">
        <v>88</v>
      </c>
      <c r="F8" s="1" t="s">
        <v>734</v>
      </c>
      <c r="G8" s="13" t="s">
        <v>735</v>
      </c>
    </row>
    <row r="9" spans="1:1">
      <c r="A9" s="3"/>
    </row>
  </sheetData>
  <pageMargins left="0.7" right="0.7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0" sqref="F10"/>
    </sheetView>
  </sheetViews>
  <sheetFormatPr defaultColWidth="8.50833333333333" defaultRowHeight="14"/>
  <cols>
    <col min="1" max="1" width="15.375" style="1" customWidth="1"/>
    <col min="2" max="3" width="10.125" style="1" customWidth="1"/>
    <col min="4" max="4" width="24.25" style="1" customWidth="1"/>
    <col min="5" max="6" width="15.75" style="2" customWidth="1"/>
    <col min="7" max="7" width="40.375" style="1" customWidth="1"/>
    <col min="8" max="16384" width="8.50833333333333" style="1"/>
  </cols>
  <sheetData/>
  <pageMargins left="0.7" right="0.7" top="0.75" bottom="0.75" header="0.3" footer="0.3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B4" sqref="B4:F4"/>
    </sheetView>
  </sheetViews>
  <sheetFormatPr defaultColWidth="8.50833333333333" defaultRowHeight="14" outlineLevelCol="6"/>
  <cols>
    <col min="1" max="1" width="15.375" style="14" customWidth="1"/>
    <col min="2" max="2" width="10.125" style="6" customWidth="1"/>
    <col min="3" max="5" width="10.125" style="1" customWidth="1"/>
    <col min="6" max="6" width="24.25" style="1" customWidth="1"/>
    <col min="7" max="7" width="40.375" style="1" customWidth="1"/>
    <col min="8" max="16384" width="8.50833333333333" style="1"/>
  </cols>
  <sheetData>
    <row r="1" ht="28" spans="1:6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>
      <c r="A2" s="14">
        <v>42549</v>
      </c>
      <c r="B2" s="6">
        <v>10</v>
      </c>
      <c r="E2" s="1" t="s">
        <v>64</v>
      </c>
      <c r="F2" s="1">
        <v>1</v>
      </c>
    </row>
    <row r="3" spans="1:6">
      <c r="A3" s="14">
        <v>42732</v>
      </c>
      <c r="B3" s="6">
        <v>32.1</v>
      </c>
      <c r="E3" s="1" t="s">
        <v>64</v>
      </c>
      <c r="F3" s="1">
        <v>1</v>
      </c>
    </row>
    <row r="4" spans="1:6">
      <c r="A4" s="14">
        <v>43097</v>
      </c>
      <c r="B4" s="6">
        <f>B3+21</f>
        <v>53.1</v>
      </c>
      <c r="E4" s="1" t="s">
        <v>71</v>
      </c>
      <c r="F4" s="1">
        <v>2</v>
      </c>
    </row>
    <row r="5" spans="1:6">
      <c r="A5" s="14">
        <v>43622</v>
      </c>
      <c r="B5" s="6">
        <f>B4+27.9</f>
        <v>81</v>
      </c>
      <c r="E5" s="1" t="s">
        <v>79</v>
      </c>
      <c r="F5" s="1">
        <v>3</v>
      </c>
    </row>
    <row r="6" spans="1:5">
      <c r="A6" s="14">
        <v>44084</v>
      </c>
      <c r="B6" s="6">
        <f>B5</f>
        <v>81</v>
      </c>
      <c r="C6" s="1">
        <v>81.2</v>
      </c>
      <c r="D6" s="1">
        <v>67</v>
      </c>
      <c r="E6" s="1" t="s">
        <v>79</v>
      </c>
    </row>
    <row r="7" spans="1:6">
      <c r="A7" s="14">
        <v>44158</v>
      </c>
      <c r="B7" s="6">
        <f>B6+6.3+20.7</f>
        <v>108</v>
      </c>
      <c r="C7" s="1">
        <v>108.2</v>
      </c>
      <c r="D7" s="1">
        <v>87</v>
      </c>
      <c r="E7" s="1" t="s">
        <v>86</v>
      </c>
      <c r="F7" s="1" t="s">
        <v>736</v>
      </c>
    </row>
    <row r="8" spans="1:7">
      <c r="A8" s="14">
        <v>44546</v>
      </c>
      <c r="B8" s="6">
        <f>B7+20.2</f>
        <v>128.2</v>
      </c>
      <c r="C8" s="1">
        <v>128.2</v>
      </c>
      <c r="E8" s="1" t="s">
        <v>88</v>
      </c>
      <c r="F8" s="1">
        <v>5</v>
      </c>
      <c r="G8" s="1" t="s">
        <v>737</v>
      </c>
    </row>
    <row r="9" spans="7:7">
      <c r="G9" s="7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9"/>
  <sheetViews>
    <sheetView workbookViewId="0">
      <pane ySplit="1" topLeftCell="A2" activePane="bottomLeft" state="frozen"/>
      <selection/>
      <selection pane="bottomLeft" activeCell="B12" sqref="B12"/>
    </sheetView>
  </sheetViews>
  <sheetFormatPr defaultColWidth="8.50833333333333" defaultRowHeight="14"/>
  <cols>
    <col min="1" max="1" width="15.375" style="1" customWidth="1"/>
    <col min="2" max="2" width="10.125" style="6" customWidth="1"/>
    <col min="3" max="5" width="10.125" style="1" customWidth="1"/>
    <col min="6" max="6" width="24.25" style="1" customWidth="1"/>
    <col min="7" max="8" width="15.75" style="7" customWidth="1"/>
    <col min="9" max="9" width="40.375" style="1" customWidth="1"/>
    <col min="10" max="16384" width="8.50833333333333" style="1"/>
  </cols>
  <sheetData>
    <row r="1" ht="28" spans="1:20">
      <c r="A1" s="10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9" t="s">
        <v>6</v>
      </c>
      <c r="H1" s="19" t="s">
        <v>7</v>
      </c>
      <c r="I1" s="19" t="s">
        <v>8</v>
      </c>
      <c r="J1" s="1" t="s">
        <v>195</v>
      </c>
      <c r="K1" s="1" t="s">
        <v>196</v>
      </c>
      <c r="L1" s="1" t="s">
        <v>197</v>
      </c>
      <c r="M1" s="1" t="s">
        <v>198</v>
      </c>
      <c r="N1" s="1" t="s">
        <v>199</v>
      </c>
      <c r="O1" s="1" t="s">
        <v>200</v>
      </c>
      <c r="P1" s="1" t="s">
        <v>201</v>
      </c>
      <c r="Q1" s="1" t="s">
        <v>202</v>
      </c>
      <c r="R1" s="1" t="s">
        <v>203</v>
      </c>
      <c r="S1" s="1" t="s">
        <v>204</v>
      </c>
      <c r="T1" s="1" t="s">
        <v>205</v>
      </c>
    </row>
    <row r="2" spans="1:10">
      <c r="A2" s="3">
        <v>27769</v>
      </c>
      <c r="C2" s="1">
        <f>SUM(J2:Q2)</f>
        <v>3.6</v>
      </c>
      <c r="D2" s="1">
        <v>4</v>
      </c>
      <c r="E2" s="1" t="s">
        <v>64</v>
      </c>
      <c r="J2" s="1">
        <v>3.6</v>
      </c>
    </row>
    <row r="3" spans="1:10">
      <c r="A3" s="3">
        <v>29230</v>
      </c>
      <c r="C3" s="1">
        <f>SUM(J3:Q3)</f>
        <v>5.2</v>
      </c>
      <c r="D3" s="1">
        <v>6</v>
      </c>
      <c r="E3" s="1" t="s">
        <v>64</v>
      </c>
      <c r="F3" s="1" t="s">
        <v>206</v>
      </c>
      <c r="I3" s="1" t="s">
        <v>207</v>
      </c>
      <c r="J3" s="1">
        <v>5.2</v>
      </c>
    </row>
    <row r="4" spans="1:10">
      <c r="A4" s="3">
        <v>31044</v>
      </c>
      <c r="B4" s="6">
        <v>7.4</v>
      </c>
      <c r="C4" s="1">
        <f t="shared" ref="C4:C24" si="0">SUM(J4:Q4)</f>
        <v>7.428</v>
      </c>
      <c r="D4" s="1">
        <v>8</v>
      </c>
      <c r="E4" s="1" t="s">
        <v>64</v>
      </c>
      <c r="F4" s="1" t="s">
        <v>208</v>
      </c>
      <c r="I4" s="1" t="s">
        <v>209</v>
      </c>
      <c r="J4" s="1">
        <v>7.428</v>
      </c>
    </row>
    <row r="5" spans="1:10">
      <c r="A5" s="3">
        <v>37173</v>
      </c>
      <c r="B5" s="6">
        <v>7.4</v>
      </c>
      <c r="C5" s="1">
        <f t="shared" si="0"/>
        <v>0</v>
      </c>
      <c r="D5" s="1">
        <v>0</v>
      </c>
      <c r="E5" s="1" t="s">
        <v>64</v>
      </c>
      <c r="F5" s="1" t="s">
        <v>210</v>
      </c>
      <c r="J5" s="1">
        <v>0</v>
      </c>
    </row>
    <row r="6" ht="28" spans="1:10">
      <c r="A6" s="3">
        <v>37585</v>
      </c>
      <c r="B6" s="6">
        <v>7.4</v>
      </c>
      <c r="C6" s="1">
        <f t="shared" si="0"/>
        <v>0</v>
      </c>
      <c r="D6" s="1">
        <v>0</v>
      </c>
      <c r="E6" s="1" t="s">
        <v>64</v>
      </c>
      <c r="F6" s="1" t="s">
        <v>211</v>
      </c>
      <c r="G6" s="7" t="s">
        <v>212</v>
      </c>
      <c r="H6" s="7" t="s">
        <v>213</v>
      </c>
      <c r="J6" s="1">
        <v>0</v>
      </c>
    </row>
    <row r="7" spans="1:17">
      <c r="A7" s="3">
        <v>38074</v>
      </c>
      <c r="B7" s="6">
        <v>51.9</v>
      </c>
      <c r="C7" s="1">
        <f t="shared" si="0"/>
        <v>45.4</v>
      </c>
      <c r="D7" s="1">
        <v>16</v>
      </c>
      <c r="E7" s="1" t="s">
        <v>71</v>
      </c>
      <c r="F7" s="1" t="s">
        <v>214</v>
      </c>
      <c r="G7" s="1">
        <f>SUM(J7:O7)</f>
        <v>0</v>
      </c>
      <c r="H7" s="1">
        <v>0</v>
      </c>
      <c r="I7" s="1" t="s">
        <v>215</v>
      </c>
      <c r="J7" s="1">
        <v>0</v>
      </c>
      <c r="Q7" s="1">
        <v>45.4</v>
      </c>
    </row>
    <row r="8" spans="1:17">
      <c r="A8" s="3">
        <v>38880</v>
      </c>
      <c r="B8" s="6">
        <v>70.7</v>
      </c>
      <c r="C8" s="1">
        <f t="shared" si="0"/>
        <v>71.1</v>
      </c>
      <c r="D8" s="1">
        <v>38</v>
      </c>
      <c r="E8" s="1" t="s">
        <v>71</v>
      </c>
      <c r="F8" s="1" t="s">
        <v>216</v>
      </c>
      <c r="G8" s="1">
        <f t="shared" ref="G8:G12" si="1">SUM(J8:O8)</f>
        <v>25.7</v>
      </c>
      <c r="H8" s="1">
        <v>22</v>
      </c>
      <c r="J8" s="1">
        <v>25.7</v>
      </c>
      <c r="Q8" s="1">
        <v>45.4</v>
      </c>
    </row>
    <row r="9" spans="1:17">
      <c r="A9" s="3">
        <v>40664</v>
      </c>
      <c r="B9" s="6">
        <v>75.7</v>
      </c>
      <c r="C9" s="1">
        <f t="shared" si="0"/>
        <v>75.7</v>
      </c>
      <c r="D9" s="1">
        <v>41</v>
      </c>
      <c r="E9" s="1" t="s">
        <v>71</v>
      </c>
      <c r="F9" s="1" t="s">
        <v>217</v>
      </c>
      <c r="G9" s="1">
        <f t="shared" si="1"/>
        <v>25.7</v>
      </c>
      <c r="H9" s="1">
        <f>D9-19</f>
        <v>22</v>
      </c>
      <c r="I9" s="1" t="s">
        <v>218</v>
      </c>
      <c r="J9" s="1">
        <v>25.7</v>
      </c>
      <c r="Q9" s="1">
        <v>50</v>
      </c>
    </row>
    <row r="10" spans="1:17">
      <c r="A10" s="3">
        <v>41091</v>
      </c>
      <c r="B10" s="6">
        <v>96.3</v>
      </c>
      <c r="C10" s="1">
        <f t="shared" si="0"/>
        <v>95.7</v>
      </c>
      <c r="D10" s="1">
        <v>59</v>
      </c>
      <c r="E10" s="1" t="s">
        <v>79</v>
      </c>
      <c r="F10" s="1" t="s">
        <v>219</v>
      </c>
      <c r="G10" s="1">
        <f t="shared" si="1"/>
        <v>45.7</v>
      </c>
      <c r="H10" s="1">
        <f t="shared" ref="H10:H11" si="2">D10-19</f>
        <v>40</v>
      </c>
      <c r="J10" s="1">
        <v>25.7</v>
      </c>
      <c r="K10" s="1">
        <v>20</v>
      </c>
      <c r="Q10" s="1">
        <v>50</v>
      </c>
    </row>
    <row r="11" spans="1:17">
      <c r="A11" s="3">
        <v>41183</v>
      </c>
      <c r="B11" s="6">
        <v>126</v>
      </c>
      <c r="C11" s="1">
        <f t="shared" si="0"/>
        <v>125.4</v>
      </c>
      <c r="D11" s="1">
        <v>82</v>
      </c>
      <c r="E11" s="1" t="s">
        <v>86</v>
      </c>
      <c r="F11" s="1" t="s">
        <v>220</v>
      </c>
      <c r="G11" s="1">
        <f t="shared" si="1"/>
        <v>75.4</v>
      </c>
      <c r="H11" s="1">
        <f t="shared" si="2"/>
        <v>63</v>
      </c>
      <c r="J11" s="1">
        <v>25.7</v>
      </c>
      <c r="K11" s="1">
        <v>20</v>
      </c>
      <c r="L11" s="1">
        <v>29.7</v>
      </c>
      <c r="Q11" s="1">
        <v>50</v>
      </c>
    </row>
    <row r="12" spans="1:17">
      <c r="A12" s="3">
        <v>41197</v>
      </c>
      <c r="B12" s="6">
        <v>128.8</v>
      </c>
      <c r="C12" s="1">
        <f t="shared" si="0"/>
        <v>128.159</v>
      </c>
      <c r="D12" s="1">
        <v>84</v>
      </c>
      <c r="E12" s="1" t="s">
        <v>86</v>
      </c>
      <c r="F12" s="1" t="s">
        <v>221</v>
      </c>
      <c r="G12" s="1">
        <f t="shared" si="1"/>
        <v>75.4</v>
      </c>
      <c r="H12" s="1">
        <f>D12-21</f>
        <v>63</v>
      </c>
      <c r="I12" s="35" t="s">
        <v>222</v>
      </c>
      <c r="J12" s="1">
        <v>25.7</v>
      </c>
      <c r="K12" s="1">
        <v>20</v>
      </c>
      <c r="L12" s="1">
        <v>29.7</v>
      </c>
      <c r="Q12" s="1">
        <v>52.759</v>
      </c>
    </row>
    <row r="13" spans="1:17">
      <c r="A13" s="3">
        <v>41514</v>
      </c>
      <c r="B13" s="6">
        <v>130.8</v>
      </c>
      <c r="C13" s="1">
        <f t="shared" si="0"/>
        <v>130.859</v>
      </c>
      <c r="D13" s="1">
        <v>85</v>
      </c>
      <c r="E13" s="1" t="s">
        <v>86</v>
      </c>
      <c r="F13" s="1" t="s">
        <v>223</v>
      </c>
      <c r="G13" s="1"/>
      <c r="H13" s="1"/>
      <c r="I13" s="1" t="s">
        <v>224</v>
      </c>
      <c r="J13" s="1">
        <v>25.7</v>
      </c>
      <c r="K13" s="1">
        <v>22.7</v>
      </c>
      <c r="L13" s="1">
        <v>29.7</v>
      </c>
      <c r="Q13" s="1">
        <v>52.759</v>
      </c>
    </row>
    <row r="14" spans="1:17">
      <c r="A14" s="3">
        <v>41636</v>
      </c>
      <c r="B14" s="6">
        <v>134.8</v>
      </c>
      <c r="C14" s="1">
        <f t="shared" si="0"/>
        <v>134.859</v>
      </c>
      <c r="D14" s="1">
        <v>88</v>
      </c>
      <c r="E14" s="1" t="s">
        <v>86</v>
      </c>
      <c r="F14" s="1" t="s">
        <v>225</v>
      </c>
      <c r="G14" s="1"/>
      <c r="H14" s="1"/>
      <c r="J14" s="1">
        <v>25.7</v>
      </c>
      <c r="K14" s="1">
        <v>22.7</v>
      </c>
      <c r="L14" s="1">
        <v>33.7</v>
      </c>
      <c r="Q14" s="1">
        <v>52.759</v>
      </c>
    </row>
    <row r="15" spans="1:17">
      <c r="A15" s="3">
        <v>41879</v>
      </c>
      <c r="B15" s="6">
        <v>139.3</v>
      </c>
      <c r="C15" s="1">
        <f t="shared" si="0"/>
        <v>139.316</v>
      </c>
      <c r="D15" s="1">
        <v>89</v>
      </c>
      <c r="E15" s="1" t="s">
        <v>86</v>
      </c>
      <c r="F15" s="1" t="s">
        <v>226</v>
      </c>
      <c r="G15" s="1"/>
      <c r="H15" s="1"/>
      <c r="I15" s="1" t="s">
        <v>227</v>
      </c>
      <c r="J15" s="1">
        <v>25.7</v>
      </c>
      <c r="K15" s="1">
        <v>27.157</v>
      </c>
      <c r="L15" s="1">
        <v>33.7</v>
      </c>
      <c r="Q15" s="1">
        <v>52.759</v>
      </c>
    </row>
    <row r="16" spans="1:17">
      <c r="A16" s="3">
        <v>42588</v>
      </c>
      <c r="B16" s="6">
        <v>145.8</v>
      </c>
      <c r="C16" s="1">
        <f t="shared" si="0"/>
        <v>146.516</v>
      </c>
      <c r="D16" s="1">
        <v>97</v>
      </c>
      <c r="E16" s="1" t="s">
        <v>88</v>
      </c>
      <c r="F16" s="1" t="s">
        <v>228</v>
      </c>
      <c r="G16" s="1"/>
      <c r="H16" s="4">
        <v>38000</v>
      </c>
      <c r="J16" s="1">
        <v>25.7</v>
      </c>
      <c r="K16" s="1">
        <v>27.157</v>
      </c>
      <c r="L16" s="1">
        <v>33.7</v>
      </c>
      <c r="O16" s="1">
        <v>7.2</v>
      </c>
      <c r="Q16" s="1">
        <v>52.759</v>
      </c>
    </row>
    <row r="17" spans="1:17">
      <c r="A17" s="3">
        <v>42735</v>
      </c>
      <c r="B17" s="6">
        <v>166.5</v>
      </c>
      <c r="C17" s="1">
        <f t="shared" si="0"/>
        <v>166.216</v>
      </c>
      <c r="D17" s="1">
        <v>113</v>
      </c>
      <c r="E17" s="1" t="s">
        <v>88</v>
      </c>
      <c r="F17" s="1" t="s">
        <v>229</v>
      </c>
      <c r="G17" s="1"/>
      <c r="H17" s="4">
        <v>38074</v>
      </c>
      <c r="J17" s="1">
        <v>25.7</v>
      </c>
      <c r="K17" s="1">
        <v>27.157</v>
      </c>
      <c r="L17" s="1">
        <v>33.7</v>
      </c>
      <c r="O17" s="1">
        <v>26.9</v>
      </c>
      <c r="Q17" s="1">
        <v>52.759</v>
      </c>
    </row>
    <row r="18" spans="1:17">
      <c r="A18" s="3">
        <v>43216</v>
      </c>
      <c r="B18" s="6">
        <v>181.8</v>
      </c>
      <c r="C18" s="1">
        <f t="shared" si="0"/>
        <v>181.916</v>
      </c>
      <c r="D18" s="1">
        <v>127</v>
      </c>
      <c r="E18" s="1" t="s">
        <v>88</v>
      </c>
      <c r="F18" s="1" t="s">
        <v>230</v>
      </c>
      <c r="G18" s="1"/>
      <c r="H18" s="1"/>
      <c r="J18" s="1">
        <v>25.7</v>
      </c>
      <c r="K18" s="1">
        <v>27.157</v>
      </c>
      <c r="L18" s="1">
        <v>33.7</v>
      </c>
      <c r="O18" s="1">
        <v>42.6</v>
      </c>
      <c r="Q18" s="1">
        <v>52.759</v>
      </c>
    </row>
    <row r="19" spans="1:17">
      <c r="A19" s="3">
        <v>43395</v>
      </c>
      <c r="B19" s="6">
        <v>212.4</v>
      </c>
      <c r="C19" s="18">
        <f t="shared" si="0"/>
        <v>212.916</v>
      </c>
      <c r="D19" s="1">
        <v>153</v>
      </c>
      <c r="E19" s="1" t="s">
        <v>231</v>
      </c>
      <c r="F19" s="1" t="s">
        <v>232</v>
      </c>
      <c r="G19" s="1"/>
      <c r="H19" s="1"/>
      <c r="J19" s="1">
        <v>25.7</v>
      </c>
      <c r="K19" s="1">
        <v>27.157</v>
      </c>
      <c r="L19" s="1">
        <v>33.7</v>
      </c>
      <c r="N19" s="18">
        <v>31</v>
      </c>
      <c r="O19" s="1">
        <v>42.6</v>
      </c>
      <c r="Q19" s="1">
        <v>52.759</v>
      </c>
    </row>
    <row r="20" spans="1:17">
      <c r="A20" s="3">
        <v>43437</v>
      </c>
      <c r="B20" s="6">
        <v>214.7</v>
      </c>
      <c r="C20" s="18">
        <f t="shared" si="0"/>
        <v>215.416</v>
      </c>
      <c r="D20" s="1">
        <v>154</v>
      </c>
      <c r="E20" s="1" t="s">
        <v>231</v>
      </c>
      <c r="F20" s="1" t="s">
        <v>233</v>
      </c>
      <c r="G20" s="1"/>
      <c r="H20" s="1"/>
      <c r="J20" s="1">
        <v>28.2</v>
      </c>
      <c r="K20" s="1">
        <v>27.157</v>
      </c>
      <c r="L20" s="1">
        <v>33.7</v>
      </c>
      <c r="N20" s="18">
        <v>31</v>
      </c>
      <c r="O20" s="1">
        <v>42.6</v>
      </c>
      <c r="Q20" s="1">
        <v>52.759</v>
      </c>
    </row>
    <row r="21" spans="1:17">
      <c r="A21" s="3">
        <v>43496</v>
      </c>
      <c r="B21" s="6">
        <v>216.8</v>
      </c>
      <c r="C21" s="18">
        <f t="shared" si="0"/>
        <v>218.201</v>
      </c>
      <c r="D21" s="1">
        <v>155</v>
      </c>
      <c r="E21" s="1" t="s">
        <v>231</v>
      </c>
      <c r="F21" s="1" t="s">
        <v>234</v>
      </c>
      <c r="G21" s="1"/>
      <c r="H21" s="1"/>
      <c r="J21" s="1">
        <v>28.2</v>
      </c>
      <c r="K21" s="1">
        <v>27.157</v>
      </c>
      <c r="L21" s="1">
        <v>33.7</v>
      </c>
      <c r="N21" s="1">
        <v>33.785</v>
      </c>
      <c r="O21" s="1">
        <v>42.6</v>
      </c>
      <c r="Q21" s="1">
        <v>52.759</v>
      </c>
    </row>
    <row r="22" spans="1:17">
      <c r="A22" s="3">
        <v>43827</v>
      </c>
      <c r="B22" s="6">
        <v>230.3</v>
      </c>
      <c r="C22" s="18">
        <f t="shared" si="0"/>
        <v>232.228</v>
      </c>
      <c r="D22" s="1">
        <v>159</v>
      </c>
      <c r="E22" s="1" t="s">
        <v>231</v>
      </c>
      <c r="F22" s="1" t="s">
        <v>235</v>
      </c>
      <c r="G22" s="1"/>
      <c r="H22" s="1"/>
      <c r="J22" s="1">
        <v>42.227</v>
      </c>
      <c r="K22" s="1">
        <v>27.157</v>
      </c>
      <c r="L22" s="1">
        <v>33.7</v>
      </c>
      <c r="N22" s="1">
        <v>33.785</v>
      </c>
      <c r="O22" s="1">
        <v>42.6</v>
      </c>
      <c r="Q22" s="1">
        <v>52.759</v>
      </c>
    </row>
    <row r="23" spans="1:17">
      <c r="A23" s="3">
        <v>44537</v>
      </c>
      <c r="B23" s="6">
        <v>232.4</v>
      </c>
      <c r="C23" s="18">
        <f t="shared" si="0"/>
        <v>233.243</v>
      </c>
      <c r="D23" s="1">
        <v>160</v>
      </c>
      <c r="E23" s="1" t="s">
        <v>231</v>
      </c>
      <c r="F23" s="1" t="s">
        <v>236</v>
      </c>
      <c r="G23" s="1"/>
      <c r="H23" s="1"/>
      <c r="J23" s="1">
        <v>42.227</v>
      </c>
      <c r="K23" s="1">
        <v>27.157</v>
      </c>
      <c r="L23" s="1">
        <v>33.7</v>
      </c>
      <c r="N23" s="1">
        <v>34.8</v>
      </c>
      <c r="O23" s="1">
        <v>42.6</v>
      </c>
      <c r="Q23" s="1">
        <v>52.759</v>
      </c>
    </row>
    <row r="24" ht="42" spans="1:17">
      <c r="A24" s="3">
        <v>44558</v>
      </c>
      <c r="B24" s="6">
        <v>266.2</v>
      </c>
      <c r="C24" s="18">
        <f t="shared" si="0"/>
        <v>267.063</v>
      </c>
      <c r="E24" s="1" t="s">
        <v>90</v>
      </c>
      <c r="F24" s="1" t="s">
        <v>237</v>
      </c>
      <c r="G24" s="1"/>
      <c r="H24" s="1"/>
      <c r="I24" s="1" t="s">
        <v>238</v>
      </c>
      <c r="J24" s="1">
        <v>42.227</v>
      </c>
      <c r="K24" s="1">
        <v>27.157</v>
      </c>
      <c r="L24" s="1">
        <v>33.7</v>
      </c>
      <c r="M24" s="1">
        <v>19.4</v>
      </c>
      <c r="N24" s="1">
        <v>34.8</v>
      </c>
      <c r="O24" s="1">
        <v>43.6</v>
      </c>
      <c r="P24" s="1">
        <v>13.42</v>
      </c>
      <c r="Q24" s="1">
        <v>52.759</v>
      </c>
    </row>
    <row r="25" spans="1:18">
      <c r="A25" s="3">
        <v>44883</v>
      </c>
      <c r="B25" s="6">
        <v>287.4</v>
      </c>
      <c r="C25" s="18">
        <f>SUM(J25:R25)</f>
        <v>288.243</v>
      </c>
      <c r="D25" s="18">
        <v>181</v>
      </c>
      <c r="E25" s="1" t="s">
        <v>239</v>
      </c>
      <c r="F25" s="1" t="s">
        <v>240</v>
      </c>
      <c r="G25" s="1"/>
      <c r="H25" s="1"/>
      <c r="I25" s="1" t="s">
        <v>241</v>
      </c>
      <c r="J25" s="1">
        <v>42.227</v>
      </c>
      <c r="K25" s="1">
        <v>27.157</v>
      </c>
      <c r="L25" s="1">
        <v>33.7</v>
      </c>
      <c r="M25" s="1">
        <v>19.4</v>
      </c>
      <c r="N25" s="1">
        <v>34.8</v>
      </c>
      <c r="O25" s="1">
        <v>43.6</v>
      </c>
      <c r="P25" s="1">
        <v>13.42</v>
      </c>
      <c r="Q25" s="1">
        <v>52.759</v>
      </c>
      <c r="R25" s="1">
        <v>21.18</v>
      </c>
    </row>
    <row r="26" spans="1:18">
      <c r="A26" s="3">
        <v>45138</v>
      </c>
      <c r="B26" s="6">
        <v>287.4</v>
      </c>
      <c r="C26" s="18">
        <f>SUM(J26:R26)</f>
        <v>288.243</v>
      </c>
      <c r="D26" s="1">
        <v>182</v>
      </c>
      <c r="E26" s="1" t="s">
        <v>239</v>
      </c>
      <c r="F26" s="1" t="s">
        <v>242</v>
      </c>
      <c r="G26" s="1"/>
      <c r="H26" s="1"/>
      <c r="I26" s="1" t="s">
        <v>241</v>
      </c>
      <c r="J26" s="1">
        <v>42.227</v>
      </c>
      <c r="K26" s="1">
        <v>27.157</v>
      </c>
      <c r="L26" s="1">
        <v>33.7</v>
      </c>
      <c r="M26" s="1">
        <v>19.4</v>
      </c>
      <c r="N26" s="1">
        <v>34.8</v>
      </c>
      <c r="O26" s="1">
        <v>43.6</v>
      </c>
      <c r="P26" s="1">
        <v>13.42</v>
      </c>
      <c r="Q26" s="1">
        <v>52.759</v>
      </c>
      <c r="R26" s="1">
        <v>21.18</v>
      </c>
    </row>
    <row r="27" spans="1:18">
      <c r="A27" s="3">
        <v>45288</v>
      </c>
      <c r="B27" s="6">
        <v>299.3</v>
      </c>
      <c r="C27" s="1">
        <v>300</v>
      </c>
      <c r="E27" s="1" t="s">
        <v>181</v>
      </c>
      <c r="F27" s="1">
        <v>11</v>
      </c>
      <c r="G27" s="1"/>
      <c r="H27" s="1"/>
      <c r="J27" s="1">
        <v>42.227</v>
      </c>
      <c r="K27" s="1">
        <v>27.157</v>
      </c>
      <c r="L27" s="1">
        <v>33.7</v>
      </c>
      <c r="M27" s="1">
        <v>19.4</v>
      </c>
      <c r="N27" s="1">
        <v>34.8</v>
      </c>
      <c r="O27" s="1">
        <v>43.6</v>
      </c>
      <c r="P27" s="1">
        <v>13.42</v>
      </c>
      <c r="Q27" s="1">
        <v>52.759</v>
      </c>
      <c r="R27" s="1">
        <v>21.18</v>
      </c>
    </row>
    <row r="28" spans="1:18">
      <c r="A28" s="3">
        <v>45563</v>
      </c>
      <c r="B28" s="6">
        <v>314</v>
      </c>
      <c r="C28" s="1">
        <v>314.69</v>
      </c>
      <c r="E28" s="1" t="s">
        <v>187</v>
      </c>
      <c r="F28" s="1" t="s">
        <v>205</v>
      </c>
      <c r="G28" s="1"/>
      <c r="H28" s="1"/>
      <c r="J28" s="1">
        <v>42.227</v>
      </c>
      <c r="K28" s="1">
        <v>27.157</v>
      </c>
      <c r="L28" s="1">
        <v>33.7</v>
      </c>
      <c r="M28" s="1">
        <v>19.4</v>
      </c>
      <c r="N28" s="1">
        <v>34.8</v>
      </c>
      <c r="O28" s="1">
        <v>43.6</v>
      </c>
      <c r="P28" s="1">
        <v>13.42</v>
      </c>
      <c r="Q28" s="1">
        <v>52.759</v>
      </c>
      <c r="R28" s="1">
        <v>21.18</v>
      </c>
    </row>
    <row r="29" spans="1:6">
      <c r="A29" s="3">
        <v>45654</v>
      </c>
      <c r="E29" s="1" t="s">
        <v>187</v>
      </c>
      <c r="F29" s="1" t="s">
        <v>243</v>
      </c>
    </row>
  </sheetData>
  <pageMargins left="0.7" right="0.7" top="0.75" bottom="0.75" header="0.3" footer="0.3"/>
  <pageSetup paperSize="9" orientation="portrait"/>
  <headerFooter/>
  <ignoredErrors>
    <ignoredError sqref="G7:G12" formulaRange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F14" sqref="F14"/>
    </sheetView>
  </sheetViews>
  <sheetFormatPr defaultColWidth="8.50833333333333" defaultRowHeight="14" outlineLevelCol="5"/>
  <cols>
    <col min="1" max="1" width="15.375" style="14" customWidth="1"/>
    <col min="2" max="3" width="10.125" style="6" customWidth="1"/>
    <col min="4" max="5" width="10.125" style="1" customWidth="1"/>
    <col min="6" max="6" width="24.25" style="1" customWidth="1"/>
    <col min="7" max="8" width="15.75" style="7" customWidth="1"/>
    <col min="9" max="9" width="40.375" style="1" customWidth="1"/>
    <col min="10" max="16384" width="8.50833333333333" style="1"/>
  </cols>
  <sheetData>
    <row r="1" ht="28" spans="1:6">
      <c r="A1" s="8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</row>
    <row r="2" spans="1:6">
      <c r="A2" s="14">
        <v>42730</v>
      </c>
      <c r="B2" s="6">
        <v>24.6</v>
      </c>
      <c r="E2" s="1" t="s">
        <v>64</v>
      </c>
      <c r="F2" s="1">
        <v>1</v>
      </c>
    </row>
    <row r="3" spans="1:6">
      <c r="A3" s="14">
        <v>43095</v>
      </c>
      <c r="B3" s="6">
        <f>B2+27.8</f>
        <v>52.4</v>
      </c>
      <c r="E3" s="1" t="s">
        <v>71</v>
      </c>
      <c r="F3" s="1">
        <v>2</v>
      </c>
    </row>
    <row r="4" spans="1:6">
      <c r="A4" s="14">
        <v>43825</v>
      </c>
      <c r="B4" s="6">
        <f>B3+37.2</f>
        <v>89.6</v>
      </c>
      <c r="E4" s="1" t="s">
        <v>79</v>
      </c>
      <c r="F4" s="1">
        <v>3</v>
      </c>
    </row>
    <row r="5" spans="1:6">
      <c r="A5" s="14">
        <v>44191</v>
      </c>
      <c r="B5" s="6">
        <f>B4+25.2</f>
        <v>114.8</v>
      </c>
      <c r="C5" s="6">
        <v>114.78</v>
      </c>
      <c r="D5" s="1">
        <v>100</v>
      </c>
      <c r="E5" s="1" t="s">
        <v>86</v>
      </c>
      <c r="F5" s="1" t="s">
        <v>738</v>
      </c>
    </row>
    <row r="6" spans="1:6">
      <c r="A6" s="14">
        <v>44556</v>
      </c>
      <c r="B6" s="6">
        <f>B5+41.4</f>
        <v>156.2</v>
      </c>
      <c r="C6" s="6">
        <v>156.15</v>
      </c>
      <c r="E6" s="1" t="s">
        <v>88</v>
      </c>
      <c r="F6" s="1">
        <v>4</v>
      </c>
    </row>
    <row r="7" spans="1:6">
      <c r="A7" s="14">
        <v>44921</v>
      </c>
      <c r="B7" s="6">
        <f>B6+15</f>
        <v>171.2</v>
      </c>
      <c r="C7" s="6">
        <v>170.95</v>
      </c>
      <c r="E7" s="1" t="s">
        <v>88</v>
      </c>
      <c r="F7" s="1" t="s">
        <v>563</v>
      </c>
    </row>
    <row r="8" spans="1:6">
      <c r="A8" s="14">
        <v>45108</v>
      </c>
      <c r="B8" s="6">
        <f>B7+4.5</f>
        <v>175.7</v>
      </c>
      <c r="C8" s="6">
        <v>175.49</v>
      </c>
      <c r="E8" s="1" t="s">
        <v>88</v>
      </c>
      <c r="F8" s="1" t="s">
        <v>739</v>
      </c>
    </row>
    <row r="9" spans="1:6">
      <c r="A9" s="14">
        <v>45286</v>
      </c>
      <c r="B9" s="6">
        <f>B8+14.5+9.5</f>
        <v>199.7</v>
      </c>
      <c r="C9" s="6">
        <v>200.08</v>
      </c>
      <c r="D9" s="1">
        <v>154</v>
      </c>
      <c r="E9" s="1" t="s">
        <v>88</v>
      </c>
      <c r="F9" s="1" t="s">
        <v>740</v>
      </c>
    </row>
    <row r="10" spans="1:6">
      <c r="A10" s="14">
        <v>45413</v>
      </c>
      <c r="B10" s="6">
        <f>B9+12.5</f>
        <v>212.2</v>
      </c>
      <c r="E10" s="1" t="s">
        <v>88</v>
      </c>
      <c r="F10" s="1" t="s">
        <v>741</v>
      </c>
    </row>
    <row r="11" spans="1:6">
      <c r="A11" s="14">
        <v>45652</v>
      </c>
      <c r="B11" s="6">
        <f>B10+22.5</f>
        <v>234.7</v>
      </c>
      <c r="E11" s="1" t="s">
        <v>231</v>
      </c>
      <c r="F11" s="1">
        <v>8</v>
      </c>
    </row>
  </sheetData>
  <pageMargins left="0.7" right="0.7" top="0.75" bottom="0.75" header="0.3" footer="0.3"/>
  <pageSetup paperSize="9" orientation="portrait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B6" sqref="B6"/>
    </sheetView>
  </sheetViews>
  <sheetFormatPr defaultColWidth="8.50833333333333" defaultRowHeight="14" outlineLevelRow="5" outlineLevelCol="6"/>
  <cols>
    <col min="1" max="1" width="15.375" style="1" customWidth="1"/>
    <col min="2" max="2" width="10.125" style="6" customWidth="1"/>
    <col min="3" max="5" width="10.125" style="1" customWidth="1"/>
    <col min="6" max="6" width="24.25" style="1" customWidth="1"/>
    <col min="7" max="7" width="40.375" style="1" customWidth="1"/>
    <col min="8" max="16384" width="8.50833333333333" style="1"/>
  </cols>
  <sheetData>
    <row r="1" ht="28" spans="1:6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ht="28" spans="1:6">
      <c r="A2" s="3">
        <v>42912</v>
      </c>
      <c r="B2" s="6">
        <v>30.3</v>
      </c>
      <c r="C2" s="1">
        <v>30.3</v>
      </c>
      <c r="D2" s="1">
        <v>26</v>
      </c>
      <c r="E2" s="1" t="s">
        <v>71</v>
      </c>
      <c r="F2" s="1" t="s">
        <v>742</v>
      </c>
    </row>
    <row r="3" spans="1:6">
      <c r="A3" s="3">
        <v>43642</v>
      </c>
      <c r="B3" s="6">
        <f>B2+10.4</f>
        <v>40.7</v>
      </c>
      <c r="C3" s="1">
        <v>40.73</v>
      </c>
      <c r="D3" s="1">
        <v>32</v>
      </c>
      <c r="E3" s="1" t="s">
        <v>71</v>
      </c>
      <c r="F3" s="1" t="s">
        <v>743</v>
      </c>
    </row>
    <row r="4" spans="1:6">
      <c r="A4" s="3">
        <v>43850</v>
      </c>
      <c r="B4" s="6">
        <f>B3+5.4</f>
        <v>46.1</v>
      </c>
      <c r="C4" s="1">
        <v>46.13</v>
      </c>
      <c r="D4" s="1">
        <v>36</v>
      </c>
      <c r="E4" s="1" t="s">
        <v>71</v>
      </c>
      <c r="F4" s="1" t="s">
        <v>744</v>
      </c>
    </row>
    <row r="5" spans="1:6">
      <c r="A5" s="3">
        <v>44069</v>
      </c>
      <c r="B5" s="6">
        <f>B4+15.5</f>
        <v>61.6</v>
      </c>
      <c r="C5" s="1">
        <v>61.63</v>
      </c>
      <c r="D5" s="1">
        <v>51</v>
      </c>
      <c r="E5" s="1" t="s">
        <v>79</v>
      </c>
      <c r="F5" s="1" t="s">
        <v>745</v>
      </c>
    </row>
    <row r="6" spans="1:7">
      <c r="A6" s="3">
        <v>44292</v>
      </c>
      <c r="B6" s="6">
        <f>B5+15</f>
        <v>76.6</v>
      </c>
      <c r="C6" s="1">
        <v>76.53</v>
      </c>
      <c r="D6" s="1">
        <v>56</v>
      </c>
      <c r="E6" s="1" t="s">
        <v>79</v>
      </c>
      <c r="F6" s="1" t="s">
        <v>746</v>
      </c>
      <c r="G6" s="13" t="s">
        <v>747</v>
      </c>
    </row>
  </sheetData>
  <pageMargins left="0.7" right="0.7" top="0.75" bottom="0.75" header="0.3" footer="0.3"/>
  <pageSetup paperSize="9" orientation="portrait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3"/>
  <sheetViews>
    <sheetView workbookViewId="0">
      <selection activeCell="A1" sqref="A1"/>
    </sheetView>
  </sheetViews>
  <sheetFormatPr defaultColWidth="8.50833333333333" defaultRowHeight="14" outlineLevelRow="2" outlineLevelCol="3"/>
  <cols>
    <col min="1" max="1" width="15.375" style="1" customWidth="1"/>
    <col min="2" max="3" width="10.125" style="1" customWidth="1"/>
    <col min="4" max="4" width="24.25" style="1" customWidth="1"/>
    <col min="5" max="6" width="15.75" style="2" customWidth="1"/>
    <col min="7" max="7" width="40.375" style="1" customWidth="1"/>
    <col min="8" max="16384" width="8.50833333333333" style="1"/>
  </cols>
  <sheetData>
    <row r="2" spans="1:4">
      <c r="A2" s="15">
        <v>41426</v>
      </c>
      <c r="C2" s="1">
        <v>21</v>
      </c>
      <c r="D2" s="1" t="s">
        <v>748</v>
      </c>
    </row>
    <row r="3" spans="1:4">
      <c r="A3" s="15">
        <v>41852</v>
      </c>
      <c r="B3" s="1">
        <v>51.03</v>
      </c>
      <c r="C3" s="1">
        <v>22</v>
      </c>
      <c r="D3" s="1" t="s">
        <v>749</v>
      </c>
    </row>
  </sheetData>
  <pageMargins left="0.7" right="0.7" top="0.75" bottom="0.75" header="0.3" footer="0.3"/>
  <pageSetup paperSize="9" orientation="portrait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B6" sqref="B6"/>
    </sheetView>
  </sheetViews>
  <sheetFormatPr defaultColWidth="8.50833333333333" defaultRowHeight="14" outlineLevelRow="6" outlineLevelCol="5"/>
  <cols>
    <col min="1" max="1" width="15.375" style="14" customWidth="1"/>
    <col min="2" max="2" width="10.125" style="6" customWidth="1"/>
    <col min="3" max="5" width="10.125" style="1" customWidth="1"/>
    <col min="6" max="6" width="24.25" style="1" customWidth="1"/>
    <col min="7" max="8" width="15.75" style="2" customWidth="1"/>
    <col min="9" max="9" width="40.375" style="1" customWidth="1"/>
    <col min="10" max="16384" width="8.50833333333333" style="1"/>
  </cols>
  <sheetData>
    <row r="1" ht="28" spans="1:6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>
      <c r="A2" s="14">
        <v>43097</v>
      </c>
      <c r="B2" s="6">
        <v>12.9</v>
      </c>
      <c r="C2" s="1">
        <v>12.9</v>
      </c>
      <c r="D2" s="1">
        <v>10</v>
      </c>
      <c r="E2" s="1" t="s">
        <v>64</v>
      </c>
      <c r="F2" s="1" t="s">
        <v>750</v>
      </c>
    </row>
    <row r="3" spans="1:6">
      <c r="A3" s="14">
        <v>43435</v>
      </c>
      <c r="B3" s="6">
        <f>B2+21.2</f>
        <v>34.1</v>
      </c>
      <c r="C3" s="1">
        <v>34.3</v>
      </c>
      <c r="D3" s="1">
        <v>24</v>
      </c>
      <c r="E3" s="1" t="s">
        <v>64</v>
      </c>
      <c r="F3" s="1" t="s">
        <v>751</v>
      </c>
    </row>
    <row r="4" spans="1:6">
      <c r="A4" s="14">
        <v>43827</v>
      </c>
      <c r="B4" s="6">
        <f>B3+1</f>
        <v>35.1</v>
      </c>
      <c r="C4" s="1">
        <v>35.1</v>
      </c>
      <c r="D4" s="1">
        <v>25</v>
      </c>
      <c r="E4" s="1" t="s">
        <v>64</v>
      </c>
      <c r="F4" s="1" t="s">
        <v>752</v>
      </c>
    </row>
    <row r="5" spans="1:6">
      <c r="A5" s="14">
        <v>44314</v>
      </c>
      <c r="B5" s="6">
        <f>B4+40.6</f>
        <v>75.7</v>
      </c>
      <c r="C5" s="1">
        <v>75.7</v>
      </c>
      <c r="D5" s="1">
        <v>57</v>
      </c>
      <c r="E5" s="1" t="s">
        <v>71</v>
      </c>
      <c r="F5" s="1">
        <v>2</v>
      </c>
    </row>
    <row r="6" spans="1:6">
      <c r="A6" s="14">
        <v>45276</v>
      </c>
      <c r="B6" s="6">
        <f>B5+43</f>
        <v>118.7</v>
      </c>
      <c r="C6" s="1">
        <v>118.73</v>
      </c>
      <c r="E6" s="1" t="s">
        <v>79</v>
      </c>
      <c r="F6" s="1">
        <v>3</v>
      </c>
    </row>
    <row r="7" spans="1:6">
      <c r="A7" s="14">
        <v>45654</v>
      </c>
      <c r="B7" s="6">
        <f>B6+30.3</f>
        <v>149</v>
      </c>
      <c r="E7" s="1" t="s">
        <v>86</v>
      </c>
      <c r="F7" s="1" t="s">
        <v>753</v>
      </c>
    </row>
  </sheetData>
  <pageMargins left="0.7" right="0.7" top="0.75" bottom="0.75" header="0.3" footer="0.3"/>
  <pageSetup paperSize="9" orientation="portrait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A1" sqref="A1:F1"/>
    </sheetView>
  </sheetViews>
  <sheetFormatPr defaultColWidth="8.50833333333333" defaultRowHeight="14" outlineLevelRow="4" outlineLevelCol="5"/>
  <cols>
    <col min="1" max="1" width="15.375" style="14" customWidth="1"/>
    <col min="2" max="2" width="10.125" style="6" customWidth="1"/>
    <col min="3" max="5" width="10.125" style="1" customWidth="1"/>
    <col min="6" max="6" width="24.25" style="1" customWidth="1"/>
    <col min="7" max="8" width="15.75" style="2" customWidth="1"/>
    <col min="9" max="9" width="40.375" style="1" customWidth="1"/>
    <col min="10" max="16384" width="8.50833333333333" style="1"/>
  </cols>
  <sheetData>
    <row r="1" ht="28" spans="1:6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>
      <c r="A2" s="14">
        <v>43100</v>
      </c>
      <c r="B2" s="6">
        <v>30.3</v>
      </c>
      <c r="E2" s="1" t="s">
        <v>64</v>
      </c>
      <c r="F2" s="1">
        <v>1</v>
      </c>
    </row>
    <row r="3" spans="1:6">
      <c r="A3" s="14">
        <v>43824</v>
      </c>
      <c r="B3" s="6">
        <f>B2+41.6</f>
        <v>71.9</v>
      </c>
      <c r="E3" s="1" t="s">
        <v>71</v>
      </c>
      <c r="F3" s="1">
        <v>2</v>
      </c>
    </row>
    <row r="4" spans="1:6">
      <c r="A4" s="14">
        <v>44312</v>
      </c>
      <c r="B4" s="6">
        <f>B3</f>
        <v>71.9</v>
      </c>
      <c r="C4" s="1">
        <v>71.9</v>
      </c>
      <c r="D4" s="1">
        <v>54</v>
      </c>
      <c r="E4" s="1" t="s">
        <v>71</v>
      </c>
      <c r="F4" s="1" t="s">
        <v>754</v>
      </c>
    </row>
    <row r="5" spans="1:6">
      <c r="A5" s="14">
        <v>44372</v>
      </c>
      <c r="B5" s="6">
        <f>B4+26.5</f>
        <v>98.4</v>
      </c>
      <c r="C5" s="1">
        <v>98.4</v>
      </c>
      <c r="D5" s="1">
        <v>70</v>
      </c>
      <c r="E5" s="1" t="s">
        <v>79</v>
      </c>
      <c r="F5" s="1">
        <v>3</v>
      </c>
    </row>
  </sheetData>
  <pageMargins left="0.7" right="0.7" top="0.75" bottom="0.75" header="0.3" footer="0.3"/>
  <pageSetup paperSize="9" orientation="portrait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G8" sqref="G8"/>
    </sheetView>
  </sheetViews>
  <sheetFormatPr defaultColWidth="8.50833333333333" defaultRowHeight="14" outlineLevelRow="2" outlineLevelCol="3"/>
  <cols>
    <col min="1" max="1" width="15.375" style="14" customWidth="1"/>
    <col min="2" max="3" width="10.125" style="1" customWidth="1"/>
    <col min="4" max="4" width="24.25" style="1" customWidth="1"/>
    <col min="5" max="6" width="15.75" style="2" customWidth="1"/>
    <col min="7" max="7" width="40.375" style="1" customWidth="1"/>
    <col min="8" max="16384" width="8.50833333333333" style="1"/>
  </cols>
  <sheetData>
    <row r="1" spans="1:4">
      <c r="A1" s="14">
        <v>43398</v>
      </c>
      <c r="B1" s="1">
        <v>16.5</v>
      </c>
      <c r="C1" s="1">
        <v>12</v>
      </c>
      <c r="D1" s="1" t="s">
        <v>755</v>
      </c>
    </row>
    <row r="2" spans="1:4">
      <c r="A2" s="14">
        <v>43644</v>
      </c>
      <c r="B2" s="1">
        <v>27.61</v>
      </c>
      <c r="C2" s="1">
        <v>21</v>
      </c>
      <c r="D2" s="1" t="s">
        <v>756</v>
      </c>
    </row>
    <row r="3" spans="1:4">
      <c r="A3" s="14">
        <v>45764</v>
      </c>
      <c r="D3" s="1" t="s">
        <v>757</v>
      </c>
    </row>
  </sheetData>
  <pageMargins left="0.7" right="0.7" top="0.75" bottom="0.75" header="0.3" footer="0.3"/>
  <pageSetup paperSize="9" orientation="portrait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A1" sqref="A1"/>
    </sheetView>
  </sheetViews>
  <sheetFormatPr defaultColWidth="8.50833333333333" defaultRowHeight="14" outlineLevelRow="2" outlineLevelCol="6"/>
  <cols>
    <col min="1" max="1" width="15.375" style="1" customWidth="1"/>
    <col min="2" max="3" width="10.125" style="1" customWidth="1"/>
    <col min="4" max="4" width="24.25" style="1" customWidth="1"/>
    <col min="5" max="6" width="15.75" style="2" customWidth="1"/>
    <col min="7" max="7" width="40.375" style="1" customWidth="1"/>
    <col min="8" max="16384" width="8.50833333333333" style="1"/>
  </cols>
  <sheetData>
    <row r="1" spans="1:4">
      <c r="A1" s="3">
        <v>43488</v>
      </c>
      <c r="B1" s="1">
        <v>34.38</v>
      </c>
      <c r="C1" s="1">
        <v>12</v>
      </c>
      <c r="D1" s="1" t="s">
        <v>758</v>
      </c>
    </row>
    <row r="2" spans="1:4">
      <c r="A2" s="3">
        <v>43736</v>
      </c>
      <c r="B2" s="1">
        <v>53.5</v>
      </c>
      <c r="C2" s="1">
        <v>18</v>
      </c>
      <c r="D2" s="1" t="s">
        <v>759</v>
      </c>
    </row>
    <row r="3" spans="1:7">
      <c r="A3" s="3">
        <v>45164</v>
      </c>
      <c r="B3" s="1">
        <v>117.13</v>
      </c>
      <c r="C3" s="1">
        <v>38</v>
      </c>
      <c r="D3" s="1" t="s">
        <v>760</v>
      </c>
      <c r="G3" s="13" t="s">
        <v>761</v>
      </c>
    </row>
  </sheetData>
  <pageMargins left="0.7" right="0.7" top="0.75" bottom="0.75" header="0.3" footer="0.3"/>
  <pageSetup paperSize="9" orientation="portrait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A1" sqref="A1:F1"/>
    </sheetView>
  </sheetViews>
  <sheetFormatPr defaultColWidth="8.50833333333333" defaultRowHeight="14" outlineLevelRow="4" outlineLevelCol="5"/>
  <cols>
    <col min="1" max="1" width="15.375" style="14" customWidth="1"/>
    <col min="2" max="2" width="10.125" style="6" customWidth="1"/>
    <col min="3" max="5" width="10.125" style="1" customWidth="1"/>
    <col min="6" max="6" width="24.25" style="1" customWidth="1"/>
    <col min="7" max="8" width="15.75" style="2" customWidth="1"/>
    <col min="9" max="9" width="40.375" style="1" customWidth="1"/>
    <col min="10" max="16384" width="8.50833333333333" style="1"/>
  </cols>
  <sheetData>
    <row r="1" ht="28" spans="1:6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>
      <c r="A2" s="14">
        <v>43556</v>
      </c>
      <c r="B2" s="6">
        <v>26.1</v>
      </c>
      <c r="C2" s="1">
        <v>26.1</v>
      </c>
      <c r="D2" s="1">
        <v>11</v>
      </c>
      <c r="F2" s="1" t="s">
        <v>195</v>
      </c>
    </row>
    <row r="3" spans="1:6">
      <c r="A3" s="14">
        <v>43827</v>
      </c>
      <c r="B3" s="6">
        <f>B2+21.6</f>
        <v>47.7</v>
      </c>
      <c r="C3" s="1">
        <v>47.7</v>
      </c>
      <c r="D3" s="1">
        <v>24</v>
      </c>
      <c r="F3" s="1" t="s">
        <v>197</v>
      </c>
    </row>
    <row r="4" spans="1:6">
      <c r="A4" s="14">
        <v>44281</v>
      </c>
      <c r="B4" s="6">
        <f>B3+36.4</f>
        <v>84.1</v>
      </c>
      <c r="C4" s="1">
        <v>84.1</v>
      </c>
      <c r="D4" s="1">
        <v>43</v>
      </c>
      <c r="F4" s="1" t="s">
        <v>196</v>
      </c>
    </row>
    <row r="5" spans="1:6">
      <c r="A5" s="14">
        <v>45618</v>
      </c>
      <c r="B5" s="6">
        <f>B4+12.3</f>
        <v>96.4</v>
      </c>
      <c r="F5" s="1" t="s">
        <v>762</v>
      </c>
    </row>
  </sheetData>
  <pageMargins left="0.7" right="0.7" top="0.75" bottom="0.75" header="0.3" footer="0.3"/>
  <pageSetup paperSize="9" orientation="portrait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F1" sqref="A1:F1"/>
    </sheetView>
  </sheetViews>
  <sheetFormatPr defaultColWidth="8.50833333333333" defaultRowHeight="14" outlineLevelRow="3" outlineLevelCol="5"/>
  <cols>
    <col min="1" max="1" width="15.375" style="14" customWidth="1"/>
    <col min="2" max="2" width="10.125" style="6" customWidth="1"/>
    <col min="3" max="5" width="10.125" style="1" customWidth="1"/>
    <col min="6" max="6" width="24.25" style="1" customWidth="1"/>
    <col min="7" max="8" width="15.75" style="2" customWidth="1"/>
    <col min="9" max="9" width="40.375" style="1" customWidth="1"/>
    <col min="10" max="16384" width="8.50833333333333" style="1"/>
  </cols>
  <sheetData>
    <row r="1" ht="28" spans="1:6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>
      <c r="A2" s="14">
        <v>43639</v>
      </c>
      <c r="B2" s="6">
        <v>25.9</v>
      </c>
      <c r="C2" s="2"/>
      <c r="D2" s="2"/>
      <c r="E2" s="2" t="s">
        <v>64</v>
      </c>
      <c r="F2" s="2"/>
    </row>
    <row r="3" spans="1:6">
      <c r="A3" s="14">
        <v>44104</v>
      </c>
      <c r="B3" s="6">
        <f>B2</f>
        <v>25.9</v>
      </c>
      <c r="C3" s="1">
        <v>25.97</v>
      </c>
      <c r="D3" s="1">
        <v>20</v>
      </c>
      <c r="E3" s="2" t="s">
        <v>64</v>
      </c>
      <c r="F3" s="1" t="s">
        <v>763</v>
      </c>
    </row>
    <row r="4" spans="1:6">
      <c r="A4" s="14">
        <v>45106</v>
      </c>
      <c r="B4" s="6">
        <f>B3+9.1</f>
        <v>35</v>
      </c>
      <c r="C4" s="1">
        <v>35.03</v>
      </c>
      <c r="D4" s="1">
        <v>29</v>
      </c>
      <c r="E4" s="2" t="s">
        <v>71</v>
      </c>
      <c r="F4" s="1">
        <v>2</v>
      </c>
    </row>
  </sheetData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A1" sqref="A1"/>
    </sheetView>
  </sheetViews>
  <sheetFormatPr defaultColWidth="8.50833333333333" defaultRowHeight="14" outlineLevelCol="3"/>
  <cols>
    <col min="1" max="1" width="15.375" style="1" customWidth="1"/>
    <col min="2" max="3" width="10.125" style="1" customWidth="1"/>
    <col min="4" max="4" width="24.25" style="1" customWidth="1"/>
    <col min="5" max="6" width="15.75" style="2" customWidth="1"/>
    <col min="7" max="7" width="40.375" style="1" customWidth="1"/>
    <col min="8" max="16384" width="8.50833333333333" style="1"/>
  </cols>
  <sheetData>
    <row r="1" spans="1:4">
      <c r="A1" s="4">
        <v>44375</v>
      </c>
      <c r="B1" s="1">
        <v>53.99</v>
      </c>
      <c r="C1" s="1">
        <v>44</v>
      </c>
      <c r="D1" s="1">
        <v>2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7"/>
  <sheetViews>
    <sheetView workbookViewId="0">
      <pane ySplit="1" topLeftCell="A2" activePane="bottomLeft" state="frozen"/>
      <selection/>
      <selection pane="bottomLeft" activeCell="B5" sqref="B5"/>
    </sheetView>
  </sheetViews>
  <sheetFormatPr defaultColWidth="8.50833333333333" defaultRowHeight="14"/>
  <cols>
    <col min="1" max="1" width="15.375" style="1" customWidth="1"/>
    <col min="2" max="2" width="10.125" style="6" customWidth="1"/>
    <col min="3" max="5" width="10.125" style="1" customWidth="1"/>
    <col min="6" max="6" width="24.25" style="1" customWidth="1"/>
    <col min="7" max="8" width="15.75" style="7" customWidth="1"/>
    <col min="9" max="9" width="40.375" style="1" customWidth="1"/>
    <col min="10" max="10" width="8.50833333333333" style="1"/>
    <col min="11" max="11" width="8.50833333333333" style="1" customWidth="1"/>
    <col min="12" max="16384" width="8.50833333333333" style="1"/>
  </cols>
  <sheetData>
    <row r="1" ht="28" spans="1:9">
      <c r="A1" s="10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9" t="s">
        <v>6</v>
      </c>
      <c r="H1" s="19" t="s">
        <v>7</v>
      </c>
      <c r="I1" s="19" t="s">
        <v>8</v>
      </c>
    </row>
    <row r="2" spans="1:9">
      <c r="A2" s="3">
        <v>34117</v>
      </c>
      <c r="B2" s="6">
        <v>6</v>
      </c>
      <c r="C2" s="1">
        <v>6.41</v>
      </c>
      <c r="D2" s="1">
        <v>5</v>
      </c>
      <c r="E2" s="1" t="s">
        <v>64</v>
      </c>
      <c r="F2" s="1" t="s">
        <v>244</v>
      </c>
      <c r="G2" s="1"/>
      <c r="I2" s="13" t="s">
        <v>245</v>
      </c>
    </row>
    <row r="3" spans="1:7">
      <c r="A3" s="3">
        <v>34799</v>
      </c>
      <c r="B3" s="6">
        <v>16.1</v>
      </c>
      <c r="C3" s="1">
        <v>16.1</v>
      </c>
      <c r="D3" s="1">
        <v>13</v>
      </c>
      <c r="E3" s="1" t="s">
        <v>64</v>
      </c>
      <c r="F3" s="1" t="s">
        <v>246</v>
      </c>
      <c r="G3" s="1"/>
    </row>
    <row r="4" spans="1:7">
      <c r="A4" s="3">
        <v>35427</v>
      </c>
      <c r="B4" s="6">
        <v>21.1</v>
      </c>
      <c r="C4" s="1">
        <v>21.35</v>
      </c>
      <c r="D4" s="1">
        <v>16</v>
      </c>
      <c r="E4" s="1" t="s">
        <v>64</v>
      </c>
      <c r="F4" s="1" t="s">
        <v>247</v>
      </c>
      <c r="G4" s="1" t="s">
        <v>248</v>
      </c>
    </row>
    <row r="5" spans="1:7">
      <c r="A5" s="3">
        <v>35612</v>
      </c>
      <c r="B5" s="6">
        <v>21.1</v>
      </c>
      <c r="E5" s="1" t="s">
        <v>64</v>
      </c>
      <c r="F5" s="1" t="s">
        <v>249</v>
      </c>
      <c r="G5" s="1"/>
    </row>
    <row r="6" ht="28" spans="1:9">
      <c r="A6" s="3">
        <v>36688</v>
      </c>
      <c r="B6" s="6">
        <v>37.4</v>
      </c>
      <c r="C6" s="1">
        <f>21.35+16.3</f>
        <v>37.65</v>
      </c>
      <c r="D6" s="1">
        <f>16+12</f>
        <v>28</v>
      </c>
      <c r="E6" s="1" t="s">
        <v>71</v>
      </c>
      <c r="F6" s="1" t="s">
        <v>250</v>
      </c>
      <c r="G6" s="1"/>
      <c r="I6" s="1" t="s">
        <v>251</v>
      </c>
    </row>
    <row r="7" ht="28" spans="1:9">
      <c r="A7" s="3">
        <v>36886</v>
      </c>
      <c r="B7" s="1">
        <v>64.8</v>
      </c>
      <c r="C7" s="1">
        <f>21.35+19.1+24.975</f>
        <v>65.425</v>
      </c>
      <c r="D7" s="1">
        <f>16+13+19</f>
        <v>48</v>
      </c>
      <c r="E7" s="1" t="s">
        <v>79</v>
      </c>
      <c r="F7" s="1" t="s">
        <v>252</v>
      </c>
      <c r="G7" s="1"/>
      <c r="I7" s="7"/>
    </row>
    <row r="8" spans="1:9">
      <c r="A8" s="3">
        <v>37621</v>
      </c>
      <c r="B8" s="1"/>
      <c r="E8" s="1" t="s">
        <v>160</v>
      </c>
      <c r="F8" s="1" t="s">
        <v>253</v>
      </c>
      <c r="G8" s="1"/>
      <c r="I8" s="7"/>
    </row>
    <row r="9" ht="28" spans="1:9">
      <c r="A9" s="3">
        <v>37950</v>
      </c>
      <c r="B9" s="6">
        <v>81.4</v>
      </c>
      <c r="C9" s="1">
        <f>21.35+19.1+24.975+17.04</f>
        <v>82.465</v>
      </c>
      <c r="D9" s="1">
        <f>16+13+19+11</f>
        <v>59</v>
      </c>
      <c r="E9" s="1" t="s">
        <v>165</v>
      </c>
      <c r="F9" s="1" t="s">
        <v>254</v>
      </c>
      <c r="G9" s="1"/>
      <c r="I9" s="7" t="s">
        <v>255</v>
      </c>
    </row>
    <row r="10" ht="14.1" customHeight="1" spans="1:7">
      <c r="A10" s="3">
        <v>38349</v>
      </c>
      <c r="B10" s="6">
        <v>93.2</v>
      </c>
      <c r="C10" s="1">
        <f>33.75+19.1+24.975+17.04</f>
        <v>94.865</v>
      </c>
      <c r="D10" s="1">
        <f>25+13+19+11</f>
        <v>68</v>
      </c>
      <c r="E10" s="1" t="s">
        <v>165</v>
      </c>
      <c r="F10" s="1" t="s">
        <v>256</v>
      </c>
      <c r="G10" s="1"/>
    </row>
    <row r="11" ht="28" spans="1:9">
      <c r="A11" s="3">
        <v>38717</v>
      </c>
      <c r="B11" s="6">
        <v>107.8</v>
      </c>
      <c r="C11" s="1">
        <f>33.75+19.1+24.975+15.434+17.04</f>
        <v>110.299</v>
      </c>
      <c r="D11" s="1">
        <f>25+13+19+13+11</f>
        <v>81</v>
      </c>
      <c r="E11" s="1" t="s">
        <v>167</v>
      </c>
      <c r="F11" s="1" t="s">
        <v>257</v>
      </c>
      <c r="G11" s="1"/>
      <c r="I11" s="1" t="s">
        <v>258</v>
      </c>
    </row>
    <row r="12" spans="1:7">
      <c r="A12" s="3">
        <v>39069</v>
      </c>
      <c r="B12" s="6">
        <v>123.5</v>
      </c>
      <c r="C12" s="1">
        <f>33.75+19.1+40.375+15.434+17.04</f>
        <v>125.699</v>
      </c>
      <c r="D12" s="1">
        <f>25+13+29+13+11</f>
        <v>91</v>
      </c>
      <c r="E12" s="1" t="s">
        <v>167</v>
      </c>
      <c r="F12" s="1" t="s">
        <v>259</v>
      </c>
      <c r="G12" s="1"/>
    </row>
    <row r="13" spans="1:7">
      <c r="A13" s="3">
        <v>39081</v>
      </c>
      <c r="B13" s="6">
        <v>129.7</v>
      </c>
      <c r="C13" s="1">
        <f>33.75+25.255+40.375+15.434+17.04</f>
        <v>131.854</v>
      </c>
      <c r="D13" s="1">
        <f>25+17+29+13+11</f>
        <v>95</v>
      </c>
      <c r="E13" s="1" t="s">
        <v>167</v>
      </c>
      <c r="F13" s="1" t="s">
        <v>260</v>
      </c>
      <c r="G13" s="1"/>
    </row>
    <row r="14" spans="1:9">
      <c r="A14" s="3">
        <v>39346</v>
      </c>
      <c r="B14" s="6">
        <v>129.7</v>
      </c>
      <c r="C14" s="1">
        <f>33.75+25.255+40.375+22.032+17.04</f>
        <v>138.452</v>
      </c>
      <c r="D14" s="1">
        <f>25+17+29+17+11</f>
        <v>99</v>
      </c>
      <c r="E14" s="1" t="s">
        <v>167</v>
      </c>
      <c r="F14" s="1" t="s">
        <v>261</v>
      </c>
      <c r="G14" s="1"/>
      <c r="I14" s="1" t="s">
        <v>262</v>
      </c>
    </row>
    <row r="15" ht="56" spans="1:9">
      <c r="A15" s="3">
        <v>39445</v>
      </c>
      <c r="B15" s="1">
        <v>223.6</v>
      </c>
      <c r="C15" s="1">
        <f>37.14+25.255+40.375+22.032+17.04+31.118+22+29</f>
        <v>223.96</v>
      </c>
      <c r="D15" s="1">
        <f>28+17+29+17+11+27+20+12</f>
        <v>161</v>
      </c>
      <c r="E15" s="1" t="s">
        <v>93</v>
      </c>
      <c r="F15" s="1" t="s">
        <v>263</v>
      </c>
      <c r="G15" s="1"/>
      <c r="I15" s="1" t="s">
        <v>264</v>
      </c>
    </row>
    <row r="16" spans="1:9">
      <c r="A16" s="3">
        <v>39810</v>
      </c>
      <c r="B16" s="6">
        <v>225.7</v>
      </c>
      <c r="C16" s="1">
        <f>37.14+25.255+40.375+22.032+17.04+31.118+22+30.687</f>
        <v>225.647</v>
      </c>
      <c r="D16" s="1">
        <f>28+17+29+17+11+27+20+13</f>
        <v>162</v>
      </c>
      <c r="E16" s="1" t="s">
        <v>93</v>
      </c>
      <c r="F16" s="1" t="s">
        <v>265</v>
      </c>
      <c r="G16" s="1"/>
      <c r="I16" s="1" t="s">
        <v>266</v>
      </c>
    </row>
    <row r="17" ht="28" spans="1:7">
      <c r="A17" s="3">
        <v>39999</v>
      </c>
      <c r="B17" s="6">
        <v>241</v>
      </c>
      <c r="C17" s="1">
        <f>37.14+25.255+40.375+22.032+17.04+31.118+36.2+30.687</f>
        <v>239.847</v>
      </c>
      <c r="D17" s="1">
        <f>28+17+29+17+11+27+28+13</f>
        <v>170</v>
      </c>
      <c r="E17" s="1" t="s">
        <v>93</v>
      </c>
      <c r="F17" s="1" t="s">
        <v>267</v>
      </c>
      <c r="G17" s="1"/>
    </row>
    <row r="18" ht="28" spans="1:7">
      <c r="A18" s="3">
        <v>40152</v>
      </c>
      <c r="B18" s="6">
        <v>273.2</v>
      </c>
      <c r="C18" s="1">
        <f>37.14+25.255+40.375+22.032+17.04+31.118+34.38+36.2+30.687</f>
        <v>274.227</v>
      </c>
      <c r="D18" s="1">
        <f>28+17+29+17+11+27+26+28+13</f>
        <v>196</v>
      </c>
      <c r="E18" s="1" t="s">
        <v>268</v>
      </c>
      <c r="F18" s="1" t="s">
        <v>269</v>
      </c>
      <c r="G18" s="1"/>
    </row>
    <row r="19" ht="28" spans="1:9">
      <c r="A19" s="3">
        <v>40178</v>
      </c>
      <c r="B19" s="6">
        <v>321.6</v>
      </c>
      <c r="C19" s="1">
        <f>37.14+25.255+40.375+22.032+17.04+31.118+34.38+36.2+45.187+33.2</f>
        <v>321.927</v>
      </c>
      <c r="D19" s="1">
        <f>28+17+29+17+11+27+26+28+22+16</f>
        <v>221</v>
      </c>
      <c r="E19" s="1" t="s">
        <v>270</v>
      </c>
      <c r="F19" s="1" t="s">
        <v>271</v>
      </c>
      <c r="G19" s="1"/>
      <c r="I19" s="1" t="s">
        <v>272</v>
      </c>
    </row>
    <row r="20" spans="1:9">
      <c r="A20" s="3">
        <v>40233</v>
      </c>
      <c r="B20" s="6">
        <v>325.4</v>
      </c>
      <c r="C20" s="1">
        <f>37.14+28.703+40.375+22.032+17.04+31.118+34.38+36.2+45.187+33.2</f>
        <v>325.375</v>
      </c>
      <c r="D20" s="1">
        <f>28+19+29+17+11+27+26+28+22+16</f>
        <v>223</v>
      </c>
      <c r="E20" s="1" t="s">
        <v>270</v>
      </c>
      <c r="F20" s="1" t="s">
        <v>273</v>
      </c>
      <c r="G20" s="1"/>
      <c r="I20" s="1" t="s">
        <v>274</v>
      </c>
    </row>
    <row r="21" ht="28" spans="1:9">
      <c r="A21" s="3">
        <v>40253</v>
      </c>
      <c r="B21" s="6">
        <v>334.7</v>
      </c>
      <c r="C21" s="1">
        <f>37.14+37.155+40.375+22.032+17.04+31.118+34.38+36.2+45.187+33.2</f>
        <v>333.827</v>
      </c>
      <c r="D21" s="1">
        <f>28+21+29+17+11+27+26+28+22+16</f>
        <v>225</v>
      </c>
      <c r="E21" s="1" t="s">
        <v>270</v>
      </c>
      <c r="F21" s="1" t="s">
        <v>275</v>
      </c>
      <c r="G21" s="1"/>
      <c r="I21" s="1" t="s">
        <v>276</v>
      </c>
    </row>
    <row r="22" ht="28" spans="1:9">
      <c r="A22" s="3">
        <v>40266</v>
      </c>
      <c r="B22" s="6">
        <v>347.5</v>
      </c>
      <c r="C22" s="1">
        <f>37.14+37.155+40.375+22.032+17.04+31.118+34.38+36.2+45.187+45.831</f>
        <v>346.458</v>
      </c>
      <c r="D22" s="1">
        <f>28+21+29+17+11+27+26+28+22+19</f>
        <v>228</v>
      </c>
      <c r="E22" s="1" t="s">
        <v>270</v>
      </c>
      <c r="F22" s="1" t="s">
        <v>277</v>
      </c>
      <c r="G22" s="1"/>
      <c r="I22" s="1" t="s">
        <v>278</v>
      </c>
    </row>
    <row r="23" spans="1:9">
      <c r="A23" s="3">
        <v>40275</v>
      </c>
      <c r="B23" s="6">
        <v>350</v>
      </c>
      <c r="C23" s="1">
        <f>37.14+37.155+40.375+22.032+17.04+31.118+34.38+36.2+47.622+45.831</f>
        <v>348.893</v>
      </c>
      <c r="D23" s="1">
        <f>28+21+29+17+11+27+26+28+23+19</f>
        <v>229</v>
      </c>
      <c r="E23" s="1" t="s">
        <v>270</v>
      </c>
      <c r="F23" s="1" t="s">
        <v>279</v>
      </c>
      <c r="G23" s="1"/>
      <c r="I23" s="1" t="s">
        <v>280</v>
      </c>
    </row>
    <row r="24" spans="1:9">
      <c r="A24" s="3">
        <v>40276</v>
      </c>
      <c r="B24" s="6">
        <v>375.6</v>
      </c>
      <c r="C24" s="1">
        <f>37.14+61.062+40.375+22.032+17.04+31.118+34.38+36.2+47.622+45.831</f>
        <v>372.8</v>
      </c>
      <c r="D24" s="1">
        <f>28+29+29+17+11+27+26+28+23+19</f>
        <v>237</v>
      </c>
      <c r="E24" s="1" t="s">
        <v>270</v>
      </c>
      <c r="F24" s="1" t="s">
        <v>281</v>
      </c>
      <c r="G24" s="1"/>
      <c r="I24" s="1" t="s">
        <v>282</v>
      </c>
    </row>
    <row r="25" spans="1:9">
      <c r="A25" s="3">
        <v>40278</v>
      </c>
      <c r="B25" s="6">
        <v>405.4</v>
      </c>
      <c r="C25" s="1">
        <f>37.14+61.062+40.375+22.032+17.04+31.118+34.38+36.2+47.622+29.419+45.831</f>
        <v>402.219</v>
      </c>
      <c r="D25" s="1">
        <f>28+29+29+17+11+27+26+28+23+27+19</f>
        <v>264</v>
      </c>
      <c r="E25" s="1" t="s">
        <v>283</v>
      </c>
      <c r="F25" s="1" t="s">
        <v>284</v>
      </c>
      <c r="G25" s="1"/>
      <c r="I25" s="1" t="s">
        <v>285</v>
      </c>
    </row>
    <row r="26" ht="28" spans="1:9">
      <c r="A26" s="3">
        <v>40288</v>
      </c>
      <c r="B26" s="33">
        <f>405.4+3.2</f>
        <v>408.6</v>
      </c>
      <c r="C26" s="1">
        <f>37.14+61.062+40.375+22.032+17.04+31.118+34.38+36.2+47.622+29.419+45.831</f>
        <v>402.219</v>
      </c>
      <c r="D26" s="1">
        <f>28+29+29+17+11+27+27+28+23+27+19</f>
        <v>265</v>
      </c>
      <c r="E26" s="1" t="s">
        <v>286</v>
      </c>
      <c r="F26" s="1" t="s">
        <v>287</v>
      </c>
      <c r="G26" s="1"/>
      <c r="I26" s="18" t="s">
        <v>288</v>
      </c>
    </row>
    <row r="27" spans="1:7">
      <c r="A27" s="3">
        <v>40360</v>
      </c>
      <c r="B27" s="33">
        <f>405.4+3.2</f>
        <v>408.6</v>
      </c>
      <c r="C27" s="1">
        <f>37.14+61.062+40.375+22.032+17.04+31.118+34.38+36.2+47.622+29.419+45.831</f>
        <v>402.219</v>
      </c>
      <c r="D27" s="1">
        <f>28+30+29+17+11+27+27+28+23+27+19</f>
        <v>266</v>
      </c>
      <c r="E27" s="1" t="s">
        <v>286</v>
      </c>
      <c r="F27" s="1" t="s">
        <v>289</v>
      </c>
      <c r="G27" s="1"/>
    </row>
    <row r="28" spans="1:9">
      <c r="A28" s="3">
        <v>40512</v>
      </c>
      <c r="B28" s="6">
        <v>411.8</v>
      </c>
      <c r="C28" s="1">
        <f>37.14+61.062+40.375+22.032+17.04+31.118+34.38+36.2+47.622+35.401+45.831</f>
        <v>408.201</v>
      </c>
      <c r="D28" s="1">
        <f>28+30+29+17+11+27+27+28+23+31+19</f>
        <v>270</v>
      </c>
      <c r="E28" s="1" t="s">
        <v>283</v>
      </c>
      <c r="F28" s="1" t="s">
        <v>290</v>
      </c>
      <c r="G28" s="1"/>
      <c r="I28" s="1" t="s">
        <v>291</v>
      </c>
    </row>
    <row r="29" ht="28" spans="1:9">
      <c r="A29" s="3">
        <v>40540</v>
      </c>
      <c r="B29" s="6">
        <v>423.9</v>
      </c>
      <c r="C29" s="1">
        <f>37.14+61.062+40.375+22.032+17.04+31.118+44.366+36.2+47.622+35.401+45.831</f>
        <v>418.187</v>
      </c>
      <c r="D29" s="1">
        <f>28+30+29+17+11+27+30+28+23+31+19</f>
        <v>273</v>
      </c>
      <c r="E29" s="1" t="s">
        <v>283</v>
      </c>
      <c r="F29" s="1" t="s">
        <v>292</v>
      </c>
      <c r="G29" s="1"/>
      <c r="I29" s="1" t="s">
        <v>293</v>
      </c>
    </row>
    <row r="30" ht="28" spans="1:9">
      <c r="A30" s="3">
        <v>40645</v>
      </c>
      <c r="B30" s="6">
        <v>425.9</v>
      </c>
      <c r="C30" s="1">
        <f>37.14+61.062+40.375+22.032+17.04+33.09+44.366+36.2+47.622+35.401+45.831</f>
        <v>420.159</v>
      </c>
      <c r="D30" s="1">
        <f>28+30+29+17+11+28+30+29+23+31+19</f>
        <v>275</v>
      </c>
      <c r="E30" s="1" t="s">
        <v>283</v>
      </c>
      <c r="F30" s="1" t="s">
        <v>294</v>
      </c>
      <c r="G30" s="1"/>
      <c r="I30" s="1" t="s">
        <v>295</v>
      </c>
    </row>
    <row r="31" spans="1:7">
      <c r="A31" s="3">
        <v>40659</v>
      </c>
      <c r="B31" s="6">
        <v>425.9</v>
      </c>
      <c r="C31" s="1">
        <f>37.14+61.062+40.375+22.032+17.04+33.09+44.366+36.2+47.622+35.401+45.831</f>
        <v>420.159</v>
      </c>
      <c r="D31" s="1">
        <f>28+30+29+17+11+28+30+29+23+31+20</f>
        <v>276</v>
      </c>
      <c r="E31" s="1" t="s">
        <v>283</v>
      </c>
      <c r="F31" s="1" t="s">
        <v>296</v>
      </c>
      <c r="G31" s="1"/>
    </row>
    <row r="32" spans="1:7">
      <c r="A32" s="3">
        <v>40724</v>
      </c>
      <c r="B32" s="6">
        <v>425.9</v>
      </c>
      <c r="C32" s="1">
        <f>37.14+61.062+40.375+22.032+17.04+33.09+44.366+36.2+47.622+35.401+45.831</f>
        <v>420.159</v>
      </c>
      <c r="D32" s="1">
        <f>28+30+29+17+11+28+32+29+23+31+20</f>
        <v>278</v>
      </c>
      <c r="E32" s="1" t="s">
        <v>283</v>
      </c>
      <c r="F32" s="1" t="s">
        <v>297</v>
      </c>
      <c r="G32" s="1"/>
    </row>
    <row r="33" spans="1:7">
      <c r="A33" s="3">
        <v>41180</v>
      </c>
      <c r="B33" s="6">
        <v>425.9</v>
      </c>
      <c r="C33" s="1">
        <f>37.14+61.062+40.375+22.032+17.04+33.09+44.366+36.2+47.622+35.401+45.831</f>
        <v>420.159</v>
      </c>
      <c r="D33" s="1">
        <f>28+30+29+17+11+28+32+30+23+31+20</f>
        <v>279</v>
      </c>
      <c r="E33" s="1" t="s">
        <v>283</v>
      </c>
      <c r="F33" s="1" t="s">
        <v>298</v>
      </c>
      <c r="G33" s="1"/>
    </row>
    <row r="34" spans="1:7">
      <c r="A34" s="3">
        <v>41271</v>
      </c>
      <c r="B34" s="6">
        <v>430.4</v>
      </c>
      <c r="C34" s="21">
        <f>37.14+61.062+40.375+22.032+17.04+33.09+44.366+36.2+53.122+35.401+45.831+9.4</f>
        <v>435.059</v>
      </c>
      <c r="D34" s="21">
        <f>28+30+29+17+11+28+32+30+26+31+20+5</f>
        <v>287</v>
      </c>
      <c r="E34" s="1" t="s">
        <v>283</v>
      </c>
      <c r="F34" s="1" t="s">
        <v>299</v>
      </c>
      <c r="G34" s="1"/>
    </row>
    <row r="35" ht="28" spans="1:7">
      <c r="A35" s="3">
        <v>41273</v>
      </c>
      <c r="B35" s="6">
        <v>439.4</v>
      </c>
      <c r="C35" s="34"/>
      <c r="D35" s="34"/>
      <c r="E35" s="1" t="s">
        <v>95</v>
      </c>
      <c r="F35" s="1" t="s">
        <v>300</v>
      </c>
      <c r="G35" s="1"/>
    </row>
    <row r="36" spans="1:7">
      <c r="A36" s="3">
        <v>41440</v>
      </c>
      <c r="B36" s="6">
        <v>439.4</v>
      </c>
      <c r="C36" s="1">
        <f>37.14+61.062+40.375+22.032+17.04+33.09+44.366+36.2+53.122+35.401+45.831+9.4</f>
        <v>435.059</v>
      </c>
      <c r="D36" s="1">
        <f>28+30+29+17+11+28+32+30+26+31+20+6</f>
        <v>288</v>
      </c>
      <c r="E36" s="1" t="s">
        <v>95</v>
      </c>
      <c r="F36" s="1" t="s">
        <v>301</v>
      </c>
      <c r="G36" s="1"/>
    </row>
    <row r="37" spans="1:7">
      <c r="A37" s="3">
        <v>41517</v>
      </c>
      <c r="B37" s="6">
        <v>461.2</v>
      </c>
      <c r="C37" s="1">
        <f>37.14+61.062+40.375+22.032+17.04+33.09+44.366+36.2+53.122+35.401+67.331+9.4</f>
        <v>456.559</v>
      </c>
      <c r="D37" s="1">
        <f>28+30+29+17+11+28+32+30+26+31+32+6</f>
        <v>300</v>
      </c>
      <c r="E37" s="1" t="s">
        <v>95</v>
      </c>
      <c r="F37" s="1" t="s">
        <v>302</v>
      </c>
      <c r="G37" s="1"/>
    </row>
    <row r="38" spans="1:9">
      <c r="A38" s="3">
        <v>41563</v>
      </c>
      <c r="B38" s="6">
        <v>466.8</v>
      </c>
      <c r="C38" s="1">
        <f>37.14+61.062+40.375+22.032+17.04+33.09+44.366+36.2+53.122+35.401+73.027+9.4</f>
        <v>462.255</v>
      </c>
      <c r="D38" s="1">
        <f>28+30+29+17+11+28+32+30+26+31+35+6</f>
        <v>303</v>
      </c>
      <c r="E38" s="1" t="s">
        <v>95</v>
      </c>
      <c r="F38" s="1" t="s">
        <v>303</v>
      </c>
      <c r="G38" s="1"/>
      <c r="I38" s="1" t="s">
        <v>304</v>
      </c>
    </row>
    <row r="39" ht="28" spans="1:9">
      <c r="A39" s="3">
        <v>41637</v>
      </c>
      <c r="B39" s="6">
        <v>536.1</v>
      </c>
      <c r="C39" s="1">
        <f>37.14+61.062+40.375+22.032+17.04+33.09+44.366+36.2+53.122+35.401+73.027+17.915+9.4+50.76</f>
        <v>530.93</v>
      </c>
      <c r="D39" s="1">
        <f>28+30+29+17+11+28+32+30+26+31+35+15+6+11</f>
        <v>329</v>
      </c>
      <c r="E39" s="1" t="s">
        <v>101</v>
      </c>
      <c r="F39" s="1" t="s">
        <v>305</v>
      </c>
      <c r="G39" s="1"/>
      <c r="I39" s="1" t="s">
        <v>306</v>
      </c>
    </row>
    <row r="40" spans="1:7">
      <c r="A40" s="3">
        <v>41769</v>
      </c>
      <c r="B40" s="6">
        <v>537.1</v>
      </c>
      <c r="C40" s="1">
        <f>37.14+61.062+40.375+22.032+17.04+33.09+44.366+36.2+53.122+35.401+73.027+18.953+9.4+50.76</f>
        <v>531.968</v>
      </c>
      <c r="D40" s="1">
        <f>28+30+29+17+11+28+32+30+26+31+35+16+6+11</f>
        <v>330</v>
      </c>
      <c r="E40" s="1" t="s">
        <v>101</v>
      </c>
      <c r="F40" s="1" t="s">
        <v>307</v>
      </c>
      <c r="G40" s="1"/>
    </row>
    <row r="41" spans="1:7">
      <c r="A41" s="3">
        <v>41842</v>
      </c>
      <c r="B41" s="6">
        <v>537.1</v>
      </c>
      <c r="C41" s="1">
        <f>37.14+61.062+40.375+22.032+17.04+33.09+44.366+36.2+53.122+35.401+73.027+18.953+9.4+50.76</f>
        <v>531.968</v>
      </c>
      <c r="D41" s="1">
        <f>28+30+29+17+11+28+33+30+26+31+35+16+6+11</f>
        <v>331</v>
      </c>
      <c r="E41" s="1" t="s">
        <v>101</v>
      </c>
      <c r="F41" s="1" t="s">
        <v>308</v>
      </c>
      <c r="G41" s="1"/>
    </row>
    <row r="42" spans="1:7">
      <c r="A42" s="3">
        <v>41944</v>
      </c>
      <c r="B42" s="6">
        <v>537.1</v>
      </c>
      <c r="C42" s="1">
        <f>37.14+61.062+40.375+22.032+17.04+33.09+44.366+36.2+53.122+35.401+73.027+18.953+9.4+50.76</f>
        <v>531.968</v>
      </c>
      <c r="D42" s="1">
        <f>28+30+29+17+11+28+33+30+26+31+35+16+7+11</f>
        <v>332</v>
      </c>
      <c r="E42" s="1" t="s">
        <v>101</v>
      </c>
      <c r="F42" s="1" t="s">
        <v>309</v>
      </c>
      <c r="G42" s="1"/>
    </row>
    <row r="43" ht="28" spans="1:9">
      <c r="A43" s="3">
        <v>42001</v>
      </c>
      <c r="B43" s="6">
        <v>547.9</v>
      </c>
      <c r="C43" s="1">
        <f>37.14+61.062+40.375+22.032+17.04+33.09+44.366+36.2+53.122+35.401+73.027+18.953+12.54+58.962</f>
        <v>543.31</v>
      </c>
      <c r="D43" s="1">
        <f>28+30+29+17+11+28+33+30+26+31+35+16+10+13</f>
        <v>337</v>
      </c>
      <c r="E43" s="1" t="s">
        <v>101</v>
      </c>
      <c r="F43" s="1" t="s">
        <v>310</v>
      </c>
      <c r="G43" s="1"/>
      <c r="I43" s="1" t="s">
        <v>311</v>
      </c>
    </row>
    <row r="44" ht="42" spans="1:9">
      <c r="A44" s="3">
        <v>42357</v>
      </c>
      <c r="B44" s="6">
        <v>583.9</v>
      </c>
      <c r="C44" s="1">
        <f>37.14+61.062+40.375+22.032+17.04+33.09+44.366+36.2+53.122+35.401+77.125+40.417+22.32+58.962</f>
        <v>578.652</v>
      </c>
      <c r="D44" s="1">
        <f>28+30+29+17+11+28+33+30+26+31+37+32+19+13</f>
        <v>364</v>
      </c>
      <c r="E44" s="1" t="s">
        <v>101</v>
      </c>
      <c r="F44" s="1" t="s">
        <v>312</v>
      </c>
      <c r="G44" s="1"/>
      <c r="I44" s="1" t="s">
        <v>313</v>
      </c>
    </row>
    <row r="45" spans="1:9">
      <c r="A45" s="3">
        <v>42486</v>
      </c>
      <c r="B45" s="6">
        <v>589.1</v>
      </c>
      <c r="C45" s="1">
        <f>37.14+61.062+40.375+22.032+17.04+33.09+44.366+36.2+53.122+35.401+82.386+40.417+22.32+58.962</f>
        <v>583.913</v>
      </c>
      <c r="D45" s="1">
        <f>28+30+29+17+11+28+33+30+26+31+38+32+19+13</f>
        <v>365</v>
      </c>
      <c r="E45" s="1" t="s">
        <v>101</v>
      </c>
      <c r="F45" s="1" t="s">
        <v>314</v>
      </c>
      <c r="G45" s="1"/>
      <c r="I45" s="1" t="s">
        <v>315</v>
      </c>
    </row>
    <row r="46" ht="28" spans="1:9">
      <c r="A46" s="3">
        <v>43099</v>
      </c>
      <c r="B46" s="6">
        <v>638.2</v>
      </c>
      <c r="C46" s="1">
        <f>37.14+61.062+40.375+22.032+17.04+33.09+44.366+36.2+64.4+35.401+82.386+40.417+22.32+58.962+35.341</f>
        <v>630.532</v>
      </c>
      <c r="D46" s="1">
        <f>28+30+29+17+11+28+33+30+35+31+38+32+19+13+13</f>
        <v>387</v>
      </c>
      <c r="E46" s="1" t="s">
        <v>316</v>
      </c>
      <c r="F46" s="1" t="s">
        <v>317</v>
      </c>
      <c r="G46" s="1"/>
      <c r="I46" s="1" t="s">
        <v>318</v>
      </c>
    </row>
    <row r="47" spans="1:9">
      <c r="A47" s="3">
        <v>43190</v>
      </c>
      <c r="B47" s="6">
        <v>644.9</v>
      </c>
      <c r="C47" s="1">
        <f>37.14+61.062+40.375+22.032+17.04+33.09+44.366+36.2+64.4+35.401+82.386+40.417+22.32+58.962+35.341+6.689</f>
        <v>637.221</v>
      </c>
      <c r="D47" s="1">
        <f>28+30+29+17+11+28+33+30+35+31+38+32+19+13+13+6</f>
        <v>393</v>
      </c>
      <c r="E47" s="1" t="s">
        <v>319</v>
      </c>
      <c r="F47" s="1" t="s">
        <v>320</v>
      </c>
      <c r="G47" s="1"/>
      <c r="I47" s="1" t="s">
        <v>321</v>
      </c>
    </row>
    <row r="48" ht="28" spans="1:9">
      <c r="A48" s="3">
        <v>43464</v>
      </c>
      <c r="B48" s="6">
        <v>677.1</v>
      </c>
      <c r="C48" s="1">
        <f>37.14+61.062+40.375+22.032+37.376+33.09+44.366+36.2+64.4+35.401+82.386+40.417+38.83+58.962+35.341+6.689</f>
        <v>674.067</v>
      </c>
      <c r="D48" s="1">
        <f>28+30+29+17+19+28+33+30+35+31+38+32+31+13+13+6</f>
        <v>413</v>
      </c>
      <c r="E48" s="1" t="s">
        <v>319</v>
      </c>
      <c r="F48" s="1" t="s">
        <v>322</v>
      </c>
      <c r="G48" s="1"/>
      <c r="I48" s="1" t="s">
        <v>323</v>
      </c>
    </row>
    <row r="49" spans="1:7">
      <c r="A49" s="3">
        <v>44068</v>
      </c>
      <c r="B49" s="6">
        <v>677.1</v>
      </c>
      <c r="C49" s="1">
        <f>37.14+61.062+40.375+22.032+37.376+33.09+44.366+36.2+64.4+35.401+82.386+40.417+38.83+58.962+35.341+6.689</f>
        <v>674.067</v>
      </c>
      <c r="D49" s="1">
        <f>28+30+29+17+19+28+33+30+35+31+39+32+31+13+13+6</f>
        <v>414</v>
      </c>
      <c r="E49" s="1" t="s">
        <v>319</v>
      </c>
      <c r="F49" s="1" t="s">
        <v>324</v>
      </c>
      <c r="G49" s="1"/>
    </row>
    <row r="50" ht="28" spans="1:9">
      <c r="A50" s="3">
        <v>44191</v>
      </c>
      <c r="B50" s="6">
        <v>701.4</v>
      </c>
      <c r="C50" s="1">
        <f>37.14+61.062+40.375+22.032+37.376+33.09+44.366+36.2+64.4+46.301+82.386+40.417+38.83+58.962+35.341+14.5+6.689</f>
        <v>699.467</v>
      </c>
      <c r="D50" s="1">
        <f>28+30+29+17+19+28+33+30+35+37+39+32+31+13+13+8+6</f>
        <v>428</v>
      </c>
      <c r="E50" s="1" t="s">
        <v>325</v>
      </c>
      <c r="F50" s="1" t="s">
        <v>326</v>
      </c>
      <c r="G50" s="1"/>
      <c r="I50" s="1" t="s">
        <v>327</v>
      </c>
    </row>
    <row r="51" ht="28" spans="1:9">
      <c r="A51" s="3">
        <v>44219</v>
      </c>
      <c r="B51" s="6">
        <v>743.7</v>
      </c>
      <c r="C51" s="1">
        <f>37.14+61.062+40.375+22.032+37.376+33.09+44.366+36.2+64.4+46.301+82.386+40.417+38.83+42.3+58.962+35.341+14.5+6.689</f>
        <v>741.767</v>
      </c>
      <c r="D51" s="1">
        <f>28+30+29+17+19+28+33+30+35+37+39+32+31+29+13+13+8+6</f>
        <v>457</v>
      </c>
      <c r="E51" s="1" t="s">
        <v>328</v>
      </c>
      <c r="F51" s="1" t="s">
        <v>329</v>
      </c>
      <c r="G51" s="18"/>
      <c r="I51" s="1" t="s">
        <v>330</v>
      </c>
    </row>
    <row r="52" spans="1:6">
      <c r="A52" s="3">
        <v>44374</v>
      </c>
      <c r="B52" s="6">
        <v>743.7</v>
      </c>
      <c r="C52" s="1">
        <f>37.14+61.062+40.375+22.032+37.376+33.09+44.366+36.2+64.4+46.301+82.386+40.417+38.83+42.3+58.962+35.341+14.5+6.689</f>
        <v>741.767</v>
      </c>
      <c r="D52" s="1">
        <f>28+30+29+17+19+28+33+30+35+37+39+32+31+30+13+13+8+6</f>
        <v>458</v>
      </c>
      <c r="E52" s="1" t="s">
        <v>328</v>
      </c>
      <c r="F52" s="1" t="s">
        <v>331</v>
      </c>
    </row>
    <row r="53" spans="1:6">
      <c r="A53" s="3">
        <v>44560</v>
      </c>
      <c r="B53" s="6">
        <v>804</v>
      </c>
      <c r="C53" s="1">
        <v>800.59</v>
      </c>
      <c r="E53" s="1" t="s">
        <v>332</v>
      </c>
      <c r="F53" s="1" t="s">
        <v>333</v>
      </c>
    </row>
    <row r="54" spans="1:6">
      <c r="A54" s="3">
        <v>45626</v>
      </c>
      <c r="B54" s="6">
        <v>810.6</v>
      </c>
      <c r="E54" s="1" t="s">
        <v>332</v>
      </c>
      <c r="F54" s="1" t="s">
        <v>334</v>
      </c>
    </row>
    <row r="55" spans="1:9">
      <c r="A55" s="3">
        <v>45653</v>
      </c>
      <c r="E55" s="1" t="s">
        <v>335</v>
      </c>
      <c r="F55" s="1">
        <v>51</v>
      </c>
      <c r="I55" s="1" t="s">
        <v>336</v>
      </c>
    </row>
    <row r="56" spans="1:6">
      <c r="A56" s="3" t="s">
        <v>337</v>
      </c>
      <c r="B56" s="6">
        <v>817.2</v>
      </c>
      <c r="E56" s="1" t="s">
        <v>335</v>
      </c>
      <c r="F56" s="1" t="s">
        <v>338</v>
      </c>
    </row>
    <row r="57" spans="1:1">
      <c r="A57" s="3"/>
    </row>
  </sheetData>
  <mergeCells count="2">
    <mergeCell ref="C34:C35"/>
    <mergeCell ref="D34:D35"/>
  </mergeCells>
  <pageMargins left="0.7" right="0.7" top="0.75" bottom="0.75" header="0.3" footer="0.3"/>
  <pageSetup paperSize="9" orientation="portrait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D11" sqref="D11"/>
    </sheetView>
  </sheetViews>
  <sheetFormatPr defaultColWidth="8.50833333333333" defaultRowHeight="14" outlineLevelRow="4" outlineLevelCol="5"/>
  <cols>
    <col min="1" max="1" width="15.375" style="14" customWidth="1"/>
    <col min="2" max="2" width="10.125" style="6" customWidth="1"/>
    <col min="3" max="5" width="10.125" style="1" customWidth="1"/>
    <col min="6" max="6" width="24.25" style="1" customWidth="1"/>
    <col min="7" max="8" width="15.75" style="2" customWidth="1"/>
    <col min="9" max="9" width="40.375" style="1" customWidth="1"/>
    <col min="10" max="16384" width="8.50833333333333" style="1"/>
  </cols>
  <sheetData>
    <row r="1" ht="28" spans="1:6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>
      <c r="A2" s="14">
        <v>43736</v>
      </c>
      <c r="B2" s="6">
        <v>22</v>
      </c>
      <c r="E2" s="1" t="s">
        <v>64</v>
      </c>
      <c r="F2" s="1">
        <v>1</v>
      </c>
    </row>
    <row r="3" spans="1:6">
      <c r="A3" s="14">
        <v>44163</v>
      </c>
      <c r="B3" s="6">
        <f>B2+24.2</f>
        <v>46.2</v>
      </c>
      <c r="F3" s="1">
        <v>2</v>
      </c>
    </row>
    <row r="4" spans="1:6">
      <c r="A4" s="14">
        <v>44375</v>
      </c>
      <c r="B4" s="6">
        <f>B3+18.1</f>
        <v>64.3</v>
      </c>
      <c r="C4" s="1">
        <v>64.42</v>
      </c>
      <c r="D4" s="1">
        <v>54</v>
      </c>
      <c r="F4" s="1">
        <v>3</v>
      </c>
    </row>
    <row r="5" spans="1:6">
      <c r="A5" s="14">
        <v>45629</v>
      </c>
      <c r="B5" s="6">
        <f>B4+8.1</f>
        <v>72.4</v>
      </c>
      <c r="F5" s="1">
        <v>3</v>
      </c>
    </row>
  </sheetData>
  <pageMargins left="0.7" right="0.7" top="0.75" bottom="0.75" header="0.3" footer="0.3"/>
  <pageSetup paperSize="9" orientation="portrait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A1" sqref="A1"/>
    </sheetView>
  </sheetViews>
  <sheetFormatPr defaultColWidth="8.50833333333333" defaultRowHeight="14" outlineLevelRow="1" outlineLevelCol="6"/>
  <cols>
    <col min="1" max="1" width="15.375" style="1" customWidth="1"/>
    <col min="2" max="3" width="10.125" style="1" customWidth="1"/>
    <col min="4" max="4" width="24.25" style="1" customWidth="1"/>
    <col min="5" max="6" width="15.75" style="2" customWidth="1"/>
    <col min="7" max="7" width="40.375" style="1" customWidth="1"/>
    <col min="8" max="16384" width="8.50833333333333" style="1"/>
  </cols>
  <sheetData>
    <row r="1" spans="1:7">
      <c r="A1" s="3">
        <v>43809</v>
      </c>
      <c r="B1" s="1">
        <v>9.3</v>
      </c>
      <c r="C1" s="1">
        <v>11</v>
      </c>
      <c r="D1" s="1" t="s">
        <v>764</v>
      </c>
      <c r="G1" s="1" t="s">
        <v>765</v>
      </c>
    </row>
    <row r="2" spans="1:3">
      <c r="A2" s="3">
        <v>45268</v>
      </c>
      <c r="B2" s="1">
        <v>12.7</v>
      </c>
      <c r="C2" s="1">
        <v>12</v>
      </c>
    </row>
  </sheetData>
  <pageMargins left="0.7" right="0.7" top="0.75" bottom="0.75" header="0.3" footer="0.3"/>
  <pageSetup paperSize="9" orientation="portrait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1" sqref="A1"/>
    </sheetView>
  </sheetViews>
  <sheetFormatPr defaultColWidth="8.50833333333333" defaultRowHeight="14" outlineLevelRow="1" outlineLevelCol="3"/>
  <cols>
    <col min="1" max="1" width="15.375" style="1" customWidth="1"/>
    <col min="2" max="3" width="10.125" style="1" customWidth="1"/>
    <col min="4" max="4" width="24.25" style="1" customWidth="1"/>
    <col min="5" max="6" width="15.75" style="2" customWidth="1"/>
    <col min="7" max="7" width="40.375" style="1" customWidth="1"/>
    <col min="8" max="16384" width="8.50833333333333" style="1"/>
  </cols>
  <sheetData>
    <row r="1" spans="1:4">
      <c r="A1" s="3">
        <v>43828</v>
      </c>
      <c r="B1" s="1">
        <v>21.719</v>
      </c>
      <c r="C1" s="1">
        <v>20</v>
      </c>
      <c r="D1" s="1">
        <v>1</v>
      </c>
    </row>
    <row r="2" spans="1:4">
      <c r="A2" s="3">
        <v>44105</v>
      </c>
      <c r="B2" s="1">
        <v>49.03</v>
      </c>
      <c r="C2" s="1">
        <v>44</v>
      </c>
      <c r="D2" s="1">
        <v>2</v>
      </c>
    </row>
  </sheetData>
  <pageMargins left="0.7" right="0.7" top="0.75" bottom="0.75" header="0.3" footer="0.3"/>
  <pageSetup paperSize="9" orientation="portrait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1" sqref="A1"/>
    </sheetView>
  </sheetViews>
  <sheetFormatPr defaultColWidth="8.50833333333333" defaultRowHeight="14" outlineLevelRow="1" outlineLevelCol="3"/>
  <cols>
    <col min="1" max="1" width="15.375" style="1" customWidth="1"/>
    <col min="2" max="3" width="10.125" style="1" customWidth="1"/>
    <col min="4" max="4" width="24.25" style="1" customWidth="1"/>
    <col min="5" max="6" width="15.75" style="2" customWidth="1"/>
    <col min="7" max="7" width="40.375" style="1" customWidth="1"/>
    <col min="8" max="16384" width="8.50833333333333" style="1"/>
  </cols>
  <sheetData>
    <row r="1" spans="1:4">
      <c r="A1" s="3">
        <v>44191</v>
      </c>
      <c r="B1" s="1">
        <v>23.647</v>
      </c>
      <c r="C1" s="1">
        <v>23</v>
      </c>
      <c r="D1" s="1" t="s">
        <v>196</v>
      </c>
    </row>
    <row r="2" spans="1:1">
      <c r="A2" s="3"/>
    </row>
  </sheetData>
  <pageMargins left="0.7" right="0.7" top="0.75" bottom="0.75" header="0.3" footer="0.3"/>
  <pageSetup paperSize="9" orientation="portrait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A1" sqref="A1"/>
    </sheetView>
  </sheetViews>
  <sheetFormatPr defaultColWidth="8.50833333333333" defaultRowHeight="14" outlineLevelRow="1" outlineLevelCol="6"/>
  <cols>
    <col min="1" max="1" width="15.375" style="1" customWidth="1"/>
    <col min="2" max="3" width="10.125" style="1" customWidth="1"/>
    <col min="4" max="4" width="24.25" style="1" customWidth="1"/>
    <col min="5" max="6" width="15.75" style="2" customWidth="1"/>
    <col min="7" max="7" width="40.375" style="1" customWidth="1"/>
    <col min="8" max="16384" width="8.50833333333333" style="1"/>
  </cols>
  <sheetData>
    <row r="1" spans="1:4">
      <c r="A1" s="3">
        <v>44283</v>
      </c>
      <c r="B1" s="1">
        <v>25.34</v>
      </c>
      <c r="C1" s="1">
        <v>19</v>
      </c>
      <c r="D1" s="1" t="s">
        <v>195</v>
      </c>
    </row>
    <row r="2" spans="1:7">
      <c r="A2" s="3">
        <v>44556</v>
      </c>
      <c r="B2" s="1">
        <v>43.56</v>
      </c>
      <c r="C2" s="1">
        <v>34</v>
      </c>
      <c r="D2" s="1" t="s">
        <v>196</v>
      </c>
      <c r="G2" s="13" t="s">
        <v>766</v>
      </c>
    </row>
  </sheetData>
  <pageMargins left="0.7" right="0.7" top="0.75" bottom="0.75" header="0.3" footer="0.3"/>
  <pageSetup paperSize="9" orientation="portrait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4"/>
  <sheetViews>
    <sheetView workbookViewId="0">
      <selection activeCell="A1" sqref="A1"/>
    </sheetView>
  </sheetViews>
  <sheetFormatPr defaultColWidth="8.50833333333333" defaultRowHeight="14" outlineLevelRow="3" outlineLevelCol="3"/>
  <cols>
    <col min="1" max="1" width="15.375" style="1" customWidth="1"/>
    <col min="2" max="3" width="10.125" style="1" customWidth="1"/>
    <col min="4" max="4" width="24.25" style="1" customWidth="1"/>
    <col min="5" max="6" width="15.75" style="2" customWidth="1"/>
    <col min="7" max="7" width="40.375" style="1" customWidth="1"/>
    <col min="8" max="16384" width="8.50833333333333" style="1"/>
  </cols>
  <sheetData>
    <row r="2" spans="1:4">
      <c r="A2" s="3">
        <v>44151</v>
      </c>
      <c r="B2" s="1">
        <v>16.71</v>
      </c>
      <c r="C2" s="1">
        <v>18</v>
      </c>
      <c r="D2" s="1" t="s">
        <v>767</v>
      </c>
    </row>
    <row r="3" spans="1:4">
      <c r="A3" s="3">
        <v>44311</v>
      </c>
      <c r="B3" s="1">
        <v>16.71</v>
      </c>
      <c r="C3" s="1">
        <v>18</v>
      </c>
      <c r="D3" s="1" t="s">
        <v>768</v>
      </c>
    </row>
    <row r="4" spans="1:1">
      <c r="A4" s="3"/>
    </row>
  </sheetData>
  <pageMargins left="0.7" right="0.7" top="0.75" bottom="0.75" header="0.3" footer="0.3"/>
  <pageSetup paperSize="9" orientation="portrait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1" sqref="A1"/>
    </sheetView>
  </sheetViews>
  <sheetFormatPr defaultColWidth="8.50833333333333" defaultRowHeight="14" outlineLevelRow="1" outlineLevelCol="3"/>
  <cols>
    <col min="1" max="1" width="15.375" style="1" customWidth="1"/>
    <col min="2" max="3" width="10.125" style="1" customWidth="1"/>
    <col min="4" max="4" width="24.25" style="1" customWidth="1"/>
    <col min="5" max="6" width="15.75" style="2" customWidth="1"/>
    <col min="7" max="7" width="40.375" style="1" customWidth="1"/>
    <col min="8" max="16384" width="8.50833333333333" style="1"/>
  </cols>
  <sheetData>
    <row r="1" spans="1:4">
      <c r="A1" s="3">
        <v>44375</v>
      </c>
      <c r="B1" s="1">
        <v>46.38</v>
      </c>
      <c r="C1" s="1">
        <v>12</v>
      </c>
      <c r="D1" s="1" t="s">
        <v>769</v>
      </c>
    </row>
    <row r="2" spans="1:1">
      <c r="A2" s="3"/>
    </row>
  </sheetData>
  <pageMargins left="0.7" right="0.7" top="0.75" bottom="0.75" header="0.3" footer="0.3"/>
  <pageSetup paperSize="9" orientation="portrait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"/>
    </sheetView>
  </sheetViews>
  <sheetFormatPr defaultColWidth="8.50833333333333" defaultRowHeight="14" outlineLevelRow="3" outlineLevelCol="3"/>
  <cols>
    <col min="1" max="1" width="15.375" style="1" customWidth="1"/>
    <col min="2" max="3" width="10.125" style="1" customWidth="1"/>
    <col min="4" max="4" width="24.25" style="1" customWidth="1"/>
    <col min="5" max="6" width="15.75" style="2" customWidth="1"/>
    <col min="7" max="7" width="40.375" style="1" customWidth="1"/>
    <col min="8" max="16384" width="8.50833333333333" style="1"/>
  </cols>
  <sheetData>
    <row r="1" spans="1:4">
      <c r="A1" s="3">
        <v>44375</v>
      </c>
      <c r="B1" s="1">
        <v>20.3</v>
      </c>
      <c r="C1" s="1">
        <v>10</v>
      </c>
      <c r="D1" s="1" t="s">
        <v>770</v>
      </c>
    </row>
    <row r="2" spans="1:4">
      <c r="A2" s="3">
        <v>44315</v>
      </c>
      <c r="B2" s="1">
        <v>47.1</v>
      </c>
      <c r="C2" s="1">
        <v>27</v>
      </c>
      <c r="D2" s="1" t="s">
        <v>195</v>
      </c>
    </row>
    <row r="3" spans="1:4">
      <c r="A3" s="3">
        <v>45133</v>
      </c>
      <c r="B3" s="1">
        <v>57.9</v>
      </c>
      <c r="D3" s="1" t="s">
        <v>196</v>
      </c>
    </row>
    <row r="4" spans="1:4">
      <c r="A4" s="3">
        <v>45383</v>
      </c>
      <c r="B4" s="1">
        <v>61.97</v>
      </c>
      <c r="D4" s="1" t="s">
        <v>771</v>
      </c>
    </row>
  </sheetData>
  <pageMargins left="0.7" right="0.7" top="0.75" bottom="0.75" header="0.3" footer="0.3"/>
  <pageSetup paperSize="9" orientation="portrait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"/>
    </sheetView>
  </sheetViews>
  <sheetFormatPr defaultColWidth="8.50833333333333" defaultRowHeight="14" outlineLevelRow="3" outlineLevelCol="3"/>
  <cols>
    <col min="1" max="1" width="15.375" style="1" customWidth="1"/>
    <col min="2" max="3" width="10.125" style="1" customWidth="1"/>
    <col min="4" max="4" width="24.25" style="1" customWidth="1"/>
    <col min="5" max="6" width="15.75" style="2" customWidth="1"/>
    <col min="7" max="7" width="40.375" style="1" customWidth="1"/>
    <col min="8" max="16384" width="8.50833333333333" style="1"/>
  </cols>
  <sheetData>
    <row r="1" spans="1:4">
      <c r="A1" s="3">
        <v>44464</v>
      </c>
      <c r="B1" s="1">
        <v>30.46</v>
      </c>
      <c r="C1" s="1">
        <v>25</v>
      </c>
      <c r="D1" s="1" t="s">
        <v>772</v>
      </c>
    </row>
    <row r="2" spans="1:4">
      <c r="A2" s="3">
        <v>44503</v>
      </c>
      <c r="B2" s="1">
        <v>30.46</v>
      </c>
      <c r="C2" s="1">
        <v>25</v>
      </c>
      <c r="D2" s="1" t="s">
        <v>773</v>
      </c>
    </row>
    <row r="3" spans="1:4">
      <c r="A3" s="3">
        <v>44558</v>
      </c>
      <c r="B3" s="1">
        <v>46.25</v>
      </c>
      <c r="C3" s="1">
        <v>36</v>
      </c>
      <c r="D3" s="1">
        <v>2</v>
      </c>
    </row>
    <row r="4" spans="1:1">
      <c r="A4" s="3"/>
    </row>
  </sheetData>
  <pageMargins left="0.7" right="0.7" top="0.75" bottom="0.75" header="0.3" footer="0.3"/>
  <pageSetup paperSize="9" orientation="portrait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tabSelected="1" workbookViewId="0">
      <selection activeCell="B9" sqref="B9"/>
    </sheetView>
  </sheetViews>
  <sheetFormatPr defaultColWidth="8.50833333333333" defaultRowHeight="14"/>
  <cols>
    <col min="1" max="1" width="15.375" style="1" customWidth="1"/>
    <col min="2" max="2" width="10.125" style="6" customWidth="1"/>
    <col min="3" max="5" width="10.125" style="1" customWidth="1"/>
    <col min="6" max="6" width="24.25" style="1" customWidth="1"/>
    <col min="7" max="8" width="15.75" style="7" customWidth="1"/>
    <col min="9" max="9" width="40.375" style="1" customWidth="1"/>
    <col min="10" max="16384" width="8.50833333333333" style="1"/>
  </cols>
  <sheetData>
    <row r="1" ht="28" spans="1:6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9">
      <c r="A2" s="3">
        <v>40485</v>
      </c>
      <c r="B2" s="6"/>
      <c r="C2" s="11">
        <v>21.46</v>
      </c>
      <c r="D2" s="11">
        <v>14</v>
      </c>
      <c r="E2" s="11"/>
      <c r="F2" s="11" t="s">
        <v>774</v>
      </c>
      <c r="G2" s="12"/>
      <c r="H2" s="12"/>
      <c r="I2" s="11"/>
    </row>
    <row r="3" spans="1:8">
      <c r="A3" s="3">
        <v>42366</v>
      </c>
      <c r="B3" s="6"/>
      <c r="C3" s="1">
        <v>27.76</v>
      </c>
      <c r="D3" s="1">
        <v>18</v>
      </c>
      <c r="F3" s="11" t="s">
        <v>404</v>
      </c>
      <c r="G3" s="12"/>
      <c r="H3" s="12"/>
    </row>
    <row r="4" spans="1:8">
      <c r="A4" s="3">
        <v>42732</v>
      </c>
      <c r="B4" s="6"/>
      <c r="C4" s="1">
        <v>34.43</v>
      </c>
      <c r="D4" s="1">
        <v>22</v>
      </c>
      <c r="F4" s="11" t="s">
        <v>775</v>
      </c>
      <c r="G4" s="12"/>
      <c r="H4" s="12"/>
    </row>
    <row r="5" spans="1:6">
      <c r="A5" s="3">
        <v>43462</v>
      </c>
      <c r="B5" s="6"/>
      <c r="C5" s="1">
        <v>39.83</v>
      </c>
      <c r="D5" s="1">
        <v>25</v>
      </c>
      <c r="F5" s="11" t="s">
        <v>776</v>
      </c>
    </row>
    <row r="6" spans="1:6">
      <c r="A6" s="3">
        <v>44426</v>
      </c>
      <c r="B6" s="6"/>
      <c r="C6" s="1">
        <v>14.3</v>
      </c>
      <c r="D6" s="1">
        <v>15</v>
      </c>
      <c r="F6" s="11" t="s">
        <v>777</v>
      </c>
    </row>
    <row r="7" spans="1:6">
      <c r="A7" s="3">
        <v>44558</v>
      </c>
      <c r="B7" s="6">
        <v>32.4</v>
      </c>
      <c r="C7" s="1">
        <v>32.4</v>
      </c>
      <c r="D7" s="1">
        <v>17</v>
      </c>
      <c r="E7" s="1" t="s">
        <v>64</v>
      </c>
      <c r="F7" s="11" t="s">
        <v>778</v>
      </c>
    </row>
    <row r="8" spans="1:6">
      <c r="A8" s="3">
        <v>44894</v>
      </c>
      <c r="B8" s="6"/>
      <c r="F8" s="11" t="s">
        <v>779</v>
      </c>
    </row>
    <row r="9" spans="1:7">
      <c r="A9" s="3">
        <v>44923</v>
      </c>
      <c r="B9" s="6"/>
      <c r="C9" s="1">
        <v>73.12</v>
      </c>
      <c r="D9" s="1">
        <v>39</v>
      </c>
      <c r="F9" s="11" t="s">
        <v>780</v>
      </c>
      <c r="G9" s="7" t="s">
        <v>781</v>
      </c>
    </row>
    <row r="10" spans="1:6">
      <c r="A10" s="3">
        <v>45312</v>
      </c>
      <c r="B10" s="6"/>
      <c r="C10" s="1">
        <v>73.12</v>
      </c>
      <c r="D10" s="1">
        <v>39</v>
      </c>
      <c r="F10" s="11" t="s">
        <v>782</v>
      </c>
    </row>
    <row r="11" spans="1:6">
      <c r="A11" s="3">
        <v>45527</v>
      </c>
      <c r="B11" s="6"/>
      <c r="C11" s="1">
        <v>95.84</v>
      </c>
      <c r="F11" s="11" t="s">
        <v>783</v>
      </c>
    </row>
    <row r="12" spans="1:6">
      <c r="A12" s="3"/>
      <c r="B12" s="6"/>
      <c r="F12" s="11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workbookViewId="0">
      <selection activeCell="A1" sqref="A1"/>
    </sheetView>
  </sheetViews>
  <sheetFormatPr defaultColWidth="8.50833333333333" defaultRowHeight="14" outlineLevelCol="6"/>
  <cols>
    <col min="1" max="1" width="15.375" style="1" customWidth="1"/>
    <col min="2" max="3" width="10.125" style="1" customWidth="1"/>
    <col min="4" max="4" width="24.25" style="1" customWidth="1"/>
    <col min="5" max="6" width="15.75" style="7" customWidth="1"/>
    <col min="7" max="7" width="40.375" style="1" customWidth="1"/>
    <col min="8" max="8" width="8.50833333333333" style="1"/>
    <col min="9" max="9" width="11.375" style="1" customWidth="1"/>
    <col min="10" max="16384" width="8.50833333333333" style="1"/>
  </cols>
  <sheetData>
    <row r="1" ht="42" spans="4:4">
      <c r="D1" s="1" t="s">
        <v>339</v>
      </c>
    </row>
    <row r="2" spans="1:6">
      <c r="A2" s="3">
        <v>35152</v>
      </c>
      <c r="B2" s="1">
        <v>10.7</v>
      </c>
      <c r="C2" s="1">
        <v>12</v>
      </c>
      <c r="D2" s="1" t="s">
        <v>340</v>
      </c>
      <c r="E2" s="1">
        <v>10.7</v>
      </c>
      <c r="F2" s="1">
        <v>12</v>
      </c>
    </row>
    <row r="3" spans="1:7">
      <c r="A3" s="3">
        <v>35517</v>
      </c>
      <c r="B3" s="1">
        <f>B2+E3</f>
        <v>31</v>
      </c>
      <c r="C3" s="1">
        <f>C2+F3</f>
        <v>30</v>
      </c>
      <c r="D3" s="1" t="s">
        <v>341</v>
      </c>
      <c r="E3" s="1">
        <v>20.3</v>
      </c>
      <c r="F3" s="1">
        <v>18</v>
      </c>
      <c r="G3" s="1" t="s">
        <v>342</v>
      </c>
    </row>
    <row r="4" spans="1:7">
      <c r="A4" s="3">
        <v>35517</v>
      </c>
      <c r="B4" s="1">
        <f t="shared" ref="B4:B17" si="0">B3+E4</f>
        <v>32.2</v>
      </c>
      <c r="C4" s="1">
        <f>C3+F4</f>
        <v>32</v>
      </c>
      <c r="D4" s="1" t="s">
        <v>343</v>
      </c>
      <c r="E4" s="1">
        <v>1.2</v>
      </c>
      <c r="F4" s="1">
        <v>2</v>
      </c>
      <c r="G4" s="1" t="s">
        <v>344</v>
      </c>
    </row>
    <row r="5" spans="1:7">
      <c r="A5" s="3">
        <v>35789</v>
      </c>
      <c r="B5" s="1">
        <f t="shared" si="0"/>
        <v>33</v>
      </c>
      <c r="C5" s="1">
        <f t="shared" ref="C5:C21" si="1">C4+F5</f>
        <v>33</v>
      </c>
      <c r="D5" s="1" t="s">
        <v>345</v>
      </c>
      <c r="E5" s="1">
        <v>0.8</v>
      </c>
      <c r="F5" s="1">
        <v>1</v>
      </c>
      <c r="G5" s="1" t="s">
        <v>344</v>
      </c>
    </row>
    <row r="6" spans="1:7">
      <c r="A6" s="3">
        <v>36153</v>
      </c>
      <c r="B6" s="1">
        <f t="shared" si="0"/>
        <v>34.6</v>
      </c>
      <c r="C6" s="1">
        <f t="shared" si="1"/>
        <v>35</v>
      </c>
      <c r="D6" s="1" t="s">
        <v>346</v>
      </c>
      <c r="E6" s="1">
        <v>1.6</v>
      </c>
      <c r="F6" s="1">
        <v>2</v>
      </c>
      <c r="G6" s="1" t="s">
        <v>344</v>
      </c>
    </row>
    <row r="7" spans="1:7">
      <c r="A7" s="3">
        <v>36153</v>
      </c>
      <c r="B7" s="18">
        <f t="shared" si="0"/>
        <v>35.425</v>
      </c>
      <c r="C7" s="1">
        <f t="shared" si="1"/>
        <v>37</v>
      </c>
      <c r="D7" s="1" t="s">
        <v>347</v>
      </c>
      <c r="E7" s="18">
        <v>0.825</v>
      </c>
      <c r="F7" s="1">
        <v>2</v>
      </c>
      <c r="G7" s="32" t="s">
        <v>348</v>
      </c>
    </row>
    <row r="8" spans="1:7">
      <c r="A8" s="3">
        <v>36153</v>
      </c>
      <c r="B8" s="18">
        <f t="shared" si="0"/>
        <v>40.395</v>
      </c>
      <c r="C8" s="1">
        <f t="shared" si="1"/>
        <v>42</v>
      </c>
      <c r="D8" s="1" t="s">
        <v>349</v>
      </c>
      <c r="E8" s="18">
        <v>4.97</v>
      </c>
      <c r="F8" s="1">
        <v>5</v>
      </c>
      <c r="G8" s="1" t="s">
        <v>350</v>
      </c>
    </row>
    <row r="9" ht="28" spans="1:7">
      <c r="A9" s="3">
        <v>36475</v>
      </c>
      <c r="B9" s="18">
        <f t="shared" si="0"/>
        <v>48.73</v>
      </c>
      <c r="C9" s="1">
        <f t="shared" si="1"/>
        <v>50</v>
      </c>
      <c r="D9" s="1" t="s">
        <v>351</v>
      </c>
      <c r="E9" s="18">
        <v>8.335</v>
      </c>
      <c r="F9" s="1">
        <v>8</v>
      </c>
      <c r="G9" s="1" t="s">
        <v>352</v>
      </c>
    </row>
    <row r="10" spans="1:7">
      <c r="A10" s="3">
        <v>36518</v>
      </c>
      <c r="B10" s="18">
        <f t="shared" si="0"/>
        <v>56.348</v>
      </c>
      <c r="C10" s="1">
        <f t="shared" si="1"/>
        <v>59</v>
      </c>
      <c r="D10" s="1" t="s">
        <v>353</v>
      </c>
      <c r="E10" s="18">
        <v>7.618</v>
      </c>
      <c r="F10" s="1">
        <v>9</v>
      </c>
      <c r="G10" s="1" t="s">
        <v>354</v>
      </c>
    </row>
    <row r="11" spans="1:6">
      <c r="A11" s="3">
        <v>36769</v>
      </c>
      <c r="B11" s="18">
        <f t="shared" si="0"/>
        <v>60.263</v>
      </c>
      <c r="C11" s="1">
        <f t="shared" si="1"/>
        <v>61</v>
      </c>
      <c r="D11" s="1" t="s">
        <v>355</v>
      </c>
      <c r="E11" s="18">
        <v>3.915</v>
      </c>
      <c r="F11" s="1">
        <v>2</v>
      </c>
    </row>
    <row r="12" spans="1:6">
      <c r="A12" s="3">
        <v>36769</v>
      </c>
      <c r="B12" s="18">
        <f t="shared" si="0"/>
        <v>61.988</v>
      </c>
      <c r="C12" s="1">
        <f t="shared" si="1"/>
        <v>63</v>
      </c>
      <c r="D12" s="1" t="s">
        <v>356</v>
      </c>
      <c r="E12" s="18">
        <v>1.725</v>
      </c>
      <c r="F12" s="1">
        <v>2</v>
      </c>
    </row>
    <row r="13" spans="1:7">
      <c r="A13" s="3">
        <v>36890</v>
      </c>
      <c r="B13" s="18">
        <f t="shared" si="0"/>
        <v>65.218</v>
      </c>
      <c r="C13" s="1">
        <f t="shared" si="1"/>
        <v>66</v>
      </c>
      <c r="D13" s="1" t="s">
        <v>357</v>
      </c>
      <c r="E13" s="18">
        <v>3.23</v>
      </c>
      <c r="F13" s="1">
        <v>3</v>
      </c>
      <c r="G13" s="1" t="s">
        <v>358</v>
      </c>
    </row>
    <row r="14" spans="1:6">
      <c r="A14" s="3">
        <v>38259</v>
      </c>
      <c r="B14" s="18">
        <f t="shared" si="0"/>
        <v>67.118</v>
      </c>
      <c r="C14" s="1">
        <f t="shared" si="1"/>
        <v>68</v>
      </c>
      <c r="D14" s="1" t="s">
        <v>359</v>
      </c>
      <c r="E14" s="1">
        <v>1.9</v>
      </c>
      <c r="F14" s="1">
        <v>2</v>
      </c>
    </row>
    <row r="15" spans="1:6">
      <c r="A15" s="3">
        <v>38868</v>
      </c>
      <c r="B15" s="18">
        <f t="shared" si="0"/>
        <v>74.318</v>
      </c>
      <c r="C15" s="1">
        <f t="shared" si="1"/>
        <v>74</v>
      </c>
      <c r="D15" s="1" t="s">
        <v>360</v>
      </c>
      <c r="E15" s="1">
        <v>7.2</v>
      </c>
      <c r="F15" s="1">
        <v>6</v>
      </c>
    </row>
    <row r="16" spans="1:6">
      <c r="A16" s="3">
        <v>39807</v>
      </c>
      <c r="B16" s="18">
        <f t="shared" si="0"/>
        <v>75.733</v>
      </c>
      <c r="C16" s="1">
        <f t="shared" si="1"/>
        <v>75</v>
      </c>
      <c r="D16" s="1" t="s">
        <v>361</v>
      </c>
      <c r="E16" s="18">
        <v>1.415</v>
      </c>
      <c r="F16" s="1">
        <v>1</v>
      </c>
    </row>
    <row r="17" spans="1:7">
      <c r="A17" s="3">
        <v>39998</v>
      </c>
      <c r="B17" s="18">
        <f t="shared" si="0"/>
        <v>90.733</v>
      </c>
      <c r="C17" s="1">
        <f t="shared" si="1"/>
        <v>87</v>
      </c>
      <c r="D17" s="1" t="s">
        <v>362</v>
      </c>
      <c r="E17" s="1">
        <v>15</v>
      </c>
      <c r="F17" s="1">
        <v>12</v>
      </c>
      <c r="G17" s="32" t="s">
        <v>363</v>
      </c>
    </row>
    <row r="18" spans="1:7">
      <c r="A18" s="3">
        <v>40485</v>
      </c>
      <c r="C18" s="1">
        <f t="shared" si="1"/>
        <v>98</v>
      </c>
      <c r="D18" s="1" t="s">
        <v>364</v>
      </c>
      <c r="E18" s="1" t="s">
        <v>365</v>
      </c>
      <c r="F18" s="1">
        <v>11</v>
      </c>
      <c r="G18" s="1" t="s">
        <v>366</v>
      </c>
    </row>
    <row r="19" ht="15" spans="1:6">
      <c r="A19" s="3">
        <v>40601</v>
      </c>
      <c r="C19" s="1">
        <f t="shared" si="1"/>
        <v>99</v>
      </c>
      <c r="D19" s="1" t="s">
        <v>367</v>
      </c>
      <c r="E19" s="1" t="s">
        <v>365</v>
      </c>
      <c r="F19" s="1">
        <v>1</v>
      </c>
    </row>
    <row r="20" spans="1:7">
      <c r="A20" s="3">
        <v>40913</v>
      </c>
      <c r="C20" s="1">
        <f t="shared" si="1"/>
        <v>106</v>
      </c>
      <c r="D20" s="1" t="s">
        <v>368</v>
      </c>
      <c r="E20" s="1" t="s">
        <v>365</v>
      </c>
      <c r="F20" s="1">
        <v>7</v>
      </c>
      <c r="G20" s="1" t="s">
        <v>369</v>
      </c>
    </row>
    <row r="21" ht="28" spans="1:7">
      <c r="A21" s="3">
        <v>41182</v>
      </c>
      <c r="C21" s="1">
        <f t="shared" si="1"/>
        <v>107</v>
      </c>
      <c r="D21" s="1" t="s">
        <v>370</v>
      </c>
      <c r="E21" s="18">
        <v>2.779</v>
      </c>
      <c r="F21" s="1">
        <v>1</v>
      </c>
      <c r="G21" s="1" t="s">
        <v>371</v>
      </c>
    </row>
    <row r="22" ht="42" spans="1:7">
      <c r="A22" s="3">
        <v>41454</v>
      </c>
      <c r="C22" s="1">
        <f t="shared" ref="C22:C24" si="2">C21+F22</f>
        <v>109</v>
      </c>
      <c r="D22" s="1" t="s">
        <v>372</v>
      </c>
      <c r="E22" s="1" t="s">
        <v>365</v>
      </c>
      <c r="F22" s="1">
        <v>2</v>
      </c>
      <c r="G22" s="1" t="s">
        <v>373</v>
      </c>
    </row>
    <row r="23" ht="28" spans="1:7">
      <c r="A23" s="3">
        <v>41602</v>
      </c>
      <c r="C23" s="1">
        <f t="shared" si="2"/>
        <v>115</v>
      </c>
      <c r="D23" s="1" t="s">
        <v>374</v>
      </c>
      <c r="E23" s="1">
        <v>5.55</v>
      </c>
      <c r="F23" s="1">
        <v>6</v>
      </c>
      <c r="G23" s="1" t="s">
        <v>375</v>
      </c>
    </row>
    <row r="24" spans="1:7">
      <c r="A24" s="3">
        <v>41958</v>
      </c>
      <c r="C24" s="1">
        <f t="shared" si="2"/>
        <v>122</v>
      </c>
      <c r="D24" s="1" t="s">
        <v>376</v>
      </c>
      <c r="E24" s="18">
        <v>7.924</v>
      </c>
      <c r="F24" s="1">
        <v>7</v>
      </c>
      <c r="G24" s="1" t="s">
        <v>377</v>
      </c>
    </row>
    <row r="25" ht="28" spans="1:7">
      <c r="A25" s="3">
        <v>42191</v>
      </c>
      <c r="B25" s="1">
        <v>131.1</v>
      </c>
      <c r="C25" s="1">
        <v>122</v>
      </c>
      <c r="D25" s="1" t="s">
        <v>378</v>
      </c>
      <c r="E25" s="1" t="s">
        <v>379</v>
      </c>
      <c r="F25" s="1" t="s">
        <v>379</v>
      </c>
      <c r="G25" s="1" t="s">
        <v>380</v>
      </c>
    </row>
    <row r="26" spans="1:6">
      <c r="A26" s="3">
        <v>43861</v>
      </c>
      <c r="B26" s="1">
        <v>146.5</v>
      </c>
      <c r="C26" s="1">
        <v>136</v>
      </c>
      <c r="D26" s="1" t="s">
        <v>381</v>
      </c>
      <c r="E26" s="1">
        <v>15.4</v>
      </c>
      <c r="F26" s="1">
        <v>14</v>
      </c>
    </row>
  </sheetData>
  <pageMargins left="0.7" right="0.7" top="0.75" bottom="0.75" header="0.3" footer="0.3"/>
  <pageSetup paperSize="9" orientation="portrait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selection activeCell="A1" sqref="A1"/>
    </sheetView>
  </sheetViews>
  <sheetFormatPr defaultColWidth="8.50833333333333" defaultRowHeight="14" outlineLevelRow="3" outlineLevelCol="6"/>
  <cols>
    <col min="1" max="1" width="15.375" style="1" customWidth="1"/>
    <col min="2" max="3" width="10.125" style="1" customWidth="1"/>
    <col min="4" max="4" width="24.25" style="1" customWidth="1"/>
    <col min="5" max="6" width="15.75" style="2" customWidth="1"/>
    <col min="7" max="7" width="40.375" style="1" customWidth="1"/>
    <col min="8" max="16384" width="8.50833333333333" style="1"/>
  </cols>
  <sheetData>
    <row r="1" spans="1:4">
      <c r="A1" s="3">
        <v>44803</v>
      </c>
      <c r="B1" s="1">
        <v>58.4</v>
      </c>
      <c r="C1" s="1">
        <v>16</v>
      </c>
      <c r="D1" s="1" t="s">
        <v>784</v>
      </c>
    </row>
    <row r="2" spans="1:7">
      <c r="A2" s="3">
        <v>44923</v>
      </c>
      <c r="B2" s="1">
        <v>85.1</v>
      </c>
      <c r="C2" s="1">
        <v>27</v>
      </c>
      <c r="D2" s="1" t="s">
        <v>785</v>
      </c>
      <c r="G2" s="5" t="s">
        <v>786</v>
      </c>
    </row>
    <row r="3" spans="1:7">
      <c r="A3" s="3">
        <v>45023</v>
      </c>
      <c r="B3" s="1">
        <v>98.97</v>
      </c>
      <c r="C3" s="1">
        <v>28</v>
      </c>
      <c r="D3" s="1" t="s">
        <v>787</v>
      </c>
      <c r="G3" s="5"/>
    </row>
    <row r="4" spans="1:1">
      <c r="A4" s="3"/>
    </row>
  </sheetData>
  <pageMargins left="0.7" right="0.7" top="0.75" bottom="0.75" header="0.3" footer="0.3"/>
  <pageSetup paperSize="9" orientation="portrait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A1" sqref="A1"/>
    </sheetView>
  </sheetViews>
  <sheetFormatPr defaultColWidth="8.50833333333333" defaultRowHeight="14" outlineLevelCol="3"/>
  <cols>
    <col min="1" max="1" width="15.375" style="1" customWidth="1"/>
    <col min="2" max="3" width="10.125" style="1" customWidth="1"/>
    <col min="4" max="4" width="24.25" style="1" customWidth="1"/>
    <col min="5" max="6" width="15.75" style="2" customWidth="1"/>
    <col min="7" max="7" width="40.375" style="1" customWidth="1"/>
    <col min="8" max="16384" width="8.50833333333333" style="1"/>
  </cols>
  <sheetData>
    <row r="1" spans="1:4">
      <c r="A1" s="4">
        <v>45287</v>
      </c>
      <c r="B1" s="1">
        <v>60.03</v>
      </c>
      <c r="D1" s="1">
        <v>2</v>
      </c>
    </row>
  </sheetData>
  <pageMargins left="0.7" right="0.7" top="0.75" bottom="0.75" header="0.3" footer="0.3"/>
  <pageSetup paperSize="9" orientation="portrait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A1" sqref="A1"/>
    </sheetView>
  </sheetViews>
  <sheetFormatPr defaultColWidth="8.50833333333333" defaultRowHeight="14" outlineLevelCol="3"/>
  <cols>
    <col min="1" max="1" width="15.375" style="1" customWidth="1"/>
    <col min="2" max="3" width="10.125" style="1" customWidth="1"/>
    <col min="4" max="4" width="24.25" style="1" customWidth="1"/>
    <col min="5" max="6" width="15.75" style="2" customWidth="1"/>
    <col min="7" max="7" width="40.375" style="1" customWidth="1"/>
    <col min="8" max="16384" width="8.50833333333333" style="1"/>
  </cols>
  <sheetData>
    <row r="1" spans="1:4">
      <c r="A1" s="3">
        <v>44923</v>
      </c>
      <c r="B1" s="1">
        <v>52.568</v>
      </c>
      <c r="C1" s="1">
        <v>15</v>
      </c>
      <c r="D1" s="1" t="s">
        <v>753</v>
      </c>
    </row>
  </sheetData>
  <pageMargins left="0.7" right="0.7" top="0.75" bottom="0.75" header="0.3" footer="0.3"/>
  <pageSetup paperSize="9" orientation="portrait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A1" sqref="A1"/>
    </sheetView>
  </sheetViews>
  <sheetFormatPr defaultColWidth="8.50833333333333" defaultRowHeight="14" outlineLevelCol="3"/>
  <cols>
    <col min="1" max="1" width="15.375" style="1" customWidth="1"/>
    <col min="2" max="3" width="10.125" style="1" customWidth="1"/>
    <col min="4" max="4" width="24.25" style="1" customWidth="1"/>
    <col min="5" max="6" width="15.75" style="2" customWidth="1"/>
    <col min="7" max="7" width="40.375" style="1" customWidth="1"/>
    <col min="8" max="16384" width="8.50833333333333" style="1"/>
  </cols>
  <sheetData>
    <row r="1" spans="1:4">
      <c r="A1" s="3">
        <v>45105</v>
      </c>
      <c r="B1" s="1">
        <v>45.7</v>
      </c>
      <c r="C1" s="1">
        <v>14</v>
      </c>
      <c r="D1" s="1" t="s">
        <v>788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ySplit="1" topLeftCell="A2" activePane="bottomLeft" state="frozen"/>
      <selection/>
      <selection pane="bottomLeft" activeCell="B6" sqref="B6"/>
    </sheetView>
  </sheetViews>
  <sheetFormatPr defaultColWidth="8.50833333333333" defaultRowHeight="14"/>
  <cols>
    <col min="1" max="1" width="15.375" style="1" customWidth="1"/>
    <col min="2" max="2" width="10.125" style="6" customWidth="1"/>
    <col min="3" max="5" width="10.125" style="1" customWidth="1"/>
    <col min="6" max="6" width="24.25" style="1" customWidth="1"/>
    <col min="7" max="8" width="15.75" style="7" customWidth="1"/>
    <col min="9" max="9" width="40.375" style="1" customWidth="1"/>
    <col min="10" max="16384" width="8.50833333333333" style="1"/>
  </cols>
  <sheetData>
    <row r="1" ht="28" spans="1:9">
      <c r="A1" s="10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9" t="s">
        <v>6</v>
      </c>
      <c r="H1" s="19" t="s">
        <v>7</v>
      </c>
      <c r="I1" s="19" t="s">
        <v>8</v>
      </c>
    </row>
    <row r="2" spans="1:6">
      <c r="A2" s="3">
        <v>35609</v>
      </c>
      <c r="B2" s="6">
        <v>6</v>
      </c>
      <c r="C2" s="1">
        <v>5.4</v>
      </c>
      <c r="D2" s="1">
        <v>5</v>
      </c>
      <c r="E2" s="1" t="s">
        <v>64</v>
      </c>
      <c r="F2" s="1" t="s">
        <v>382</v>
      </c>
    </row>
    <row r="3" spans="1:6">
      <c r="A3" s="3">
        <v>36207</v>
      </c>
      <c r="B3" s="6">
        <f>B2+12.5</f>
        <v>18.5</v>
      </c>
      <c r="C3" s="1">
        <v>18.497</v>
      </c>
      <c r="D3" s="1">
        <v>16</v>
      </c>
      <c r="E3" s="1" t="s">
        <v>64</v>
      </c>
      <c r="F3" s="1" t="s">
        <v>383</v>
      </c>
    </row>
    <row r="4" spans="1:6">
      <c r="A4" s="3">
        <v>36339</v>
      </c>
      <c r="B4" s="6">
        <f>B3</f>
        <v>18.5</v>
      </c>
      <c r="C4" s="1">
        <v>18.497</v>
      </c>
      <c r="D4" s="1">
        <v>16</v>
      </c>
      <c r="E4" s="1" t="s">
        <v>64</v>
      </c>
      <c r="F4" s="1" t="s">
        <v>384</v>
      </c>
    </row>
    <row r="5" spans="1:6">
      <c r="A5" s="3">
        <v>37619</v>
      </c>
      <c r="B5" s="6">
        <f>B4+8.5</f>
        <v>27</v>
      </c>
      <c r="C5" s="1">
        <f>18.497+8.9</f>
        <v>27.397</v>
      </c>
      <c r="D5" s="1">
        <v>25</v>
      </c>
      <c r="E5" s="1" t="s">
        <v>71</v>
      </c>
      <c r="F5" s="1" t="s">
        <v>385</v>
      </c>
    </row>
    <row r="6" spans="1:6">
      <c r="A6" s="3">
        <v>37800</v>
      </c>
      <c r="B6" s="6">
        <f>B5+8.6</f>
        <v>35.6</v>
      </c>
      <c r="C6" s="1">
        <f>18.497+18.28</f>
        <v>36.777</v>
      </c>
      <c r="D6" s="1">
        <v>32</v>
      </c>
      <c r="E6" s="1" t="s">
        <v>71</v>
      </c>
      <c r="F6" s="1" t="s">
        <v>386</v>
      </c>
    </row>
    <row r="7" ht="28" spans="1:6">
      <c r="A7" s="3">
        <v>38712</v>
      </c>
      <c r="B7" s="6">
        <f>B6+19.2</f>
        <v>54.8</v>
      </c>
      <c r="C7" s="1">
        <f>18.497+20.13+6.3+14.1</f>
        <v>59.027</v>
      </c>
      <c r="D7" s="1">
        <v>44</v>
      </c>
      <c r="E7" s="1" t="s">
        <v>86</v>
      </c>
      <c r="F7" s="1" t="s">
        <v>387</v>
      </c>
    </row>
    <row r="8" ht="28" spans="1:9">
      <c r="A8" s="3">
        <v>39081</v>
      </c>
      <c r="B8" s="6">
        <f>B7+56.6</f>
        <v>111.4</v>
      </c>
      <c r="C8" s="1">
        <f>18.497+20.13+36.33+35.858</f>
        <v>110.815</v>
      </c>
      <c r="D8" s="1">
        <v>63</v>
      </c>
      <c r="E8" s="1" t="s">
        <v>165</v>
      </c>
      <c r="F8" s="1" t="s">
        <v>388</v>
      </c>
      <c r="I8" s="1" t="s">
        <v>389</v>
      </c>
    </row>
    <row r="9" spans="1:6">
      <c r="A9" s="3">
        <v>39261</v>
      </c>
      <c r="B9" s="6">
        <f>B8+5</f>
        <v>116.4</v>
      </c>
      <c r="C9" s="1">
        <f>18.497+20.13+36.33+41.2</f>
        <v>116.157</v>
      </c>
      <c r="D9" s="1">
        <v>65</v>
      </c>
      <c r="E9" s="1" t="s">
        <v>165</v>
      </c>
      <c r="F9" s="1" t="s">
        <v>390</v>
      </c>
    </row>
    <row r="10" ht="28" spans="1:6">
      <c r="A10" s="3">
        <v>40175</v>
      </c>
      <c r="B10" s="6">
        <f>B9+33.8</f>
        <v>150.2</v>
      </c>
      <c r="C10" s="1">
        <f>18.497+20.13+36.33+43.5+31.9</f>
        <v>150.357</v>
      </c>
      <c r="D10" s="1">
        <v>90</v>
      </c>
      <c r="E10" s="1" t="s">
        <v>167</v>
      </c>
      <c r="F10" s="1" t="s">
        <v>391</v>
      </c>
    </row>
    <row r="11" ht="28" spans="1:8">
      <c r="A11" s="3">
        <v>40446</v>
      </c>
      <c r="B11" s="6">
        <f>B10+10+13.3+0.6+2.8</f>
        <v>176.9</v>
      </c>
      <c r="C11" s="1">
        <f>18.497+31.8+36.33+46.9+31.9+11.45</f>
        <v>176.877</v>
      </c>
      <c r="E11" s="1" t="s">
        <v>170</v>
      </c>
      <c r="F11" s="1" t="s">
        <v>392</v>
      </c>
      <c r="H11" s="7" t="s">
        <v>393</v>
      </c>
    </row>
    <row r="12" ht="28" spans="1:6">
      <c r="A12" s="3">
        <v>40481</v>
      </c>
      <c r="B12" s="6">
        <f>B11+30.8</f>
        <v>207.7</v>
      </c>
      <c r="C12" s="1">
        <v>208</v>
      </c>
      <c r="E12" s="1" t="s">
        <v>170</v>
      </c>
      <c r="F12" s="1" t="s">
        <v>394</v>
      </c>
    </row>
    <row r="13" ht="28" spans="1:8">
      <c r="A13" s="3">
        <v>40485</v>
      </c>
      <c r="B13" s="6">
        <f>B12+18.9+3.3</f>
        <v>229.9</v>
      </c>
      <c r="C13" s="1">
        <v>232</v>
      </c>
      <c r="E13" s="1" t="s">
        <v>395</v>
      </c>
      <c r="F13" s="25" t="s">
        <v>396</v>
      </c>
      <c r="H13" s="7" t="s">
        <v>397</v>
      </c>
    </row>
    <row r="14" spans="1:6">
      <c r="A14" s="3">
        <v>40490</v>
      </c>
      <c r="B14" s="6">
        <f>B13+3</f>
        <v>232.9</v>
      </c>
      <c r="C14" s="1">
        <v>235</v>
      </c>
      <c r="E14" s="1" t="s">
        <v>93</v>
      </c>
      <c r="F14" s="1" t="s">
        <v>398</v>
      </c>
    </row>
    <row r="15" ht="28" spans="1:9">
      <c r="A15" s="3">
        <v>40510</v>
      </c>
      <c r="B15" s="6">
        <f>B14+1</f>
        <v>233.9</v>
      </c>
      <c r="C15" s="1">
        <v>236</v>
      </c>
      <c r="E15" s="1" t="s">
        <v>93</v>
      </c>
      <c r="F15" s="1" t="s">
        <v>399</v>
      </c>
      <c r="I15" s="1" t="s">
        <v>400</v>
      </c>
    </row>
    <row r="16" spans="1:6">
      <c r="A16" s="3">
        <v>40598</v>
      </c>
      <c r="B16" s="6">
        <f>B15</f>
        <v>233.9</v>
      </c>
      <c r="C16" s="1">
        <v>236</v>
      </c>
      <c r="E16" s="1" t="s">
        <v>93</v>
      </c>
      <c r="F16" s="1" t="s">
        <v>401</v>
      </c>
    </row>
    <row r="17" ht="28" spans="1:6">
      <c r="A17" s="3">
        <v>41636</v>
      </c>
      <c r="B17" s="6">
        <f>B16+24.5</f>
        <v>258.4</v>
      </c>
      <c r="C17" s="1">
        <v>260.7</v>
      </c>
      <c r="E17" s="1" t="s">
        <v>268</v>
      </c>
      <c r="F17" s="1" t="s">
        <v>402</v>
      </c>
    </row>
    <row r="18" spans="1:6">
      <c r="A18" s="3">
        <v>42032</v>
      </c>
      <c r="B18" s="6">
        <f>B17</f>
        <v>258.4</v>
      </c>
      <c r="C18" s="1">
        <v>260.7</v>
      </c>
      <c r="E18" s="1" t="s">
        <v>268</v>
      </c>
      <c r="F18" s="1" t="s">
        <v>403</v>
      </c>
    </row>
    <row r="19" spans="1:6">
      <c r="A19" s="3">
        <v>42366</v>
      </c>
      <c r="B19" s="6">
        <f>B18+7.8</f>
        <v>266.2</v>
      </c>
      <c r="C19" s="1">
        <v>267</v>
      </c>
      <c r="E19" s="1" t="s">
        <v>268</v>
      </c>
      <c r="F19" s="1" t="s">
        <v>404</v>
      </c>
    </row>
    <row r="20" ht="42" spans="1:6">
      <c r="A20" s="3">
        <v>42732</v>
      </c>
      <c r="B20" s="6">
        <f>B19+42.9</f>
        <v>309.1</v>
      </c>
      <c r="C20" s="1">
        <v>308.7</v>
      </c>
      <c r="E20" s="1" t="s">
        <v>270</v>
      </c>
      <c r="F20" s="1" t="s">
        <v>405</v>
      </c>
    </row>
    <row r="21" spans="1:6">
      <c r="A21" s="3">
        <v>42914</v>
      </c>
      <c r="B21" s="6">
        <f>B20</f>
        <v>309.1</v>
      </c>
      <c r="C21" s="1">
        <v>308.7</v>
      </c>
      <c r="E21" s="1" t="s">
        <v>270</v>
      </c>
      <c r="F21" s="1" t="s">
        <v>406</v>
      </c>
    </row>
    <row r="22" ht="42" spans="1:6">
      <c r="A22" s="3">
        <v>43097</v>
      </c>
      <c r="B22" s="6">
        <f>B21+81.3</f>
        <v>390.4</v>
      </c>
      <c r="C22" s="1">
        <v>389.7</v>
      </c>
      <c r="E22" s="1" t="s">
        <v>407</v>
      </c>
      <c r="F22" s="1" t="s">
        <v>408</v>
      </c>
    </row>
    <row r="23" spans="1:6">
      <c r="A23" s="3">
        <v>43216</v>
      </c>
      <c r="B23" s="6">
        <f>B22+1</f>
        <v>391.4</v>
      </c>
      <c r="C23" s="1">
        <v>390.86</v>
      </c>
      <c r="E23" s="1" t="s">
        <v>407</v>
      </c>
      <c r="F23" s="1" t="s">
        <v>409</v>
      </c>
    </row>
    <row r="24" spans="1:6">
      <c r="A24" s="3">
        <v>43281</v>
      </c>
      <c r="B24" s="6">
        <f>B23</f>
        <v>391.4</v>
      </c>
      <c r="C24" s="1">
        <v>390.86</v>
      </c>
      <c r="E24" s="1" t="s">
        <v>407</v>
      </c>
      <c r="F24" s="1" t="s">
        <v>410</v>
      </c>
    </row>
    <row r="25" ht="28" spans="1:6">
      <c r="A25" s="3">
        <v>43462</v>
      </c>
      <c r="B25" s="6">
        <f>B24+84.7</f>
        <v>476.1</v>
      </c>
      <c r="C25" s="1">
        <v>476.86</v>
      </c>
      <c r="E25" s="1" t="s">
        <v>103</v>
      </c>
      <c r="F25" s="1" t="s">
        <v>411</v>
      </c>
    </row>
    <row r="26" spans="1:6">
      <c r="A26" s="3">
        <v>43819</v>
      </c>
      <c r="B26" s="6">
        <f>B25+36.6</f>
        <v>512.7</v>
      </c>
      <c r="C26" s="1">
        <v>512.26</v>
      </c>
      <c r="D26" s="1">
        <v>271</v>
      </c>
      <c r="E26" s="1" t="s">
        <v>103</v>
      </c>
      <c r="F26" s="1" t="s">
        <v>412</v>
      </c>
    </row>
    <row r="27" spans="1:6">
      <c r="A27" s="3">
        <v>43827</v>
      </c>
      <c r="B27" s="6">
        <f>B26+1.7</f>
        <v>514.4</v>
      </c>
      <c r="C27" s="1">
        <v>513.74</v>
      </c>
      <c r="D27" s="1">
        <v>273</v>
      </c>
      <c r="E27" s="1" t="s">
        <v>103</v>
      </c>
      <c r="F27" s="1" t="s">
        <v>413</v>
      </c>
    </row>
    <row r="28" ht="28" spans="1:6">
      <c r="A28" s="3">
        <v>44161</v>
      </c>
      <c r="B28" s="6">
        <f>B27+16.7</f>
        <v>531.1</v>
      </c>
      <c r="C28" s="1">
        <v>531.1</v>
      </c>
      <c r="D28" s="1">
        <v>284</v>
      </c>
      <c r="E28" s="1" t="s">
        <v>103</v>
      </c>
      <c r="F28" s="1" t="s">
        <v>414</v>
      </c>
    </row>
    <row r="29" spans="1:6">
      <c r="A29" s="3">
        <v>44467</v>
      </c>
      <c r="B29" s="6">
        <f>B28+58.3</f>
        <v>589.4</v>
      </c>
      <c r="C29" s="1">
        <v>589.4</v>
      </c>
      <c r="D29" s="1">
        <v>292</v>
      </c>
      <c r="E29" s="1" t="s">
        <v>108</v>
      </c>
      <c r="F29" s="1" t="s">
        <v>415</v>
      </c>
    </row>
    <row r="30" spans="1:6">
      <c r="A30" s="3">
        <v>44651</v>
      </c>
      <c r="B30" s="6">
        <f>B29+18.2</f>
        <v>607.6</v>
      </c>
      <c r="C30" s="1">
        <v>607.6</v>
      </c>
      <c r="D30" s="1">
        <v>296</v>
      </c>
      <c r="E30" s="1" t="s">
        <v>416</v>
      </c>
      <c r="F30" s="1" t="s">
        <v>417</v>
      </c>
    </row>
    <row r="31" spans="1:6">
      <c r="A31" s="3">
        <v>44682</v>
      </c>
      <c r="B31" s="6">
        <f>B30+13.4</f>
        <v>621</v>
      </c>
      <c r="C31" s="1">
        <v>621</v>
      </c>
      <c r="E31" s="1" t="s">
        <v>416</v>
      </c>
      <c r="F31" s="1" t="s">
        <v>418</v>
      </c>
    </row>
    <row r="32" spans="1:6">
      <c r="A32" s="3">
        <v>44832</v>
      </c>
      <c r="B32" s="6">
        <f>B31</f>
        <v>621</v>
      </c>
      <c r="C32" s="1">
        <v>621</v>
      </c>
      <c r="E32" s="1" t="s">
        <v>416</v>
      </c>
      <c r="F32" s="1" t="s">
        <v>419</v>
      </c>
    </row>
    <row r="33" spans="1:6">
      <c r="A33" s="3">
        <v>44923</v>
      </c>
      <c r="B33" s="6">
        <f>B32</f>
        <v>621</v>
      </c>
      <c r="C33" s="1">
        <v>621</v>
      </c>
      <c r="E33" s="1" t="s">
        <v>416</v>
      </c>
      <c r="F33" s="1" t="s">
        <v>420</v>
      </c>
    </row>
    <row r="34" spans="1:6">
      <c r="A34" s="3">
        <v>45288</v>
      </c>
      <c r="B34" s="6">
        <f>B33+31.7</f>
        <v>652.7</v>
      </c>
      <c r="C34" s="1">
        <v>653</v>
      </c>
      <c r="E34" s="1" t="s">
        <v>416</v>
      </c>
      <c r="F34" s="1" t="s">
        <v>421</v>
      </c>
    </row>
    <row r="35" spans="1:9">
      <c r="A35" s="3">
        <v>45597</v>
      </c>
      <c r="B35" s="6">
        <f>B34+9.6</f>
        <v>662.3</v>
      </c>
      <c r="E35" s="1" t="s">
        <v>416</v>
      </c>
      <c r="F35" s="1" t="s">
        <v>422</v>
      </c>
      <c r="I35" s="1" t="s">
        <v>423</v>
      </c>
    </row>
    <row r="36" spans="1:6">
      <c r="A36" s="3">
        <v>45654</v>
      </c>
      <c r="B36" s="6">
        <f>B35+44.2-1.1</f>
        <v>705.4</v>
      </c>
      <c r="E36" s="1" t="s">
        <v>424</v>
      </c>
      <c r="F36" s="1" t="s">
        <v>425</v>
      </c>
    </row>
    <row r="37" ht="42" spans="1:9">
      <c r="A37" s="27"/>
      <c r="I37" s="18" t="s">
        <v>426</v>
      </c>
    </row>
  </sheetData>
  <pageMargins left="0.7" right="0.7" top="0.75" bottom="0.75" header="0.3" footer="0.3"/>
  <pageSetup paperSize="9" orientation="portrait"/>
  <headerFooter/>
  <ignoredErrors>
    <ignoredError sqref="B17" formula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selection activeCell="B10" sqref="B10"/>
    </sheetView>
  </sheetViews>
  <sheetFormatPr defaultColWidth="8.50833333333333" defaultRowHeight="14"/>
  <cols>
    <col min="1" max="1" width="15.375" style="1" customWidth="1"/>
    <col min="2" max="2" width="10.125" style="6" customWidth="1"/>
    <col min="3" max="5" width="10.125" style="1" customWidth="1"/>
    <col min="6" max="6" width="24.25" style="1" customWidth="1"/>
    <col min="7" max="8" width="15.75" style="2" customWidth="1"/>
    <col min="9" max="9" width="40.375" style="1" customWidth="1"/>
    <col min="10" max="16384" width="8.50833333333333" style="1"/>
  </cols>
  <sheetData>
    <row r="1" ht="28" spans="1:9">
      <c r="A1" s="10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9" t="s">
        <v>6</v>
      </c>
      <c r="H1" s="19" t="s">
        <v>7</v>
      </c>
      <c r="I1" s="19" t="s">
        <v>8</v>
      </c>
    </row>
    <row r="2" spans="1:8">
      <c r="A2" s="3">
        <v>37559</v>
      </c>
      <c r="B2" s="6">
        <v>14.6</v>
      </c>
      <c r="C2" s="1">
        <v>13.8</v>
      </c>
      <c r="D2" s="1">
        <v>15</v>
      </c>
      <c r="E2" s="1" t="s">
        <v>64</v>
      </c>
      <c r="F2" s="1" t="s">
        <v>427</v>
      </c>
      <c r="G2" s="1"/>
      <c r="H2" s="1"/>
    </row>
    <row r="3" spans="1:8">
      <c r="A3" s="3">
        <v>39077</v>
      </c>
      <c r="B3" s="6">
        <v>31.2</v>
      </c>
      <c r="C3" s="1">
        <v>30.5</v>
      </c>
      <c r="D3" s="1">
        <v>31</v>
      </c>
      <c r="E3" s="1" t="s">
        <v>64</v>
      </c>
      <c r="F3" s="1" t="s">
        <v>428</v>
      </c>
      <c r="G3" s="1" t="s">
        <v>429</v>
      </c>
      <c r="H3" s="1" t="s">
        <v>430</v>
      </c>
    </row>
    <row r="4" spans="1:8">
      <c r="A4" s="3">
        <v>39175</v>
      </c>
      <c r="B4" s="6">
        <v>31.9</v>
      </c>
      <c r="C4" s="1">
        <v>31.9</v>
      </c>
      <c r="D4" s="1">
        <v>31</v>
      </c>
      <c r="E4" s="1" t="s">
        <v>64</v>
      </c>
      <c r="F4" s="1" t="s">
        <v>431</v>
      </c>
      <c r="G4" s="1"/>
      <c r="H4" s="1"/>
    </row>
    <row r="5" ht="28" spans="1:9">
      <c r="A5" s="3">
        <v>40724</v>
      </c>
      <c r="B5" s="6">
        <v>44.9</v>
      </c>
      <c r="C5" s="1">
        <v>43.95</v>
      </c>
      <c r="D5" s="1">
        <v>42</v>
      </c>
      <c r="E5" s="1" t="s">
        <v>71</v>
      </c>
      <c r="F5" s="1" t="s">
        <v>432</v>
      </c>
      <c r="G5" s="1"/>
      <c r="H5" s="1"/>
      <c r="I5" s="1" t="s">
        <v>433</v>
      </c>
    </row>
    <row r="6" spans="1:8">
      <c r="A6" s="3">
        <v>41035</v>
      </c>
      <c r="B6" s="6">
        <v>48.2</v>
      </c>
      <c r="C6" s="1">
        <v>48.23</v>
      </c>
      <c r="D6" s="1">
        <v>45</v>
      </c>
      <c r="E6" s="1" t="s">
        <v>71</v>
      </c>
      <c r="F6" s="1" t="s">
        <v>434</v>
      </c>
      <c r="G6" s="1"/>
      <c r="H6" s="1"/>
    </row>
    <row r="7" ht="70" spans="1:9">
      <c r="A7" s="3">
        <v>41174</v>
      </c>
      <c r="B7" s="6">
        <v>48.2</v>
      </c>
      <c r="C7" s="1">
        <v>48.23</v>
      </c>
      <c r="D7" s="1">
        <v>45</v>
      </c>
      <c r="E7" s="1" t="s">
        <v>71</v>
      </c>
      <c r="F7" s="1" t="s">
        <v>435</v>
      </c>
      <c r="G7" s="1"/>
      <c r="H7" s="1"/>
      <c r="I7" s="1" t="s">
        <v>436</v>
      </c>
    </row>
    <row r="8" spans="1:8">
      <c r="A8" s="31" t="s">
        <v>437</v>
      </c>
      <c r="B8" s="6">
        <v>48.2</v>
      </c>
      <c r="C8" s="1">
        <v>48.23</v>
      </c>
      <c r="D8" s="1">
        <v>46</v>
      </c>
      <c r="E8" s="1" t="s">
        <v>71</v>
      </c>
      <c r="F8" s="1" t="s">
        <v>438</v>
      </c>
      <c r="G8" s="1"/>
      <c r="H8" s="1"/>
    </row>
    <row r="9" ht="28" spans="1:8">
      <c r="A9" s="3">
        <v>42916</v>
      </c>
      <c r="B9" s="6">
        <v>66.3</v>
      </c>
      <c r="C9" s="1">
        <v>66.37</v>
      </c>
      <c r="D9" s="1">
        <v>60</v>
      </c>
      <c r="E9" s="1" t="s">
        <v>79</v>
      </c>
      <c r="F9" s="1" t="s">
        <v>439</v>
      </c>
      <c r="G9" s="1" t="s">
        <v>440</v>
      </c>
      <c r="H9" s="1"/>
    </row>
    <row r="10" ht="28" spans="1:8">
      <c r="A10" s="3">
        <v>43342</v>
      </c>
      <c r="B10" s="6">
        <v>86.8</v>
      </c>
      <c r="C10" s="1">
        <v>86.87</v>
      </c>
      <c r="D10" s="1">
        <v>78</v>
      </c>
      <c r="E10" s="1" t="s">
        <v>86</v>
      </c>
      <c r="F10" s="1" t="s">
        <v>441</v>
      </c>
      <c r="G10" s="1" t="s">
        <v>442</v>
      </c>
      <c r="H10" s="1"/>
    </row>
    <row r="11" spans="1:8">
      <c r="A11" s="3">
        <v>43403</v>
      </c>
      <c r="B11" s="6">
        <v>100.1</v>
      </c>
      <c r="C11" s="1">
        <v>100.17</v>
      </c>
      <c r="D11" s="1">
        <v>90</v>
      </c>
      <c r="E11" s="1" t="s">
        <v>88</v>
      </c>
      <c r="F11" s="1" t="s">
        <v>443</v>
      </c>
      <c r="G11" s="1"/>
      <c r="H11" s="1"/>
    </row>
    <row r="12" ht="28" spans="1:9">
      <c r="A12" s="3">
        <v>43491</v>
      </c>
      <c r="B12" s="6">
        <v>100.1</v>
      </c>
      <c r="C12" s="1">
        <v>100.17</v>
      </c>
      <c r="D12" s="1">
        <v>91</v>
      </c>
      <c r="E12" s="1" t="s">
        <v>88</v>
      </c>
      <c r="F12" s="1" t="s">
        <v>444</v>
      </c>
      <c r="G12" s="1" t="s">
        <v>445</v>
      </c>
      <c r="H12" s="1"/>
      <c r="I12" s="1" t="s">
        <v>446</v>
      </c>
    </row>
    <row r="13" ht="28" spans="1:8">
      <c r="A13" s="3">
        <v>43615</v>
      </c>
      <c r="B13" s="6">
        <v>100.1</v>
      </c>
      <c r="C13" s="1">
        <v>100.17</v>
      </c>
      <c r="D13" s="1">
        <v>91</v>
      </c>
      <c r="E13" s="1" t="s">
        <v>88</v>
      </c>
      <c r="F13" s="1" t="s">
        <v>447</v>
      </c>
      <c r="G13" s="1" t="s">
        <v>448</v>
      </c>
      <c r="H13" s="1"/>
    </row>
    <row r="14" spans="1:8">
      <c r="A14" s="3">
        <v>44080</v>
      </c>
      <c r="B14" s="6">
        <v>100.1</v>
      </c>
      <c r="C14" s="1">
        <v>100.17</v>
      </c>
      <c r="D14" s="1">
        <v>91</v>
      </c>
      <c r="E14" s="1" t="s">
        <v>88</v>
      </c>
      <c r="F14" s="1" t="s">
        <v>449</v>
      </c>
      <c r="G14" s="1"/>
      <c r="H14" s="1"/>
    </row>
    <row r="15" spans="1:6">
      <c r="A15" s="3">
        <v>44477</v>
      </c>
      <c r="B15" s="6">
        <v>104.5</v>
      </c>
      <c r="C15" s="1">
        <v>104.5</v>
      </c>
      <c r="D15" s="1">
        <v>94</v>
      </c>
      <c r="E15" s="1" t="s">
        <v>88</v>
      </c>
      <c r="F15" s="1" t="s">
        <v>450</v>
      </c>
    </row>
    <row r="16" ht="28" spans="1:6">
      <c r="A16" s="3">
        <v>44561</v>
      </c>
      <c r="B16" s="6">
        <v>106.7</v>
      </c>
      <c r="C16" s="1">
        <v>106.7</v>
      </c>
      <c r="E16" s="1" t="s">
        <v>88</v>
      </c>
      <c r="F16" s="1" t="s">
        <v>451</v>
      </c>
    </row>
    <row r="17" spans="1:6">
      <c r="A17" s="3">
        <v>44718</v>
      </c>
      <c r="B17" s="6">
        <v>111.2</v>
      </c>
      <c r="C17" s="1">
        <v>111.2</v>
      </c>
      <c r="E17" s="1" t="s">
        <v>88</v>
      </c>
      <c r="F17" s="1" t="s">
        <v>452</v>
      </c>
    </row>
    <row r="18" spans="1:6">
      <c r="A18" s="3">
        <v>45379</v>
      </c>
      <c r="B18" s="6">
        <v>140.8</v>
      </c>
      <c r="C18" s="1">
        <v>140.8</v>
      </c>
      <c r="E18" s="1" t="s">
        <v>231</v>
      </c>
      <c r="F18" s="1">
        <v>6</v>
      </c>
    </row>
    <row r="19" spans="1:1">
      <c r="A19" s="3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E1" sqref="E1"/>
    </sheetView>
  </sheetViews>
  <sheetFormatPr defaultColWidth="8.50833333333333" defaultRowHeight="14"/>
  <cols>
    <col min="1" max="1" width="15.375" style="1" customWidth="1"/>
    <col min="2" max="2" width="10.125" style="6" customWidth="1"/>
    <col min="3" max="5" width="10.125" style="1" customWidth="1"/>
    <col min="6" max="6" width="24.25" style="1" customWidth="1"/>
    <col min="7" max="8" width="15.75" style="2" customWidth="1"/>
    <col min="9" max="9" width="40.375" style="1" customWidth="1"/>
    <col min="10" max="16384" width="8.50833333333333" style="1"/>
  </cols>
  <sheetData>
    <row r="1" ht="28" spans="1:9">
      <c r="A1" s="10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9" t="s">
        <v>453</v>
      </c>
      <c r="H1" s="19" t="s">
        <v>454</v>
      </c>
      <c r="I1" s="19" t="s">
        <v>135</v>
      </c>
    </row>
    <row r="2" spans="1:8">
      <c r="A2" s="3">
        <v>37568</v>
      </c>
      <c r="B2" s="6">
        <v>46.6</v>
      </c>
      <c r="C2" s="1">
        <v>46.658</v>
      </c>
      <c r="D2" s="1">
        <v>10</v>
      </c>
      <c r="E2" s="1" t="s">
        <v>64</v>
      </c>
      <c r="F2" s="1" t="s">
        <v>455</v>
      </c>
      <c r="G2" s="1">
        <v>0</v>
      </c>
      <c r="H2" s="1">
        <v>0</v>
      </c>
    </row>
    <row r="3" spans="1:8">
      <c r="A3" s="3">
        <v>37742</v>
      </c>
      <c r="B3" s="6">
        <v>46.6</v>
      </c>
      <c r="C3" s="1">
        <v>46.658</v>
      </c>
      <c r="D3" s="1">
        <v>10</v>
      </c>
      <c r="E3" s="1" t="s">
        <v>64</v>
      </c>
      <c r="F3" s="1" t="s">
        <v>456</v>
      </c>
      <c r="G3" s="1">
        <v>0</v>
      </c>
      <c r="H3" s="1">
        <v>0</v>
      </c>
    </row>
    <row r="4" spans="1:8">
      <c r="A4" s="3">
        <v>38259</v>
      </c>
      <c r="B4" s="6">
        <v>49.2</v>
      </c>
      <c r="C4" s="1">
        <v>49.05</v>
      </c>
      <c r="D4" s="1">
        <v>11</v>
      </c>
      <c r="E4" s="1" t="s">
        <v>64</v>
      </c>
      <c r="F4" s="1" t="s">
        <v>457</v>
      </c>
      <c r="G4" s="1">
        <v>0</v>
      </c>
      <c r="H4" s="1">
        <v>0</v>
      </c>
    </row>
    <row r="5" spans="1:8">
      <c r="A5" s="3">
        <v>39069</v>
      </c>
      <c r="B5" s="6">
        <v>49.2</v>
      </c>
      <c r="C5" s="1">
        <v>49.05</v>
      </c>
      <c r="D5" s="1">
        <v>12</v>
      </c>
      <c r="E5" s="1" t="s">
        <v>64</v>
      </c>
      <c r="F5" s="1" t="s">
        <v>458</v>
      </c>
      <c r="G5" s="1">
        <v>0</v>
      </c>
      <c r="H5" s="1">
        <v>0</v>
      </c>
    </row>
    <row r="6" spans="1:9">
      <c r="A6" s="3">
        <v>39810</v>
      </c>
      <c r="B6" s="6">
        <v>63.5</v>
      </c>
      <c r="C6" s="1">
        <v>63.35</v>
      </c>
      <c r="D6" s="1">
        <v>19</v>
      </c>
      <c r="E6" s="1" t="s">
        <v>64</v>
      </c>
      <c r="F6" s="1" t="s">
        <v>459</v>
      </c>
      <c r="G6" s="1">
        <v>0</v>
      </c>
      <c r="H6" s="1">
        <v>0</v>
      </c>
      <c r="I6" s="1" t="s">
        <v>460</v>
      </c>
    </row>
    <row r="7" spans="1:9">
      <c r="A7" s="3">
        <v>41760</v>
      </c>
      <c r="B7" s="6">
        <v>101.8</v>
      </c>
      <c r="C7" s="1">
        <v>103.733</v>
      </c>
      <c r="D7" s="1">
        <v>26</v>
      </c>
      <c r="E7" s="1" t="s">
        <v>71</v>
      </c>
      <c r="F7" s="1" t="s">
        <v>461</v>
      </c>
      <c r="G7" s="1">
        <v>0</v>
      </c>
      <c r="H7" s="1">
        <v>0</v>
      </c>
      <c r="I7" s="1" t="s">
        <v>462</v>
      </c>
    </row>
    <row r="8" spans="1:9">
      <c r="A8" s="3">
        <v>42146</v>
      </c>
      <c r="B8" s="6">
        <v>120.8</v>
      </c>
      <c r="C8" s="1">
        <v>122.55</v>
      </c>
      <c r="D8" s="1">
        <v>43</v>
      </c>
      <c r="E8" s="1" t="s">
        <v>79</v>
      </c>
      <c r="F8" s="1" t="s">
        <v>463</v>
      </c>
      <c r="G8" s="1">
        <v>18.7</v>
      </c>
      <c r="H8" s="1">
        <v>17</v>
      </c>
      <c r="I8" s="1" t="s">
        <v>464</v>
      </c>
    </row>
    <row r="9" spans="1:9">
      <c r="A9" s="3">
        <v>42307</v>
      </c>
      <c r="B9" s="6">
        <v>137.7</v>
      </c>
      <c r="C9" s="1">
        <v>139.65</v>
      </c>
      <c r="D9" s="1">
        <v>56</v>
      </c>
      <c r="E9" s="1" t="s">
        <v>86</v>
      </c>
      <c r="F9" s="1" t="s">
        <v>465</v>
      </c>
      <c r="G9" s="1">
        <v>35.8</v>
      </c>
      <c r="H9" s="1">
        <v>30</v>
      </c>
      <c r="I9" s="1" t="s">
        <v>464</v>
      </c>
    </row>
    <row r="10" spans="1:9">
      <c r="A10" s="3">
        <v>42398</v>
      </c>
      <c r="B10" s="6">
        <v>138.5</v>
      </c>
      <c r="C10" s="1">
        <v>140.55</v>
      </c>
      <c r="D10" s="1">
        <v>57</v>
      </c>
      <c r="E10" s="1" t="s">
        <v>86</v>
      </c>
      <c r="F10" s="1" t="s">
        <v>466</v>
      </c>
      <c r="G10" s="1">
        <v>36.7</v>
      </c>
      <c r="H10" s="1">
        <v>31</v>
      </c>
      <c r="I10" s="1" t="s">
        <v>464</v>
      </c>
    </row>
    <row r="11" spans="1:10">
      <c r="A11" s="3">
        <v>42887</v>
      </c>
      <c r="B11" s="6">
        <v>138.5</v>
      </c>
      <c r="C11" s="1">
        <v>140.55</v>
      </c>
      <c r="D11" s="1">
        <v>58</v>
      </c>
      <c r="E11" s="1" t="s">
        <v>86</v>
      </c>
      <c r="F11" s="1" t="s">
        <v>467</v>
      </c>
      <c r="G11" s="1">
        <v>36.7</v>
      </c>
      <c r="H11" s="1">
        <v>32</v>
      </c>
      <c r="I11" s="1" t="s">
        <v>464</v>
      </c>
      <c r="J11" s="30" t="s">
        <v>468</v>
      </c>
    </row>
    <row r="12" ht="42" spans="1:9">
      <c r="A12" s="3">
        <v>42893</v>
      </c>
      <c r="B12" s="6">
        <v>154.9</v>
      </c>
      <c r="C12" s="1">
        <v>156.95</v>
      </c>
      <c r="D12" s="1">
        <v>69</v>
      </c>
      <c r="E12" s="1" t="s">
        <v>86</v>
      </c>
      <c r="F12" s="1" t="s">
        <v>469</v>
      </c>
      <c r="I12" s="1" t="s">
        <v>470</v>
      </c>
    </row>
    <row r="13" ht="28" spans="1:9">
      <c r="A13" s="3">
        <v>43279</v>
      </c>
      <c r="B13" s="6">
        <v>157.8</v>
      </c>
      <c r="C13" s="1">
        <v>157.85</v>
      </c>
      <c r="D13" s="1">
        <v>70</v>
      </c>
      <c r="E13" s="1" t="s">
        <v>86</v>
      </c>
      <c r="F13" s="1" t="s">
        <v>471</v>
      </c>
      <c r="I13" s="18" t="s">
        <v>472</v>
      </c>
    </row>
    <row r="14" spans="1:9">
      <c r="A14" s="3">
        <v>44558</v>
      </c>
      <c r="B14" s="6">
        <v>201</v>
      </c>
      <c r="C14" s="1">
        <v>200.91</v>
      </c>
      <c r="E14" s="1" t="s">
        <v>88</v>
      </c>
      <c r="F14" s="1">
        <v>13</v>
      </c>
      <c r="I14" s="18"/>
    </row>
    <row r="15" spans="1:6">
      <c r="A15" s="3">
        <v>44834</v>
      </c>
      <c r="B15" s="6">
        <v>212.6</v>
      </c>
      <c r="C15" s="1">
        <v>212.47</v>
      </c>
      <c r="E15" s="1" t="s">
        <v>88</v>
      </c>
      <c r="F15" s="1" t="s">
        <v>473</v>
      </c>
    </row>
    <row r="16" spans="1:6">
      <c r="A16" s="3">
        <v>45002</v>
      </c>
      <c r="B16" s="6">
        <v>237.1</v>
      </c>
      <c r="C16" s="1">
        <v>236.95</v>
      </c>
      <c r="E16" s="1" t="s">
        <v>231</v>
      </c>
      <c r="F16" s="1">
        <v>5</v>
      </c>
    </row>
    <row r="17" spans="1:1">
      <c r="A17" s="3"/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workbookViewId="0">
      <selection activeCell="B5" sqref="B5"/>
    </sheetView>
  </sheetViews>
  <sheetFormatPr defaultColWidth="8.50833333333333" defaultRowHeight="14"/>
  <cols>
    <col min="1" max="1" width="15.375" style="1" customWidth="1"/>
    <col min="2" max="2" width="10.125" style="6" customWidth="1"/>
    <col min="3" max="5" width="10.125" style="1" customWidth="1"/>
    <col min="6" max="6" width="24.25" style="1" customWidth="1"/>
    <col min="7" max="8" width="15.75" style="7" customWidth="1"/>
    <col min="9" max="9" width="40.375" style="1" customWidth="1"/>
    <col min="10" max="16384" width="8.50833333333333" style="1"/>
  </cols>
  <sheetData>
    <row r="1" s="1" customFormat="1" ht="28" spans="1:9">
      <c r="A1" s="10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9" t="s">
        <v>6</v>
      </c>
      <c r="H1" s="19" t="s">
        <v>7</v>
      </c>
      <c r="I1" s="19" t="s">
        <v>8</v>
      </c>
    </row>
    <row r="2" ht="28" spans="1:9">
      <c r="A2" s="3">
        <v>38196</v>
      </c>
      <c r="B2" s="6">
        <v>10.2</v>
      </c>
      <c r="C2" s="1">
        <v>10.23</v>
      </c>
      <c r="D2" s="1">
        <v>10</v>
      </c>
      <c r="E2" s="1" t="s">
        <v>64</v>
      </c>
      <c r="F2" s="1" t="s">
        <v>474</v>
      </c>
      <c r="G2" s="7" t="s">
        <v>475</v>
      </c>
      <c r="I2" s="1" t="s">
        <v>476</v>
      </c>
    </row>
    <row r="3" spans="1:7">
      <c r="A3" s="3">
        <v>38258</v>
      </c>
      <c r="B3" s="6">
        <v>10.2</v>
      </c>
      <c r="C3" s="1">
        <v>10.23</v>
      </c>
      <c r="D3" s="1">
        <v>10</v>
      </c>
      <c r="G3" s="1" t="s">
        <v>477</v>
      </c>
    </row>
    <row r="4" spans="1:6">
      <c r="A4" s="3">
        <v>40387</v>
      </c>
      <c r="B4" s="6">
        <v>29.3</v>
      </c>
      <c r="C4" s="1">
        <v>28.85</v>
      </c>
      <c r="D4" s="1">
        <v>26</v>
      </c>
      <c r="E4" s="1" t="s">
        <v>64</v>
      </c>
      <c r="F4" s="1" t="s">
        <v>478</v>
      </c>
    </row>
    <row r="5" spans="1:6">
      <c r="A5" s="3">
        <v>41271</v>
      </c>
      <c r="B5" s="6">
        <v>56.9</v>
      </c>
      <c r="C5" s="1">
        <v>56.55</v>
      </c>
      <c r="D5" s="1">
        <v>47</v>
      </c>
      <c r="E5" s="1" t="s">
        <v>71</v>
      </c>
      <c r="F5" s="1" t="s">
        <v>479</v>
      </c>
    </row>
    <row r="6" spans="1:6">
      <c r="A6" s="3">
        <v>41636</v>
      </c>
      <c r="B6" s="6">
        <v>73.4</v>
      </c>
      <c r="C6" s="1">
        <v>73.05</v>
      </c>
      <c r="D6" s="1">
        <v>62</v>
      </c>
      <c r="E6" s="1" t="s">
        <v>79</v>
      </c>
      <c r="F6" s="1" t="s">
        <v>480</v>
      </c>
    </row>
    <row r="7" spans="1:6">
      <c r="A7" s="3">
        <v>41787</v>
      </c>
      <c r="B7" s="6">
        <v>79.1</v>
      </c>
      <c r="C7" s="1">
        <v>78.55</v>
      </c>
      <c r="D7" s="1">
        <v>65</v>
      </c>
      <c r="E7" s="1" t="s">
        <v>79</v>
      </c>
      <c r="F7" s="1" t="s">
        <v>481</v>
      </c>
    </row>
    <row r="8" spans="1:6">
      <c r="A8" s="3">
        <v>42001</v>
      </c>
      <c r="B8" s="6">
        <v>95.8</v>
      </c>
      <c r="C8" s="1">
        <v>95.25</v>
      </c>
      <c r="D8" s="1">
        <v>78</v>
      </c>
      <c r="E8" s="1" t="s">
        <v>79</v>
      </c>
      <c r="F8" s="1" t="s">
        <v>482</v>
      </c>
    </row>
    <row r="9" spans="1:6">
      <c r="A9" s="3">
        <v>42366</v>
      </c>
      <c r="B9" s="6">
        <v>125.9</v>
      </c>
      <c r="C9" s="1">
        <v>125.25</v>
      </c>
      <c r="D9" s="1">
        <v>102</v>
      </c>
      <c r="E9" s="1" t="s">
        <v>86</v>
      </c>
      <c r="F9" s="1">
        <v>3</v>
      </c>
    </row>
    <row r="10" spans="1:6">
      <c r="A10" s="3">
        <v>42732</v>
      </c>
      <c r="B10" s="6">
        <v>181.6</v>
      </c>
      <c r="C10" s="1">
        <v>181.8</v>
      </c>
      <c r="D10" s="1">
        <v>136</v>
      </c>
      <c r="E10" s="1" t="s">
        <v>88</v>
      </c>
      <c r="F10" s="1" t="s">
        <v>483</v>
      </c>
    </row>
    <row r="11" spans="1:6">
      <c r="A11" s="3">
        <v>43095</v>
      </c>
      <c r="B11" s="6">
        <v>237</v>
      </c>
      <c r="C11" s="1">
        <v>237.1</v>
      </c>
      <c r="D11" s="1">
        <v>167</v>
      </c>
      <c r="E11" s="1" t="s">
        <v>484</v>
      </c>
      <c r="F11" s="1" t="s">
        <v>485</v>
      </c>
    </row>
    <row r="12" spans="1:6">
      <c r="A12" s="3">
        <v>43374</v>
      </c>
      <c r="B12" s="6">
        <v>287.7</v>
      </c>
      <c r="C12" s="1">
        <v>287.8</v>
      </c>
      <c r="D12" s="1">
        <v>199</v>
      </c>
      <c r="E12" s="1" t="s">
        <v>239</v>
      </c>
      <c r="F12" s="1" t="s">
        <v>486</v>
      </c>
    </row>
    <row r="13" spans="1:6">
      <c r="A13" s="3">
        <v>43462</v>
      </c>
      <c r="B13" s="6">
        <v>304.4</v>
      </c>
      <c r="C13" s="1">
        <v>304.7</v>
      </c>
      <c r="D13" s="1">
        <v>206</v>
      </c>
      <c r="E13" s="1" t="s">
        <v>239</v>
      </c>
      <c r="F13" s="1" t="s">
        <v>487</v>
      </c>
    </row>
    <row r="14" spans="1:6">
      <c r="A14" s="3">
        <v>43515</v>
      </c>
      <c r="B14" s="6">
        <v>317.8</v>
      </c>
      <c r="C14" s="1">
        <v>318</v>
      </c>
      <c r="D14" s="1">
        <v>216</v>
      </c>
      <c r="E14" s="1" t="s">
        <v>239</v>
      </c>
      <c r="F14" s="1" t="s">
        <v>488</v>
      </c>
    </row>
    <row r="15" spans="1:6">
      <c r="A15" s="3">
        <v>43733</v>
      </c>
      <c r="B15" s="6">
        <v>334</v>
      </c>
      <c r="C15" s="1">
        <v>334.1</v>
      </c>
      <c r="D15" s="1">
        <v>225</v>
      </c>
      <c r="E15" s="1" t="s">
        <v>239</v>
      </c>
      <c r="F15" s="1" t="s">
        <v>489</v>
      </c>
    </row>
    <row r="16" spans="1:6">
      <c r="A16" s="3">
        <v>43775</v>
      </c>
      <c r="B16" s="6">
        <v>338.8</v>
      </c>
      <c r="C16" s="1">
        <v>338.94</v>
      </c>
      <c r="D16" s="1">
        <v>228</v>
      </c>
      <c r="E16" s="1" t="s">
        <v>239</v>
      </c>
      <c r="F16" s="1" t="s">
        <v>490</v>
      </c>
    </row>
    <row r="17" spans="1:6">
      <c r="A17" s="3">
        <v>44198</v>
      </c>
      <c r="B17" s="6">
        <v>360.1</v>
      </c>
      <c r="C17" s="1">
        <v>360.24</v>
      </c>
      <c r="D17" s="1">
        <v>243</v>
      </c>
      <c r="E17" s="1" t="s">
        <v>239</v>
      </c>
      <c r="F17" s="1" t="s">
        <v>491</v>
      </c>
    </row>
    <row r="18" spans="1:6">
      <c r="A18" s="3">
        <v>44556</v>
      </c>
      <c r="B18" s="6">
        <v>435.3</v>
      </c>
      <c r="C18" s="1">
        <v>435.24</v>
      </c>
      <c r="E18" s="1" t="s">
        <v>187</v>
      </c>
      <c r="F18" s="1" t="s">
        <v>492</v>
      </c>
    </row>
    <row r="19" ht="28" spans="1:6">
      <c r="A19" s="3">
        <v>44925</v>
      </c>
      <c r="B19" s="6">
        <v>460.6</v>
      </c>
      <c r="C19" s="1">
        <v>460.58</v>
      </c>
      <c r="E19" s="1" t="s">
        <v>187</v>
      </c>
      <c r="F19" s="1" t="s">
        <v>493</v>
      </c>
    </row>
    <row r="20" spans="1:6">
      <c r="A20" s="3">
        <v>45261</v>
      </c>
      <c r="B20" s="6">
        <v>463.2</v>
      </c>
      <c r="C20" s="1">
        <v>463.19</v>
      </c>
      <c r="E20" s="1" t="s">
        <v>187</v>
      </c>
      <c r="F20" s="1" t="s">
        <v>494</v>
      </c>
    </row>
    <row r="21" spans="1:6">
      <c r="A21" s="3">
        <v>45290</v>
      </c>
      <c r="B21" s="6">
        <v>486.5</v>
      </c>
      <c r="C21" s="1">
        <v>486.49</v>
      </c>
      <c r="E21" s="1" t="s">
        <v>495</v>
      </c>
      <c r="F21" s="1" t="s">
        <v>496</v>
      </c>
    </row>
    <row r="22" spans="1:6">
      <c r="A22" s="3">
        <v>45566</v>
      </c>
      <c r="B22" s="6">
        <v>501.9</v>
      </c>
      <c r="C22" s="1">
        <v>501.6</v>
      </c>
      <c r="E22" s="1" t="s">
        <v>495</v>
      </c>
      <c r="F22" s="1" t="s">
        <v>497</v>
      </c>
    </row>
    <row r="24" ht="42" spans="6:6">
      <c r="F24" s="18" t="s">
        <v>498</v>
      </c>
    </row>
    <row r="26" spans="3:9">
      <c r="C26" s="1" t="s">
        <v>499</v>
      </c>
      <c r="D26" s="1" t="s">
        <v>500</v>
      </c>
      <c r="F26" s="29" t="s">
        <v>501</v>
      </c>
      <c r="I26" s="29" t="s">
        <v>502</v>
      </c>
    </row>
    <row r="27" spans="1:6">
      <c r="A27" s="3">
        <v>38196</v>
      </c>
      <c r="C27" s="1">
        <v>10.23</v>
      </c>
      <c r="D27" s="1">
        <v>1</v>
      </c>
      <c r="F27" s="29">
        <v>1</v>
      </c>
    </row>
    <row r="28" spans="1:6">
      <c r="A28" s="3">
        <v>41271</v>
      </c>
      <c r="C28" s="1">
        <v>56.55</v>
      </c>
      <c r="D28" s="1">
        <v>2</v>
      </c>
      <c r="F28" s="29">
        <v>1.18</v>
      </c>
    </row>
    <row r="29" spans="1:6">
      <c r="A29" s="3">
        <v>41636</v>
      </c>
      <c r="C29" s="1">
        <v>73.05</v>
      </c>
      <c r="D29" s="1">
        <v>3</v>
      </c>
      <c r="F29" s="29">
        <v>1.24</v>
      </c>
    </row>
    <row r="30" spans="1:6">
      <c r="A30" s="3">
        <v>41787</v>
      </c>
      <c r="C30" s="1">
        <v>78.55</v>
      </c>
      <c r="D30" s="1">
        <v>3</v>
      </c>
      <c r="F30" s="29">
        <v>1.26</v>
      </c>
    </row>
    <row r="31" ht="42" spans="1:9">
      <c r="A31" s="3">
        <v>42001</v>
      </c>
      <c r="C31" s="1">
        <v>95.25</v>
      </c>
      <c r="D31" s="1">
        <v>3</v>
      </c>
      <c r="F31" s="29">
        <v>1.33</v>
      </c>
      <c r="I31" s="1" t="s">
        <v>503</v>
      </c>
    </row>
    <row r="32" spans="1:9">
      <c r="A32" s="3">
        <v>42366</v>
      </c>
      <c r="C32" s="1">
        <v>125.25</v>
      </c>
      <c r="D32" s="1">
        <v>4</v>
      </c>
      <c r="F32" s="29">
        <v>1.42</v>
      </c>
      <c r="G32" s="7" t="s">
        <v>504</v>
      </c>
      <c r="I32" s="7"/>
    </row>
    <row r="33" spans="1:6">
      <c r="A33" s="3">
        <v>42732</v>
      </c>
      <c r="D33" s="1">
        <v>5</v>
      </c>
      <c r="F33" s="29">
        <v>1.46</v>
      </c>
    </row>
    <row r="34" spans="1:6">
      <c r="A34" s="3">
        <v>43095</v>
      </c>
      <c r="D34" s="1">
        <v>7</v>
      </c>
      <c r="F34" s="29">
        <v>1.49</v>
      </c>
    </row>
    <row r="35" spans="1:6">
      <c r="A35" s="3">
        <v>43374</v>
      </c>
      <c r="D35" s="1">
        <v>9</v>
      </c>
      <c r="F35" s="29">
        <v>1.51</v>
      </c>
    </row>
    <row r="36" spans="1:1">
      <c r="A36" s="27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53</vt:i4>
      </vt:variant>
    </vt:vector>
  </HeadingPairs>
  <TitlesOfParts>
    <vt:vector size="53" baseType="lpstr">
      <vt:lpstr>北京</vt:lpstr>
      <vt:lpstr>香港</vt:lpstr>
      <vt:lpstr>天津</vt:lpstr>
      <vt:lpstr>上海</vt:lpstr>
      <vt:lpstr>台北</vt:lpstr>
      <vt:lpstr>广州</vt:lpstr>
      <vt:lpstr>长春</vt:lpstr>
      <vt:lpstr>大连</vt:lpstr>
      <vt:lpstr>武汉</vt:lpstr>
      <vt:lpstr>深圳</vt:lpstr>
      <vt:lpstr>重庆</vt:lpstr>
      <vt:lpstr>南京</vt:lpstr>
      <vt:lpstr>高雄</vt:lpstr>
      <vt:lpstr>成都</vt:lpstr>
      <vt:lpstr>沈阳</vt:lpstr>
      <vt:lpstr>西安</vt:lpstr>
      <vt:lpstr>苏州</vt:lpstr>
      <vt:lpstr>昆明</vt:lpstr>
      <vt:lpstr>杭州</vt:lpstr>
      <vt:lpstr>哈尔滨</vt:lpstr>
      <vt:lpstr>郑州</vt:lpstr>
      <vt:lpstr>长沙</vt:lpstr>
      <vt:lpstr>宁波</vt:lpstr>
      <vt:lpstr>无锡</vt:lpstr>
      <vt:lpstr>青岛</vt:lpstr>
      <vt:lpstr>南昌</vt:lpstr>
      <vt:lpstr>福州</vt:lpstr>
      <vt:lpstr>东莞</vt:lpstr>
      <vt:lpstr>南宁</vt:lpstr>
      <vt:lpstr>合肥</vt:lpstr>
      <vt:lpstr>石家庄</vt:lpstr>
      <vt:lpstr>桃园</vt:lpstr>
      <vt:lpstr>贵阳</vt:lpstr>
      <vt:lpstr>厦门</vt:lpstr>
      <vt:lpstr>乌鲁木齐</vt:lpstr>
      <vt:lpstr>温州</vt:lpstr>
      <vt:lpstr>济南</vt:lpstr>
      <vt:lpstr>兰州</vt:lpstr>
      <vt:lpstr>常州</vt:lpstr>
      <vt:lpstr>徐州</vt:lpstr>
      <vt:lpstr>澳门</vt:lpstr>
      <vt:lpstr>呼和浩特</vt:lpstr>
      <vt:lpstr>太原</vt:lpstr>
      <vt:lpstr>洛阳</vt:lpstr>
      <vt:lpstr>台中</vt:lpstr>
      <vt:lpstr>嘉兴</vt:lpstr>
      <vt:lpstr>绍兴</vt:lpstr>
      <vt:lpstr>芜湖</vt:lpstr>
      <vt:lpstr>佛山</vt:lpstr>
      <vt:lpstr>金华</vt:lpstr>
      <vt:lpstr>南通</vt:lpstr>
      <vt:lpstr>台州</vt:lpstr>
      <vt:lpstr>滁州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SST</cp:lastModifiedBy>
  <dcterms:created xsi:type="dcterms:W3CDTF">2015-06-05T18:17:00Z</dcterms:created>
  <dcterms:modified xsi:type="dcterms:W3CDTF">2025-05-21T15:06:48Z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6F3AF02243084182B167E539766411E8_12</vt:lpwstr>
  </property>
  <property fmtid="{D5CDD505-2E9C-101B-9397-08002B2CF9AE}" pid="3" name="KSOProductBuildVer">
    <vt:lpwstr>2052-12.1.0.21171</vt:lpwstr>
  </property>
</Properties>
</file>