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o Fights\Dropbox\Portfolio\LULU\"/>
    </mc:Choice>
  </mc:AlternateContent>
  <bookViews>
    <workbookView xWindow="0" yWindow="0" windowWidth="28800" windowHeight="12630" tabRatio="797" activeTab="3"/>
  </bookViews>
  <sheets>
    <sheet name="Table of Assumptions" sheetId="9" r:id="rId1"/>
    <sheet name="Income Statement" sheetId="5" r:id="rId2"/>
    <sheet name="Cash Flows" sheetId="2" r:id="rId3"/>
    <sheet name="Balance Sheet" sheetId="3" r:id="rId4"/>
    <sheet name="Depreciation" sheetId="4" r:id="rId5"/>
    <sheet name="Working Capital" sheetId="7" r:id="rId6"/>
    <sheet name="Valuation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  <c r="F16" i="3"/>
  <c r="G16" i="3"/>
  <c r="H16" i="3"/>
  <c r="I16" i="3"/>
  <c r="J16" i="3"/>
  <c r="K16" i="3"/>
  <c r="D16" i="3"/>
  <c r="H6" i="5" l="1"/>
  <c r="I6" i="5"/>
  <c r="J6" i="5"/>
  <c r="K6" i="5"/>
  <c r="G6" i="5"/>
  <c r="H13" i="3" l="1"/>
  <c r="I13" i="3" s="1"/>
  <c r="J13" i="3" s="1"/>
  <c r="K13" i="3" s="1"/>
  <c r="G13" i="3"/>
  <c r="H12" i="3" l="1"/>
  <c r="I12" i="3" s="1"/>
  <c r="J12" i="3" s="1"/>
  <c r="K12" i="3" s="1"/>
  <c r="G12" i="3"/>
  <c r="O21" i="8" l="1"/>
  <c r="J34" i="2"/>
  <c r="K34" i="2"/>
  <c r="H34" i="2"/>
  <c r="I34" i="2"/>
  <c r="G34" i="2"/>
  <c r="I29" i="3"/>
  <c r="J29" i="3"/>
  <c r="K29" i="3" s="1"/>
  <c r="H29" i="3"/>
  <c r="G29" i="3"/>
  <c r="H31" i="2" l="1"/>
  <c r="H32" i="2" s="1"/>
  <c r="G31" i="2"/>
  <c r="D36" i="3" l="1"/>
  <c r="E36" i="3"/>
  <c r="F36" i="3"/>
  <c r="H23" i="2"/>
  <c r="I23" i="2"/>
  <c r="J23" i="2"/>
  <c r="K23" i="2"/>
  <c r="G23" i="2"/>
  <c r="L25" i="8" l="1"/>
  <c r="F34" i="8"/>
  <c r="E34" i="8" l="1"/>
  <c r="O22" i="8"/>
  <c r="E12" i="8"/>
  <c r="F12" i="8"/>
  <c r="F29" i="3" l="1"/>
  <c r="E29" i="3"/>
  <c r="J14" i="3"/>
  <c r="K14" i="3" s="1"/>
  <c r="G14" i="3"/>
  <c r="H14" i="3" s="1"/>
  <c r="I14" i="3" s="1"/>
  <c r="G30" i="2"/>
  <c r="G32" i="3" l="1"/>
  <c r="G32" i="2"/>
  <c r="H35" i="2"/>
  <c r="I35" i="2" s="1"/>
  <c r="J35" i="2" s="1"/>
  <c r="K35" i="2" s="1"/>
  <c r="G37" i="5"/>
  <c r="H37" i="5" s="1"/>
  <c r="G36" i="5"/>
  <c r="H36" i="5" s="1"/>
  <c r="G34" i="3"/>
  <c r="I32" i="2"/>
  <c r="J32" i="2"/>
  <c r="K32" i="2"/>
  <c r="D12" i="7"/>
  <c r="E12" i="7"/>
  <c r="D14" i="7"/>
  <c r="E14" i="7"/>
  <c r="D16" i="7"/>
  <c r="E16" i="7"/>
  <c r="D18" i="7"/>
  <c r="E18" i="7"/>
  <c r="D20" i="7"/>
  <c r="E20" i="7"/>
  <c r="D22" i="7"/>
  <c r="E22" i="7"/>
  <c r="F22" i="7"/>
  <c r="F20" i="7"/>
  <c r="F21" i="7" s="1"/>
  <c r="G21" i="7" s="1"/>
  <c r="F18" i="7"/>
  <c r="F16" i="7"/>
  <c r="F14" i="7"/>
  <c r="F12" i="7"/>
  <c r="F7" i="7"/>
  <c r="D5" i="7"/>
  <c r="E5" i="7"/>
  <c r="D7" i="7"/>
  <c r="E7" i="7"/>
  <c r="D9" i="7"/>
  <c r="E9" i="7"/>
  <c r="E10" i="7" s="1"/>
  <c r="F9" i="7"/>
  <c r="F10" i="7" s="1"/>
  <c r="G10" i="7" s="1"/>
  <c r="F5" i="7"/>
  <c r="E19" i="7" l="1"/>
  <c r="H32" i="3"/>
  <c r="I32" i="3" s="1"/>
  <c r="J32" i="3" s="1"/>
  <c r="K32" i="3" s="1"/>
  <c r="H10" i="7"/>
  <c r="I10" i="7" s="1"/>
  <c r="F17" i="7"/>
  <c r="H34" i="3"/>
  <c r="E8" i="7"/>
  <c r="F23" i="7"/>
  <c r="G23" i="7" s="1"/>
  <c r="F19" i="7"/>
  <c r="E21" i="7"/>
  <c r="E17" i="7"/>
  <c r="G17" i="7" s="1"/>
  <c r="E23" i="7"/>
  <c r="F6" i="7"/>
  <c r="G6" i="7" s="1"/>
  <c r="E6" i="7"/>
  <c r="F5" i="4"/>
  <c r="I12" i="4" s="1"/>
  <c r="G9" i="4"/>
  <c r="H9" i="4" s="1"/>
  <c r="F26" i="2"/>
  <c r="E26" i="2"/>
  <c r="E4" i="4"/>
  <c r="F4" i="4"/>
  <c r="H11" i="4" s="1"/>
  <c r="D4" i="4"/>
  <c r="D25" i="3"/>
  <c r="D28" i="3" s="1"/>
  <c r="D10" i="3"/>
  <c r="D15" i="3" s="1"/>
  <c r="E10" i="2"/>
  <c r="E11" i="2"/>
  <c r="E12" i="2"/>
  <c r="E13" i="2"/>
  <c r="E14" i="2"/>
  <c r="E15" i="2"/>
  <c r="E16" i="2"/>
  <c r="E17" i="2"/>
  <c r="E18" i="2"/>
  <c r="E25" i="2"/>
  <c r="F25" i="2"/>
  <c r="E32" i="2"/>
  <c r="F32" i="2"/>
  <c r="D32" i="2"/>
  <c r="F14" i="2"/>
  <c r="F15" i="2"/>
  <c r="F16" i="2"/>
  <c r="F17" i="2"/>
  <c r="F18" i="2"/>
  <c r="F13" i="2"/>
  <c r="F12" i="2"/>
  <c r="F10" i="2"/>
  <c r="F11" i="2"/>
  <c r="E25" i="3"/>
  <c r="E28" i="3" s="1"/>
  <c r="E10" i="3"/>
  <c r="E15" i="3" s="1"/>
  <c r="E37" i="3" s="1"/>
  <c r="E38" i="3" s="1"/>
  <c r="F28" i="3"/>
  <c r="F25" i="3"/>
  <c r="F10" i="3"/>
  <c r="F15" i="3" s="1"/>
  <c r="D7" i="2"/>
  <c r="E7" i="2"/>
  <c r="F7" i="2"/>
  <c r="G5" i="5"/>
  <c r="I37" i="5"/>
  <c r="J37" i="5" s="1"/>
  <c r="K37" i="5" s="1"/>
  <c r="I36" i="5"/>
  <c r="J36" i="5" s="1"/>
  <c r="K36" i="5" s="1"/>
  <c r="D8" i="5"/>
  <c r="D12" i="5" s="1"/>
  <c r="D10" i="5"/>
  <c r="D11" i="5" s="1"/>
  <c r="F8" i="5"/>
  <c r="E8" i="5"/>
  <c r="E15" i="5"/>
  <c r="F15" i="5"/>
  <c r="G15" i="5" s="1"/>
  <c r="D15" i="5"/>
  <c r="F6" i="5"/>
  <c r="E6" i="5"/>
  <c r="G19" i="7" l="1"/>
  <c r="E10" i="5"/>
  <c r="E16" i="5" s="1"/>
  <c r="E12" i="5"/>
  <c r="H15" i="5"/>
  <c r="F9" i="5"/>
  <c r="G9" i="5" s="1"/>
  <c r="F12" i="5"/>
  <c r="F15" i="7"/>
  <c r="G14" i="5"/>
  <c r="G9" i="7" s="1"/>
  <c r="G9" i="3" s="1"/>
  <c r="G12" i="2" s="1"/>
  <c r="E13" i="7"/>
  <c r="F13" i="7"/>
  <c r="G13" i="7" s="1"/>
  <c r="F8" i="7"/>
  <c r="G8" i="7" s="1"/>
  <c r="H8" i="7" s="1"/>
  <c r="E15" i="7"/>
  <c r="G20" i="7"/>
  <c r="G23" i="3" s="1"/>
  <c r="G17" i="2" s="1"/>
  <c r="G5" i="7"/>
  <c r="G7" i="3" s="1"/>
  <c r="G10" i="2" s="1"/>
  <c r="G16" i="7"/>
  <c r="G21" i="3" s="1"/>
  <c r="G15" i="2" s="1"/>
  <c r="I34" i="3"/>
  <c r="G26" i="2"/>
  <c r="H26" i="2" s="1"/>
  <c r="H17" i="7"/>
  <c r="I17" i="7" s="1"/>
  <c r="F37" i="3"/>
  <c r="F38" i="3" s="1"/>
  <c r="G22" i="7"/>
  <c r="G24" i="3" s="1"/>
  <c r="G18" i="2" s="1"/>
  <c r="K30" i="4"/>
  <c r="J10" i="7"/>
  <c r="G30" i="4"/>
  <c r="H31" i="4"/>
  <c r="F30" i="4"/>
  <c r="J30" i="4"/>
  <c r="K31" i="4"/>
  <c r="G31" i="4"/>
  <c r="F31" i="4"/>
  <c r="F37" i="4" s="1"/>
  <c r="I30" i="4"/>
  <c r="J31" i="4"/>
  <c r="H30" i="4"/>
  <c r="I31" i="4"/>
  <c r="K11" i="4"/>
  <c r="I9" i="4"/>
  <c r="J9" i="4" s="1"/>
  <c r="K9" i="4" s="1"/>
  <c r="H12" i="4"/>
  <c r="K12" i="4"/>
  <c r="G11" i="4"/>
  <c r="J11" i="4"/>
  <c r="I11" i="4"/>
  <c r="F11" i="4"/>
  <c r="F12" i="4"/>
  <c r="G12" i="4"/>
  <c r="J12" i="4"/>
  <c r="D37" i="3"/>
  <c r="D38" i="3" s="1"/>
  <c r="H5" i="5"/>
  <c r="H14" i="5" s="1"/>
  <c r="H9" i="7" s="1"/>
  <c r="H9" i="3" s="1"/>
  <c r="I15" i="5"/>
  <c r="J15" i="5" s="1"/>
  <c r="K15" i="5" s="1"/>
  <c r="E11" i="5"/>
  <c r="D9" i="5"/>
  <c r="F10" i="5"/>
  <c r="F11" i="5" s="1"/>
  <c r="E9" i="5"/>
  <c r="D16" i="5"/>
  <c r="E19" i="5" l="1"/>
  <c r="E17" i="5"/>
  <c r="H6" i="7"/>
  <c r="I6" i="7" s="1"/>
  <c r="D19" i="5"/>
  <c r="D27" i="5" s="1"/>
  <c r="D17" i="5"/>
  <c r="H13" i="7"/>
  <c r="I13" i="7" s="1"/>
  <c r="J13" i="7" s="1"/>
  <c r="H12" i="2"/>
  <c r="G15" i="7"/>
  <c r="H15" i="7" s="1"/>
  <c r="I15" i="7" s="1"/>
  <c r="H21" i="7"/>
  <c r="I5" i="5"/>
  <c r="J5" i="5" s="1"/>
  <c r="J34" i="3"/>
  <c r="H16" i="7"/>
  <c r="H21" i="3" s="1"/>
  <c r="H15" i="2" s="1"/>
  <c r="H23" i="7"/>
  <c r="H22" i="7" s="1"/>
  <c r="H24" i="3" s="1"/>
  <c r="H18" i="2" s="1"/>
  <c r="G22" i="2"/>
  <c r="K10" i="7"/>
  <c r="J17" i="7"/>
  <c r="I8" i="7"/>
  <c r="H22" i="2"/>
  <c r="I26" i="2"/>
  <c r="F18" i="4"/>
  <c r="F16" i="5"/>
  <c r="D20" i="5"/>
  <c r="D30" i="5"/>
  <c r="D5" i="2" s="1"/>
  <c r="D19" i="2" s="1"/>
  <c r="H5" i="7" l="1"/>
  <c r="H7" i="3" s="1"/>
  <c r="H10" i="2" s="1"/>
  <c r="E20" i="5"/>
  <c r="E30" i="5"/>
  <c r="E27" i="5"/>
  <c r="I14" i="5"/>
  <c r="I9" i="7" s="1"/>
  <c r="I9" i="3" s="1"/>
  <c r="I12" i="2" s="1"/>
  <c r="F19" i="5"/>
  <c r="F27" i="5" s="1"/>
  <c r="F17" i="5"/>
  <c r="I23" i="7"/>
  <c r="J23" i="7" s="1"/>
  <c r="H20" i="7"/>
  <c r="H23" i="3" s="1"/>
  <c r="H17" i="2" s="1"/>
  <c r="I21" i="7"/>
  <c r="K34" i="3"/>
  <c r="H10" i="8"/>
  <c r="G5" i="4"/>
  <c r="I32" i="4" s="1"/>
  <c r="G10" i="8"/>
  <c r="K13" i="7"/>
  <c r="J8" i="7"/>
  <c r="K17" i="7"/>
  <c r="J15" i="7"/>
  <c r="J6" i="7"/>
  <c r="I5" i="7"/>
  <c r="I7" i="3" s="1"/>
  <c r="H5" i="4"/>
  <c r="J26" i="2"/>
  <c r="I22" i="2"/>
  <c r="J14" i="5"/>
  <c r="J9" i="7" s="1"/>
  <c r="J9" i="3" s="1"/>
  <c r="H9" i="5"/>
  <c r="G8" i="5"/>
  <c r="D33" i="5"/>
  <c r="D34" i="5"/>
  <c r="K5" i="5"/>
  <c r="I10" i="2" l="1"/>
  <c r="E5" i="2"/>
  <c r="E19" i="2" s="1"/>
  <c r="E36" i="2" s="1"/>
  <c r="E33" i="5"/>
  <c r="E34" i="5"/>
  <c r="I22" i="7"/>
  <c r="I24" i="3" s="1"/>
  <c r="I18" i="2" s="1"/>
  <c r="J12" i="2"/>
  <c r="I16" i="7"/>
  <c r="I21" i="3" s="1"/>
  <c r="I15" i="2" s="1"/>
  <c r="F30" i="5"/>
  <c r="F5" i="2" s="1"/>
  <c r="F20" i="5"/>
  <c r="J21" i="7"/>
  <c r="I20" i="7"/>
  <c r="I23" i="3" s="1"/>
  <c r="I17" i="2" s="1"/>
  <c r="F19" i="2"/>
  <c r="F36" i="2" s="1"/>
  <c r="I10" i="8"/>
  <c r="G13" i="4"/>
  <c r="G18" i="4" s="1"/>
  <c r="G18" i="5" s="1"/>
  <c r="I13" i="4"/>
  <c r="J32" i="4"/>
  <c r="K13" i="4"/>
  <c r="H32" i="4"/>
  <c r="G32" i="4"/>
  <c r="G37" i="4" s="1"/>
  <c r="H13" i="4"/>
  <c r="K32" i="4"/>
  <c r="J13" i="4"/>
  <c r="J16" i="7"/>
  <c r="J21" i="3" s="1"/>
  <c r="J15" i="2" s="1"/>
  <c r="G10" i="5"/>
  <c r="G14" i="7"/>
  <c r="G20" i="3" s="1"/>
  <c r="G14" i="2" s="1"/>
  <c r="G12" i="7"/>
  <c r="G19" i="3" s="1"/>
  <c r="G13" i="2" s="1"/>
  <c r="G7" i="7"/>
  <c r="K23" i="7"/>
  <c r="K22" i="7" s="1"/>
  <c r="K24" i="3" s="1"/>
  <c r="J22" i="7"/>
  <c r="J24" i="3" s="1"/>
  <c r="J18" i="2" s="1"/>
  <c r="K15" i="7"/>
  <c r="K8" i="7"/>
  <c r="K6" i="7"/>
  <c r="K5" i="7" s="1"/>
  <c r="K7" i="3" s="1"/>
  <c r="J5" i="7"/>
  <c r="J7" i="3" s="1"/>
  <c r="J10" i="2" s="1"/>
  <c r="I5" i="4"/>
  <c r="K26" i="2"/>
  <c r="K22" i="2" s="1"/>
  <c r="J22" i="2"/>
  <c r="J33" i="4"/>
  <c r="I33" i="4"/>
  <c r="H33" i="4"/>
  <c r="K33" i="4"/>
  <c r="K14" i="4"/>
  <c r="H14" i="4"/>
  <c r="I14" i="4"/>
  <c r="J14" i="4"/>
  <c r="I9" i="5"/>
  <c r="H8" i="5"/>
  <c r="K14" i="5"/>
  <c r="K9" i="7" s="1"/>
  <c r="K9" i="3" s="1"/>
  <c r="K12" i="2" s="1"/>
  <c r="F33" i="5"/>
  <c r="F34" i="5"/>
  <c r="G6" i="8" l="1"/>
  <c r="G12" i="5"/>
  <c r="J20" i="7"/>
  <c r="J23" i="3" s="1"/>
  <c r="J17" i="2" s="1"/>
  <c r="K21" i="7"/>
  <c r="K20" i="7" s="1"/>
  <c r="K23" i="3" s="1"/>
  <c r="K10" i="2"/>
  <c r="G8" i="3"/>
  <c r="G11" i="2" s="1"/>
  <c r="K10" i="8"/>
  <c r="H18" i="4"/>
  <c r="H7" i="2" s="1"/>
  <c r="J10" i="8"/>
  <c r="G38" i="4"/>
  <c r="H37" i="4"/>
  <c r="G7" i="2"/>
  <c r="K16" i="7"/>
  <c r="K21" i="3" s="1"/>
  <c r="K15" i="2" s="1"/>
  <c r="H10" i="5"/>
  <c r="H12" i="7"/>
  <c r="H19" i="3" s="1"/>
  <c r="H13" i="2" s="1"/>
  <c r="H14" i="7"/>
  <c r="H20" i="3" s="1"/>
  <c r="H14" i="2" s="1"/>
  <c r="H7" i="7"/>
  <c r="H8" i="3" s="1"/>
  <c r="G16" i="5"/>
  <c r="G11" i="5"/>
  <c r="K18" i="2"/>
  <c r="J34" i="4"/>
  <c r="I34" i="4"/>
  <c r="I37" i="4" s="1"/>
  <c r="K34" i="4"/>
  <c r="I15" i="4"/>
  <c r="I18" i="4" s="1"/>
  <c r="J15" i="4"/>
  <c r="K15" i="4"/>
  <c r="J5" i="4"/>
  <c r="K5" i="4"/>
  <c r="J9" i="5"/>
  <c r="I8" i="5"/>
  <c r="G25" i="5" l="1"/>
  <c r="G8" i="2"/>
  <c r="G26" i="3" s="1"/>
  <c r="K17" i="2"/>
  <c r="H11" i="2"/>
  <c r="H38" i="4"/>
  <c r="G11" i="3"/>
  <c r="G27" i="3" s="1"/>
  <c r="H18" i="5"/>
  <c r="I10" i="5"/>
  <c r="I12" i="7"/>
  <c r="I19" i="3" s="1"/>
  <c r="I13" i="2" s="1"/>
  <c r="I7" i="7"/>
  <c r="I8" i="3" s="1"/>
  <c r="I11" i="2" s="1"/>
  <c r="I14" i="7"/>
  <c r="I20" i="3" s="1"/>
  <c r="I14" i="2" s="1"/>
  <c r="G17" i="5"/>
  <c r="G19" i="5"/>
  <c r="H16" i="5"/>
  <c r="H17" i="5" s="1"/>
  <c r="H11" i="5"/>
  <c r="I38" i="4"/>
  <c r="K36" i="4"/>
  <c r="K17" i="4"/>
  <c r="K35" i="4"/>
  <c r="K37" i="4" s="1"/>
  <c r="J35" i="4"/>
  <c r="J37" i="4" s="1"/>
  <c r="J16" i="4"/>
  <c r="J18" i="4" s="1"/>
  <c r="K16" i="4"/>
  <c r="K18" i="4" s="1"/>
  <c r="I7" i="2"/>
  <c r="I18" i="5"/>
  <c r="I12" i="5" s="1"/>
  <c r="K9" i="5"/>
  <c r="K8" i="5" s="1"/>
  <c r="J8" i="5"/>
  <c r="I25" i="5" l="1"/>
  <c r="I8" i="2"/>
  <c r="H25" i="5"/>
  <c r="H8" i="2"/>
  <c r="H26" i="3" s="1"/>
  <c r="H6" i="8"/>
  <c r="H12" i="5"/>
  <c r="G24" i="2"/>
  <c r="G4" i="4"/>
  <c r="H11" i="3"/>
  <c r="I11" i="3" s="1"/>
  <c r="I27" i="3" s="1"/>
  <c r="H19" i="5"/>
  <c r="K10" i="5"/>
  <c r="K12" i="7"/>
  <c r="K19" i="3" s="1"/>
  <c r="K7" i="7"/>
  <c r="K8" i="3" s="1"/>
  <c r="K14" i="7"/>
  <c r="K20" i="3" s="1"/>
  <c r="G24" i="5"/>
  <c r="G26" i="5" s="1"/>
  <c r="G30" i="5" s="1"/>
  <c r="G20" i="5"/>
  <c r="G5" i="8"/>
  <c r="J10" i="5"/>
  <c r="J12" i="7"/>
  <c r="J19" i="3" s="1"/>
  <c r="J13" i="2" s="1"/>
  <c r="J14" i="7"/>
  <c r="J20" i="3" s="1"/>
  <c r="J14" i="2" s="1"/>
  <c r="J7" i="7"/>
  <c r="J8" i="3" s="1"/>
  <c r="J11" i="2" s="1"/>
  <c r="I16" i="5"/>
  <c r="I17" i="5" s="1"/>
  <c r="I11" i="5"/>
  <c r="I6" i="8"/>
  <c r="K38" i="4"/>
  <c r="J38" i="4"/>
  <c r="K7" i="2"/>
  <c r="K18" i="5"/>
  <c r="K12" i="5" s="1"/>
  <c r="J7" i="2"/>
  <c r="J18" i="5"/>
  <c r="J12" i="5" s="1"/>
  <c r="I26" i="3" l="1"/>
  <c r="J25" i="5"/>
  <c r="J8" i="2"/>
  <c r="J26" i="3" s="1"/>
  <c r="K26" i="3" s="1"/>
  <c r="H5" i="8"/>
  <c r="K25" i="5"/>
  <c r="K8" i="2"/>
  <c r="I4" i="4"/>
  <c r="H4" i="4"/>
  <c r="H27" i="3"/>
  <c r="G8" i="8"/>
  <c r="G25" i="2"/>
  <c r="J11" i="3"/>
  <c r="K11" i="3" s="1"/>
  <c r="K27" i="3" s="1"/>
  <c r="H20" i="5"/>
  <c r="H24" i="5"/>
  <c r="K14" i="2"/>
  <c r="I19" i="5"/>
  <c r="G33" i="5"/>
  <c r="G5" i="2"/>
  <c r="G34" i="5"/>
  <c r="J16" i="5"/>
  <c r="J17" i="5" s="1"/>
  <c r="J11" i="5"/>
  <c r="K11" i="2"/>
  <c r="K13" i="2"/>
  <c r="G11" i="8"/>
  <c r="K16" i="5"/>
  <c r="K17" i="5" s="1"/>
  <c r="K11" i="5"/>
  <c r="J6" i="8"/>
  <c r="K6" i="8"/>
  <c r="I5" i="8" l="1"/>
  <c r="H11" i="8"/>
  <c r="H26" i="5"/>
  <c r="H30" i="5" s="1"/>
  <c r="H34" i="5" s="1"/>
  <c r="J19" i="5"/>
  <c r="J4" i="4"/>
  <c r="G33" i="3"/>
  <c r="F40" i="3" s="1"/>
  <c r="H24" i="2"/>
  <c r="I24" i="2"/>
  <c r="J27" i="3"/>
  <c r="K24" i="2" s="1"/>
  <c r="I20" i="5"/>
  <c r="I24" i="5"/>
  <c r="I26" i="5" s="1"/>
  <c r="I30" i="5" s="1"/>
  <c r="K19" i="5"/>
  <c r="K4" i="4"/>
  <c r="J5" i="8" l="1"/>
  <c r="J24" i="5"/>
  <c r="J20" i="5"/>
  <c r="K5" i="8"/>
  <c r="F19" i="8" s="1"/>
  <c r="F20" i="8" s="1"/>
  <c r="F21" i="8" s="1"/>
  <c r="F22" i="8" s="1"/>
  <c r="E30" i="8" s="1"/>
  <c r="J24" i="2"/>
  <c r="J25" i="2" s="1"/>
  <c r="I25" i="2"/>
  <c r="I8" i="8"/>
  <c r="H25" i="2"/>
  <c r="H8" i="8"/>
  <c r="K8" i="8"/>
  <c r="K25" i="2"/>
  <c r="H5" i="2"/>
  <c r="H33" i="5"/>
  <c r="K20" i="5"/>
  <c r="K24" i="5"/>
  <c r="I11" i="8"/>
  <c r="J11" i="8" l="1"/>
  <c r="J26" i="5"/>
  <c r="J30" i="5" s="1"/>
  <c r="J34" i="5" s="1"/>
  <c r="K11" i="8"/>
  <c r="K26" i="5"/>
  <c r="K30" i="5" s="1"/>
  <c r="K33" i="5" s="1"/>
  <c r="J8" i="8"/>
  <c r="H33" i="3"/>
  <c r="I5" i="2"/>
  <c r="I34" i="5"/>
  <c r="I33" i="5"/>
  <c r="J5" i="2" l="1"/>
  <c r="J33" i="5"/>
  <c r="I33" i="3"/>
  <c r="K34" i="5"/>
  <c r="K5" i="2"/>
  <c r="J33" i="3" l="1"/>
  <c r="K33" i="3" l="1"/>
  <c r="J7" i="8" l="1"/>
  <c r="I7" i="8"/>
  <c r="H7" i="8"/>
  <c r="K7" i="8"/>
  <c r="G7" i="8" l="1"/>
  <c r="H19" i="7" l="1"/>
  <c r="H18" i="7" s="1"/>
  <c r="H22" i="3" s="1"/>
  <c r="I19" i="7"/>
  <c r="I18" i="7" s="1"/>
  <c r="I22" i="3" s="1"/>
  <c r="J19" i="7"/>
  <c r="J18" i="7" s="1"/>
  <c r="J22" i="3" s="1"/>
  <c r="G18" i="7"/>
  <c r="G22" i="3" s="1"/>
  <c r="G16" i="2" l="1"/>
  <c r="G25" i="3"/>
  <c r="G28" i="3" s="1"/>
  <c r="G36" i="3" s="1"/>
  <c r="I16" i="2"/>
  <c r="I25" i="3"/>
  <c r="I28" i="3" s="1"/>
  <c r="I36" i="3" s="1"/>
  <c r="H16" i="2"/>
  <c r="H25" i="3"/>
  <c r="H28" i="3" s="1"/>
  <c r="H36" i="3" s="1"/>
  <c r="J25" i="3"/>
  <c r="J28" i="3" s="1"/>
  <c r="J36" i="3" s="1"/>
  <c r="J16" i="2"/>
  <c r="K19" i="7"/>
  <c r="K18" i="7" s="1"/>
  <c r="K22" i="3" s="1"/>
  <c r="I19" i="2" l="1"/>
  <c r="I36" i="2" s="1"/>
  <c r="I9" i="8"/>
  <c r="I12" i="8" s="1"/>
  <c r="I15" i="8" s="1"/>
  <c r="K25" i="3"/>
  <c r="K28" i="3" s="1"/>
  <c r="K36" i="3" s="1"/>
  <c r="K16" i="2"/>
  <c r="H19" i="2"/>
  <c r="H36" i="2" s="1"/>
  <c r="H9" i="8"/>
  <c r="H12" i="8" s="1"/>
  <c r="H15" i="8" s="1"/>
  <c r="G19" i="2"/>
  <c r="G36" i="2" s="1"/>
  <c r="G6" i="3" s="1"/>
  <c r="G9" i="8"/>
  <c r="G12" i="8" s="1"/>
  <c r="G15" i="8" s="1"/>
  <c r="J19" i="2"/>
  <c r="J36" i="2" s="1"/>
  <c r="J9" i="8"/>
  <c r="J12" i="8" s="1"/>
  <c r="J15" i="8" s="1"/>
  <c r="K19" i="2" l="1"/>
  <c r="K36" i="2" s="1"/>
  <c r="K9" i="8"/>
  <c r="K12" i="8" s="1"/>
  <c r="H6" i="3"/>
  <c r="G10" i="3"/>
  <c r="G15" i="3" s="1"/>
  <c r="G37" i="3" s="1"/>
  <c r="G38" i="3" s="1"/>
  <c r="F24" i="8" l="1"/>
  <c r="F26" i="8" s="1"/>
  <c r="F27" i="8" s="1"/>
  <c r="F30" i="8" s="1"/>
  <c r="K15" i="8"/>
  <c r="F16" i="8" s="1"/>
  <c r="H10" i="3"/>
  <c r="H15" i="3" s="1"/>
  <c r="H37" i="3" s="1"/>
  <c r="H38" i="3" s="1"/>
  <c r="I6" i="3"/>
  <c r="E29" i="8" l="1"/>
  <c r="E31" i="8" s="1"/>
  <c r="E33" i="8" s="1"/>
  <c r="E35" i="8" s="1"/>
  <c r="F29" i="8"/>
  <c r="F31" i="8" s="1"/>
  <c r="F33" i="8" s="1"/>
  <c r="F35" i="8" s="1"/>
  <c r="I10" i="3"/>
  <c r="I15" i="3" s="1"/>
  <c r="I37" i="3" s="1"/>
  <c r="I38" i="3" s="1"/>
  <c r="J6" i="3"/>
  <c r="K6" i="3" l="1"/>
  <c r="K10" i="3" s="1"/>
  <c r="K15" i="3" s="1"/>
  <c r="K37" i="3" s="1"/>
  <c r="K38" i="3" s="1"/>
  <c r="J10" i="3"/>
  <c r="J15" i="3" s="1"/>
  <c r="J37" i="3" s="1"/>
  <c r="J38" i="3" s="1"/>
</calcChain>
</file>

<file path=xl/comments1.xml><?xml version="1.0" encoding="utf-8"?>
<comments xmlns="http://schemas.openxmlformats.org/spreadsheetml/2006/main">
  <authors>
    <author>Bro Fights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Bro Fights:</t>
        </r>
        <r>
          <rPr>
            <sz val="9"/>
            <color indexed="81"/>
            <rFont val="Tahoma"/>
            <family val="2"/>
          </rPr>
          <t xml:space="preserve">
Around 2-2.05Bil for Year
Q1 2016F Earnings Call
Pg. 7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Bro Fights:</t>
        </r>
        <r>
          <rPr>
            <sz val="9"/>
            <color indexed="81"/>
            <rFont val="Tahoma"/>
            <family val="2"/>
          </rPr>
          <t xml:space="preserve">
Expects Approx ~15% Q2 Revenue Growth, higher from ~13% last year. 
Q1 2016F Earnings Call
Pg. 7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Bro Fights:</t>
        </r>
        <r>
          <rPr>
            <sz val="9"/>
            <color indexed="81"/>
            <rFont val="Tahoma"/>
            <family val="2"/>
          </rPr>
          <t xml:space="preserve">
Removed depreciation from COGS ( pg 20. )
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 xml:space="preserve">Bro Fights:
</t>
        </r>
        <r>
          <rPr>
            <sz val="9"/>
            <color indexed="81"/>
            <rFont val="Tahoma"/>
            <family val="2"/>
          </rPr>
          <t>~48-49% for Q2
Q1 2016F Earnings Call 
Pg. 7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Bro Fights:</t>
        </r>
        <r>
          <rPr>
            <sz val="9"/>
            <color indexed="81"/>
            <rFont val="Tahoma"/>
            <family val="2"/>
          </rPr>
          <t xml:space="preserve">
2015A Conference Call -
LT goal to return to low-mid 50%s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Bro Fights: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Bro Fights:</t>
        </r>
        <r>
          <rPr>
            <sz val="9"/>
            <color indexed="81"/>
            <rFont val="Tahoma"/>
            <family val="2"/>
          </rPr>
          <t xml:space="preserve">
"he lion's share
of that pressure this year is related to that occupancy and depreciation"
( Increases to as reported COGS )
Conference Call  Q1 2015A Reuters Pg. 9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Bro Fights:</t>
        </r>
        <r>
          <rPr>
            <sz val="9"/>
            <color indexed="81"/>
            <rFont val="Tahoma"/>
            <family val="2"/>
          </rPr>
          <t xml:space="preserve">
Reported 29.6%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Bro Fights:</t>
        </r>
        <r>
          <rPr>
            <sz val="9"/>
            <color indexed="81"/>
            <rFont val="Tahoma"/>
            <family val="2"/>
          </rPr>
          <t xml:space="preserve">
Reported 37.6%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Bro Fights:</t>
        </r>
        <r>
          <rPr>
            <sz val="9"/>
            <color indexed="81"/>
            <rFont val="Tahoma"/>
            <family val="2"/>
          </rPr>
          <t xml:space="preserve">
Tax Expense for 2014 (2015A) includes a one time foreign exchange related expense. Pg.20
Q12016F - 30.02</t>
        </r>
      </text>
    </comment>
  </commentList>
</comments>
</file>

<file path=xl/comments2.xml><?xml version="1.0" encoding="utf-8"?>
<comments xmlns="http://schemas.openxmlformats.org/spreadsheetml/2006/main">
  <authors>
    <author>Bro Fights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Bro Fights:</t>
        </r>
        <r>
          <rPr>
            <sz val="9"/>
            <color indexed="81"/>
            <rFont val="Tahoma"/>
            <family val="2"/>
          </rPr>
          <t xml:space="preserve">
In this model deffered income taxes are generated by differences in depreciation though this asset is never used.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Bro Fights:</t>
        </r>
        <r>
          <rPr>
            <sz val="9"/>
            <color indexed="81"/>
            <rFont val="Tahoma"/>
            <family val="2"/>
          </rPr>
          <t xml:space="preserve">
"We expect capital expenditures to range between $130 million to $135 million for the FY15. Reflecting new store openings, renovations, relocation
capital, and also strategic IT and supply chain investments."
Q1 2016 Earnings Call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Bro Fights:</t>
        </r>
        <r>
          <rPr>
            <sz val="9"/>
            <color indexed="81"/>
            <rFont val="Tahoma"/>
            <family val="2"/>
          </rPr>
          <t xml:space="preserve">
Generated by Leasing and other PP&amp;E related things. Non-Cash 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Bro Fights:</t>
        </r>
        <r>
          <rPr>
            <sz val="9"/>
            <color indexed="81"/>
            <rFont val="Tahoma"/>
            <family val="2"/>
          </rPr>
          <t xml:space="preserve">
From Shareholder's Equity table. Maxiumum of Common Shares plus Additions in Paid in Capital
pg 39.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Bro Fights:</t>
        </r>
        <r>
          <rPr>
            <sz val="9"/>
            <color indexed="81"/>
            <rFont val="Tahoma"/>
            <family val="2"/>
          </rPr>
          <t xml:space="preserve">
Current Share Repurchase plan allocated allows for 302,569 x000's additional buyback
pg.16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Bro Fights:</t>
        </r>
        <r>
          <rPr>
            <sz val="9"/>
            <color indexed="81"/>
            <rFont val="Tahoma"/>
            <family val="2"/>
          </rPr>
          <t xml:space="preserve">
Assume trend back to neutral FOREX effect
65000 from Conference Call, Transcript Page - 7 Reuters ed,</t>
        </r>
      </text>
    </comment>
  </commentList>
</comments>
</file>

<file path=xl/comments3.xml><?xml version="1.0" encoding="utf-8"?>
<comments xmlns="http://schemas.openxmlformats.org/spreadsheetml/2006/main">
  <authors>
    <author>Bro Fights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Bro Fights:</t>
        </r>
        <r>
          <rPr>
            <sz val="9"/>
            <color indexed="81"/>
            <rFont val="Tahoma"/>
            <family val="2"/>
          </rPr>
          <t xml:space="preserve">
From Pg. 52 leasing -&gt; 2020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Bro Fights:</t>
        </r>
        <r>
          <rPr>
            <sz val="9"/>
            <color indexed="81"/>
            <rFont val="Tahoma"/>
            <family val="2"/>
          </rPr>
          <t xml:space="preserve">
Introduced adjustment for surplus cash, non-current liabilities appears to soley deal with PP&amp;E concerns pg. 48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Bro Fights:</t>
        </r>
        <r>
          <rPr>
            <sz val="9"/>
            <color indexed="81"/>
            <rFont val="Tahoma"/>
            <family val="2"/>
          </rPr>
          <t xml:space="preserve">
Incorporates an Equity Settlement Portion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Bro Fights:</t>
        </r>
        <r>
          <rPr>
            <sz val="9"/>
            <color indexed="81"/>
            <rFont val="Tahoma"/>
            <family val="2"/>
          </rPr>
          <t xml:space="preserve">
Large component appears to be currency translation.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>Bro Fights:</t>
        </r>
        <r>
          <rPr>
            <sz val="9"/>
            <color indexed="81"/>
            <rFont val="Tahoma"/>
            <family val="2"/>
          </rPr>
          <t xml:space="preserve">
No significant debts appear.  Commented on pg. 48</t>
        </r>
      </text>
    </comment>
  </commentList>
</comments>
</file>

<file path=xl/comments4.xml><?xml version="1.0" encoding="utf-8"?>
<comments xmlns="http://schemas.openxmlformats.org/spreadsheetml/2006/main">
  <authors>
    <author>Bro Fights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Bro Fights:</t>
        </r>
        <r>
          <rPr>
            <sz val="9"/>
            <color indexed="81"/>
            <rFont val="Tahoma"/>
            <family val="2"/>
          </rPr>
          <t xml:space="preserve">
"3/4 Year" Cash Flow Timing Adjustment
Earnings tend to "bloom" as the end of the year approaches.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Bro Fights:</t>
        </r>
        <r>
          <rPr>
            <sz val="9"/>
            <color indexed="81"/>
            <rFont val="Tahoma"/>
            <family val="2"/>
          </rPr>
          <t xml:space="preserve">
5 Yr Gov US Tres 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Bro Fights:</t>
        </r>
        <r>
          <rPr>
            <sz val="9"/>
            <color indexed="81"/>
            <rFont val="Tahoma"/>
            <family val="2"/>
          </rPr>
          <t xml:space="preserve">
From Aswath Dammodaran - July 1 Est.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 xml:space="preserve">Bro Fights:
</t>
        </r>
        <r>
          <rPr>
            <sz val="9"/>
            <color indexed="81"/>
            <rFont val="Tahoma"/>
            <family val="2"/>
          </rPr>
          <t>2015A Conference Call -
"mid to low single digits"
Reuters pg. 8</t>
        </r>
      </text>
    </comment>
  </commentList>
</comments>
</file>

<file path=xl/sharedStrings.xml><?xml version="1.0" encoding="utf-8"?>
<sst xmlns="http://schemas.openxmlformats.org/spreadsheetml/2006/main" count="309" uniqueCount="185">
  <si>
    <t>CONSOLIDATED STATEMENTS OF CASH FLOWS</t>
  </si>
  <si>
    <t>(Amounts in thousands)</t>
  </si>
  <si>
    <t>CONSOLIDATED STATEMENTS OF OPERATIONS AND INCOME</t>
  </si>
  <si>
    <t xml:space="preserve">Period Ending January 31st. </t>
  </si>
  <si>
    <t>2013A</t>
  </si>
  <si>
    <t>2014A</t>
  </si>
  <si>
    <t>2015A</t>
  </si>
  <si>
    <t>2016F</t>
  </si>
  <si>
    <t>2017F</t>
  </si>
  <si>
    <t>2018F</t>
  </si>
  <si>
    <t>2019F</t>
  </si>
  <si>
    <t>2020F</t>
  </si>
  <si>
    <t>Revenue</t>
  </si>
  <si>
    <t>Net Sales</t>
  </si>
  <si>
    <t>Cost of goods sold</t>
  </si>
  <si>
    <t>% Growth</t>
  </si>
  <si>
    <t>COGS as a % of revenue</t>
  </si>
  <si>
    <t>Gross profit</t>
  </si>
  <si>
    <t>Gross profit margin (%)</t>
  </si>
  <si>
    <t>Operating expenses</t>
  </si>
  <si>
    <t>Selling, general and administrative</t>
  </si>
  <si>
    <t>SG&amp;A as a % of revenue</t>
  </si>
  <si>
    <t>EBITDA margin (%)</t>
  </si>
  <si>
    <t>Depreciation and amortization</t>
  </si>
  <si>
    <t>EBIT</t>
  </si>
  <si>
    <t>EBIT margin (%)</t>
  </si>
  <si>
    <t>Income tax expense</t>
  </si>
  <si>
    <t>Tax rate (%)</t>
  </si>
  <si>
    <t>Net Income (Adjusted)</t>
  </si>
  <si>
    <t>Cost of goods sold (Adjusted)</t>
  </si>
  <si>
    <t>EBITDA ( Adjusted)</t>
  </si>
  <si>
    <t>Interest</t>
  </si>
  <si>
    <t>Other Income (Expense)</t>
  </si>
  <si>
    <t>Taxation</t>
  </si>
  <si>
    <t>Minority Control</t>
  </si>
  <si>
    <t>Net income attributable to non-controlling interest</t>
  </si>
  <si>
    <t>Net Income (Reported)</t>
  </si>
  <si>
    <t>Earnings Per Share (EPS)</t>
  </si>
  <si>
    <t>Basic</t>
  </si>
  <si>
    <t>Diluted</t>
  </si>
  <si>
    <t>Average Shares Outstanding</t>
  </si>
  <si>
    <t>Cash flows from operating activities</t>
  </si>
  <si>
    <t>Net income</t>
  </si>
  <si>
    <t>Items not affecting cash</t>
  </si>
  <si>
    <t>Deferred income taxes</t>
  </si>
  <si>
    <t>Inventories</t>
  </si>
  <si>
    <t>Accounts payable</t>
  </si>
  <si>
    <t>Accrued inventory liabilities</t>
  </si>
  <si>
    <t>Other accrued liabilities</t>
  </si>
  <si>
    <t>Income taxes payable</t>
  </si>
  <si>
    <t>Accrued compensation and related expenses</t>
  </si>
  <si>
    <t>Net cash provided by operating activities</t>
  </si>
  <si>
    <t>Purchase of property and equipment</t>
  </si>
  <si>
    <t>Cash flows from investing activities</t>
  </si>
  <si>
    <t>Net cash used in investing activities</t>
  </si>
  <si>
    <t>Cash flows from financing activities</t>
  </si>
  <si>
    <t>Proceeds from exercise of stock options</t>
  </si>
  <si>
    <t>Taxes paid related to net share settlement of equity awards</t>
  </si>
  <si>
    <t>Repurchase of common stock</t>
  </si>
  <si>
    <t>Net cash (used in) provided by financing activities</t>
  </si>
  <si>
    <t>CONSOLIDATED BALANCE SHEETS</t>
  </si>
  <si>
    <t>Current Assets</t>
  </si>
  <si>
    <t>Cash and cash equivalents</t>
  </si>
  <si>
    <t>Accounts receivable</t>
  </si>
  <si>
    <t>Prepaid expenses and other current assets</t>
  </si>
  <si>
    <t>Property and equipment, net</t>
  </si>
  <si>
    <t>Goodwill and intangible assets, net</t>
  </si>
  <si>
    <t>Deferred income tax asset</t>
  </si>
  <si>
    <t>Other non-current assets</t>
  </si>
  <si>
    <t>LIABILITIES AND STOCKHOLDERS' EQUITY</t>
  </si>
  <si>
    <t>ASSETS</t>
  </si>
  <si>
    <t>Current liabilities</t>
  </si>
  <si>
    <t>Unredeemed gift card liability</t>
  </si>
  <si>
    <t>Deferred income tax liability</t>
  </si>
  <si>
    <t>Other non-current liabilities</t>
  </si>
  <si>
    <t>Stockholders' equity</t>
  </si>
  <si>
    <t>Common stock</t>
  </si>
  <si>
    <t>Additional paid-in capital</t>
  </si>
  <si>
    <t>Retained earnings</t>
  </si>
  <si>
    <t>Accumulated other comprehensive loss</t>
  </si>
  <si>
    <t>Total</t>
  </si>
  <si>
    <t>Working Capital Changes ( From Balance Sheet )</t>
  </si>
  <si>
    <t>Hardcoded</t>
  </si>
  <si>
    <t>Check</t>
  </si>
  <si>
    <t>Property and equipment ( Beg of Year)</t>
  </si>
  <si>
    <t>Capital expenditures ( Beg of Year)</t>
  </si>
  <si>
    <t>Book ( GAAP) depreciation</t>
  </si>
  <si>
    <t>Useful Life</t>
  </si>
  <si>
    <t>PP&amp;E</t>
  </si>
  <si>
    <t>CAPEX</t>
  </si>
  <si>
    <t>Existing PP&amp;E</t>
  </si>
  <si>
    <t>CAPEX 2016</t>
  </si>
  <si>
    <t>CAPEX 2017</t>
  </si>
  <si>
    <t>CAPEX 2018</t>
  </si>
  <si>
    <t>CAPEX 2019</t>
  </si>
  <si>
    <t>CAPEX 2020</t>
  </si>
  <si>
    <t>Depreciation ( Level Method , End of Year )</t>
  </si>
  <si>
    <t>Purchase of property and equipment % of Revenues</t>
  </si>
  <si>
    <t>CAPEX 2015</t>
  </si>
  <si>
    <t>Book ( MACRS)  depreciation</t>
  </si>
  <si>
    <t>Depreciation ( Half Year)</t>
  </si>
  <si>
    <t>Depreciation ( Half Year % , 7-year)</t>
  </si>
  <si>
    <t xml:space="preserve">Depreciation </t>
  </si>
  <si>
    <t>Operating Working Capital</t>
  </si>
  <si>
    <t>Receivable days</t>
  </si>
  <si>
    <t>Inventory days</t>
  </si>
  <si>
    <t>Payable days</t>
  </si>
  <si>
    <t>Payable Days</t>
  </si>
  <si>
    <t>Prepaid expense days</t>
  </si>
  <si>
    <t>Effect of exchange rate changes on cash</t>
  </si>
  <si>
    <t>(Decrease) increase in cash and cash equivalents</t>
  </si>
  <si>
    <t>Other non-current liabilities ( % 0f PP&amp;E )</t>
  </si>
  <si>
    <t>Note on Debt</t>
  </si>
  <si>
    <t>Check ( % of Assets )</t>
  </si>
  <si>
    <t xml:space="preserve">Discounted Cash Flow Analysis </t>
  </si>
  <si>
    <t>Unlevered Free Cash Flow</t>
  </si>
  <si>
    <t>Depreciation &amp; Amortization</t>
  </si>
  <si>
    <t>Deferred Taxes</t>
  </si>
  <si>
    <t>Changes in Working Capital</t>
  </si>
  <si>
    <t>Capital Expenditures</t>
  </si>
  <si>
    <t>Taxes</t>
  </si>
  <si>
    <t>Total Unlevered Free Cash Flow</t>
  </si>
  <si>
    <t>Net Present Value Calulation</t>
  </si>
  <si>
    <t>Period</t>
  </si>
  <si>
    <t>Discounted Cash Flow</t>
  </si>
  <si>
    <t>Total Net Present Value</t>
  </si>
  <si>
    <t>Terminal Value</t>
  </si>
  <si>
    <t>EBITDA Method</t>
  </si>
  <si>
    <t>Exit Year EBITDA</t>
  </si>
  <si>
    <t xml:space="preserve">Risk Free Rate </t>
  </si>
  <si>
    <t>Multiple</t>
  </si>
  <si>
    <t xml:space="preserve">Market Risk Premium </t>
  </si>
  <si>
    <t xml:space="preserve">Stock Price </t>
  </si>
  <si>
    <t xml:space="preserve">Beta </t>
  </si>
  <si>
    <t>Shares Outstanding</t>
  </si>
  <si>
    <t>Net Present Value</t>
  </si>
  <si>
    <t xml:space="preserve">Cost of Equity </t>
  </si>
  <si>
    <t>Equity Value</t>
  </si>
  <si>
    <t>Perpetuity Method</t>
  </si>
  <si>
    <t xml:space="preserve">Cost of Debt </t>
  </si>
  <si>
    <t>Growth Rate</t>
  </si>
  <si>
    <t>WACC</t>
  </si>
  <si>
    <t xml:space="preserve">Discounted Cash Flow Total Valuation </t>
  </si>
  <si>
    <t xml:space="preserve">EBITDA Method </t>
  </si>
  <si>
    <t>Total of Present Value of Cash Flows</t>
  </si>
  <si>
    <t>Present Value of Terminal Value</t>
  </si>
  <si>
    <t>Total Enterprise Value</t>
  </si>
  <si>
    <t>Net Debt, Non-controlling interests, preferred securities</t>
  </si>
  <si>
    <t>Estimated Equity Value per Share</t>
  </si>
  <si>
    <t>Debt YE 2015</t>
  </si>
  <si>
    <t>Shares Repurchased @ 64.00</t>
  </si>
  <si>
    <t>Cost of Capital by CAPM</t>
  </si>
  <si>
    <t>Share Count</t>
  </si>
  <si>
    <t>Item</t>
  </si>
  <si>
    <t>Location</t>
  </si>
  <si>
    <t>Notes</t>
  </si>
  <si>
    <t>Revenue Growth</t>
  </si>
  <si>
    <t>Income Statement</t>
  </si>
  <si>
    <t>Cost of Goods Sold</t>
  </si>
  <si>
    <t>Income Taxes</t>
  </si>
  <si>
    <t>Upon inspection tax rates however around the 30% mark. During the most recent year a one time tax expense was noted and rasied levels to around 38%</t>
  </si>
  <si>
    <t>Under the current share repurchase program, a select amount will be bought back in the fiscal 2016</t>
  </si>
  <si>
    <t>Cash Flows Statement</t>
  </si>
  <si>
    <t>Deffered Income Taxes</t>
  </si>
  <si>
    <t>Balance Sheet Statement</t>
  </si>
  <si>
    <t>Constant - Simplification - Since no deffered taxes are used within the model, this is a placeholder to show that while it is considered it is not used</t>
  </si>
  <si>
    <t>Constant - Simplification - Since the relative amount of proceeds are low, this is not modeled.</t>
  </si>
  <si>
    <t>Zero Value - This is said to be a one time occurrence.</t>
  </si>
  <si>
    <t>Constant - Lack of information and trends indicate impairment over growth</t>
  </si>
  <si>
    <t>Hardcoded - Small amounts of growth are noted within the annual reports due to matters related to PP&amp;E</t>
  </si>
  <si>
    <t>Constant - Simplification - Netted against a growth of deffered tax assets</t>
  </si>
  <si>
    <t>Common Stock / Retained Earings</t>
  </si>
  <si>
    <t>Constant - Simplification - Reduced retained earnings for stock buy back program</t>
  </si>
  <si>
    <t>v</t>
  </si>
  <si>
    <t>Minimum Value</t>
  </si>
  <si>
    <t>Interest Income (Expense)</t>
  </si>
  <si>
    <t>Constant - Simplification</t>
  </si>
  <si>
    <t>Last Historic</t>
  </si>
  <si>
    <t>Gross profit margin (%) ( including depreciation)</t>
  </si>
  <si>
    <t>Deffered Taxes</t>
  </si>
  <si>
    <t>Net Taxation</t>
  </si>
  <si>
    <t>Deferred Tax Liability</t>
  </si>
  <si>
    <t>Weighted Average</t>
  </si>
  <si>
    <t>Q Ratio</t>
  </si>
  <si>
    <t>Cash as % of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</si>
</sst>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164" formatCode="#,##0.0_);[Red]\(#,##0.0\)"/>
    <numFmt numFmtId="165" formatCode="#,##0.0_);\(#,##0.0\)"/>
    <numFmt numFmtId="166" formatCode="#,##0.00_);\(#,##0.00\);#,##0.00_);@_)"/>
    <numFmt numFmtId="167" formatCode="0.000%"/>
    <numFmt numFmtId="168" formatCode="0.000000%"/>
    <numFmt numFmtId="169" formatCode="0.00\x"/>
  </numFmts>
  <fonts count="20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B0F0"/>
      <name val="Calibri"/>
      <family val="2"/>
      <scheme val="minor"/>
    </font>
    <font>
      <sz val="10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B0F0"/>
      <name val="Times New Roman"/>
      <family val="1"/>
    </font>
    <font>
      <sz val="10"/>
      <name val="Arial"/>
      <family val="2"/>
    </font>
    <font>
      <sz val="16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indexed="56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10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/>
    <xf numFmtId="0" fontId="9" fillId="0" borderId="0"/>
  </cellStyleXfs>
  <cellXfs count="217">
    <xf numFmtId="0" fontId="0" fillId="0" borderId="0" xfId="0"/>
    <xf numFmtId="0" fontId="2" fillId="2" borderId="0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0" xfId="0" applyFill="1"/>
    <xf numFmtId="40" fontId="0" fillId="3" borderId="0" xfId="0" applyNumberFormat="1" applyFill="1"/>
    <xf numFmtId="40" fontId="0" fillId="0" borderId="0" xfId="0" applyNumberFormat="1"/>
    <xf numFmtId="40" fontId="0" fillId="3" borderId="0" xfId="0" applyNumberFormat="1" applyFill="1" applyBorder="1"/>
    <xf numFmtId="10" fontId="0" fillId="3" borderId="1" xfId="1" applyNumberFormat="1" applyFont="1" applyFill="1" applyBorder="1"/>
    <xf numFmtId="40" fontId="5" fillId="3" borderId="1" xfId="0" applyNumberFormat="1" applyFont="1" applyFill="1" applyBorder="1"/>
    <xf numFmtId="10" fontId="0" fillId="3" borderId="0" xfId="1" applyNumberFormat="1" applyFont="1" applyFill="1" applyBorder="1"/>
    <xf numFmtId="0" fontId="2" fillId="2" borderId="3" xfId="0" applyFont="1" applyFill="1" applyBorder="1"/>
    <xf numFmtId="38" fontId="5" fillId="3" borderId="0" xfId="0" applyNumberFormat="1" applyFont="1" applyFill="1" applyBorder="1"/>
    <xf numFmtId="38" fontId="2" fillId="3" borderId="6" xfId="0" applyNumberFormat="1" applyFont="1" applyFill="1" applyBorder="1"/>
    <xf numFmtId="38" fontId="0" fillId="3" borderId="0" xfId="0" applyNumberFormat="1" applyFill="1"/>
    <xf numFmtId="38" fontId="5" fillId="3" borderId="1" xfId="0" applyNumberFormat="1" applyFont="1" applyFill="1" applyBorder="1"/>
    <xf numFmtId="38" fontId="2" fillId="3" borderId="0" xfId="0" applyNumberFormat="1" applyFont="1" applyFill="1" applyBorder="1"/>
    <xf numFmtId="38" fontId="0" fillId="0" borderId="0" xfId="0" applyNumberFormat="1"/>
    <xf numFmtId="10" fontId="4" fillId="3" borderId="0" xfId="1" applyNumberFormat="1" applyFont="1" applyFill="1" applyBorder="1"/>
    <xf numFmtId="10" fontId="4" fillId="3" borderId="1" xfId="1" applyNumberFormat="1" applyFont="1" applyFill="1" applyBorder="1"/>
    <xf numFmtId="40" fontId="4" fillId="3" borderId="1" xfId="0" applyNumberFormat="1" applyFont="1" applyFill="1" applyBorder="1"/>
    <xf numFmtId="38" fontId="4" fillId="3" borderId="0" xfId="0" applyNumberFormat="1" applyFont="1" applyFill="1" applyBorder="1"/>
    <xf numFmtId="38" fontId="5" fillId="0" borderId="5" xfId="0" applyNumberFormat="1" applyFont="1" applyBorder="1"/>
    <xf numFmtId="38" fontId="5" fillId="0" borderId="1" xfId="0" applyNumberFormat="1" applyFont="1" applyBorder="1"/>
    <xf numFmtId="38" fontId="3" fillId="0" borderId="0" xfId="0" applyNumberFormat="1" applyFont="1"/>
    <xf numFmtId="38" fontId="5" fillId="3" borderId="5" xfId="0" applyNumberFormat="1" applyFont="1" applyFill="1" applyBorder="1"/>
    <xf numFmtId="10" fontId="8" fillId="0" borderId="0" xfId="1" applyNumberFormat="1" applyFont="1"/>
    <xf numFmtId="0" fontId="2" fillId="0" borderId="7" xfId="0" applyFont="1" applyBorder="1"/>
    <xf numFmtId="0" fontId="0" fillId="0" borderId="0" xfId="0" applyBorder="1"/>
    <xf numFmtId="38" fontId="4" fillId="0" borderId="0" xfId="0" applyNumberFormat="1" applyFont="1" applyBorder="1"/>
    <xf numFmtId="38" fontId="4" fillId="0" borderId="3" xfId="0" applyNumberFormat="1" applyFont="1" applyBorder="1"/>
    <xf numFmtId="38" fontId="4" fillId="0" borderId="1" xfId="0" applyNumberFormat="1" applyFont="1" applyBorder="1"/>
    <xf numFmtId="38" fontId="4" fillId="0" borderId="2" xfId="0" applyNumberFormat="1" applyFont="1" applyBorder="1"/>
    <xf numFmtId="38" fontId="4" fillId="3" borderId="1" xfId="0" applyNumberFormat="1" applyFont="1" applyFill="1" applyBorder="1"/>
    <xf numFmtId="3" fontId="3" fillId="0" borderId="0" xfId="0" applyNumberFormat="1" applyFont="1"/>
    <xf numFmtId="38" fontId="5" fillId="3" borderId="0" xfId="0" quotePrefix="1" applyNumberFormat="1" applyFont="1" applyFill="1" applyBorder="1"/>
    <xf numFmtId="38" fontId="5" fillId="3" borderId="9" xfId="0" quotePrefix="1" applyNumberFormat="1" applyFont="1" applyFill="1" applyBorder="1"/>
    <xf numFmtId="1" fontId="0" fillId="0" borderId="0" xfId="0" applyNumberFormat="1"/>
    <xf numFmtId="10" fontId="4" fillId="3" borderId="3" xfId="1" applyNumberFormat="1" applyFont="1" applyFill="1" applyBorder="1"/>
    <xf numFmtId="10" fontId="4" fillId="3" borderId="2" xfId="1" applyNumberFormat="1" applyFont="1" applyFill="1" applyBorder="1"/>
    <xf numFmtId="38" fontId="2" fillId="3" borderId="3" xfId="0" applyNumberFormat="1" applyFont="1" applyFill="1" applyBorder="1"/>
    <xf numFmtId="10" fontId="0" fillId="3" borderId="3" xfId="1" applyNumberFormat="1" applyFont="1" applyFill="1" applyBorder="1"/>
    <xf numFmtId="0" fontId="2" fillId="3" borderId="9" xfId="0" applyFont="1" applyFill="1" applyBorder="1"/>
    <xf numFmtId="40" fontId="4" fillId="3" borderId="2" xfId="0" applyNumberFormat="1" applyFont="1" applyFill="1" applyBorder="1"/>
    <xf numFmtId="38" fontId="2" fillId="3" borderId="11" xfId="0" applyNumberFormat="1" applyFont="1" applyFill="1" applyBorder="1"/>
    <xf numFmtId="38" fontId="4" fillId="3" borderId="3" xfId="0" applyNumberFormat="1" applyFont="1" applyFill="1" applyBorder="1"/>
    <xf numFmtId="38" fontId="4" fillId="3" borderId="2" xfId="0" applyNumberFormat="1" applyFont="1" applyFill="1" applyBorder="1"/>
    <xf numFmtId="38" fontId="5" fillId="0" borderId="0" xfId="0" applyNumberFormat="1" applyFont="1" applyBorder="1"/>
    <xf numFmtId="10" fontId="0" fillId="0" borderId="0" xfId="1" applyNumberFormat="1" applyFont="1" applyBorder="1"/>
    <xf numFmtId="10" fontId="4" fillId="0" borderId="0" xfId="1" applyNumberFormat="1" applyFont="1" applyBorder="1"/>
    <xf numFmtId="10" fontId="4" fillId="0" borderId="3" xfId="1" applyNumberFormat="1" applyFont="1" applyBorder="1"/>
    <xf numFmtId="40" fontId="5" fillId="0" borderId="0" xfId="0" applyNumberFormat="1" applyFont="1" applyBorder="1"/>
    <xf numFmtId="10" fontId="0" fillId="0" borderId="1" xfId="1" applyNumberFormat="1" applyFont="1" applyBorder="1"/>
    <xf numFmtId="10" fontId="0" fillId="0" borderId="2" xfId="1" applyNumberFormat="1" applyFont="1" applyBorder="1"/>
    <xf numFmtId="38" fontId="5" fillId="3" borderId="0" xfId="0" applyNumberFormat="1" applyFont="1" applyFill="1" applyBorder="1" applyAlignment="1">
      <alignment horizontal="center"/>
    </xf>
    <xf numFmtId="0" fontId="0" fillId="2" borderId="0" xfId="0" applyFont="1" applyFill="1" applyBorder="1"/>
    <xf numFmtId="0" fontId="0" fillId="2" borderId="3" xfId="0" applyFont="1" applyFill="1" applyBorder="1"/>
    <xf numFmtId="0" fontId="0" fillId="2" borderId="0" xfId="0" applyFont="1" applyFill="1"/>
    <xf numFmtId="0" fontId="0" fillId="0" borderId="0" xfId="0" applyFont="1"/>
    <xf numFmtId="0" fontId="0" fillId="2" borderId="1" xfId="0" applyFont="1" applyFill="1" applyBorder="1"/>
    <xf numFmtId="0" fontId="11" fillId="3" borderId="7" xfId="2" applyFont="1" applyFill="1" applyBorder="1" applyAlignment="1"/>
    <xf numFmtId="0" fontId="12" fillId="3" borderId="8" xfId="2" applyFont="1" applyFill="1" applyBorder="1" applyAlignment="1"/>
    <xf numFmtId="0" fontId="12" fillId="3" borderId="8" xfId="2" applyFont="1" applyFill="1" applyBorder="1"/>
    <xf numFmtId="164" fontId="12" fillId="3" borderId="8" xfId="2" applyNumberFormat="1" applyFont="1" applyFill="1" applyBorder="1"/>
    <xf numFmtId="164" fontId="12" fillId="3" borderId="4" xfId="2" applyNumberFormat="1" applyFont="1" applyFill="1" applyBorder="1"/>
    <xf numFmtId="0" fontId="12" fillId="0" borderId="0" xfId="2" applyFont="1"/>
    <xf numFmtId="0" fontId="11" fillId="3" borderId="9" xfId="2" applyFont="1" applyFill="1" applyBorder="1" applyAlignment="1"/>
    <xf numFmtId="0" fontId="12" fillId="3" borderId="0" xfId="2" applyFont="1" applyFill="1" applyBorder="1" applyAlignment="1"/>
    <xf numFmtId="0" fontId="12" fillId="3" borderId="0" xfId="2" applyFont="1" applyFill="1" applyBorder="1"/>
    <xf numFmtId="164" fontId="12" fillId="3" borderId="0" xfId="2" applyNumberFormat="1" applyFont="1" applyFill="1" applyBorder="1"/>
    <xf numFmtId="164" fontId="12" fillId="3" borderId="3" xfId="2" applyNumberFormat="1" applyFont="1" applyFill="1" applyBorder="1"/>
    <xf numFmtId="164" fontId="12" fillId="3" borderId="1" xfId="2" applyNumberFormat="1" applyFont="1" applyFill="1" applyBorder="1"/>
    <xf numFmtId="164" fontId="12" fillId="3" borderId="2" xfId="2" applyNumberFormat="1" applyFont="1" applyFill="1" applyBorder="1"/>
    <xf numFmtId="0" fontId="11" fillId="3" borderId="0" xfId="2" applyFont="1" applyFill="1" applyBorder="1" applyAlignment="1"/>
    <xf numFmtId="0" fontId="11" fillId="3" borderId="0" xfId="2" applyFont="1" applyFill="1" applyBorder="1"/>
    <xf numFmtId="164" fontId="11" fillId="3" borderId="0" xfId="2" applyNumberFormat="1" applyFont="1" applyFill="1" applyBorder="1"/>
    <xf numFmtId="164" fontId="11" fillId="3" borderId="3" xfId="2" applyNumberFormat="1" applyFont="1" applyFill="1" applyBorder="1"/>
    <xf numFmtId="0" fontId="11" fillId="0" borderId="0" xfId="2" applyFont="1"/>
    <xf numFmtId="0" fontId="12" fillId="3" borderId="0" xfId="3" applyFont="1" applyFill="1" applyBorder="1"/>
    <xf numFmtId="10" fontId="13" fillId="3" borderId="0" xfId="3" applyNumberFormat="1" applyFont="1" applyFill="1" applyBorder="1"/>
    <xf numFmtId="164" fontId="12" fillId="3" borderId="0" xfId="3" applyNumberFormat="1" applyFont="1" applyFill="1" applyBorder="1"/>
    <xf numFmtId="0" fontId="11" fillId="3" borderId="5" xfId="2" applyFont="1" applyFill="1" applyBorder="1" applyAlignment="1"/>
    <xf numFmtId="0" fontId="11" fillId="3" borderId="1" xfId="2" applyFont="1" applyFill="1" applyBorder="1" applyAlignment="1"/>
    <xf numFmtId="0" fontId="12" fillId="3" borderId="1" xfId="2" applyFont="1" applyFill="1" applyBorder="1"/>
    <xf numFmtId="0" fontId="12" fillId="3" borderId="1" xfId="3" applyFont="1" applyFill="1" applyBorder="1"/>
    <xf numFmtId="0" fontId="11" fillId="3" borderId="0" xfId="2" applyFont="1" applyFill="1" applyAlignment="1"/>
    <xf numFmtId="0" fontId="11" fillId="4" borderId="5" xfId="2" applyFont="1" applyFill="1" applyBorder="1"/>
    <xf numFmtId="0" fontId="11" fillId="4" borderId="1" xfId="2" applyFont="1" applyFill="1" applyBorder="1"/>
    <xf numFmtId="0" fontId="11" fillId="4" borderId="2" xfId="2" applyFont="1" applyFill="1" applyBorder="1"/>
    <xf numFmtId="164" fontId="12" fillId="3" borderId="0" xfId="2" applyNumberFormat="1" applyFont="1" applyFill="1"/>
    <xf numFmtId="0" fontId="12" fillId="4" borderId="1" xfId="2" applyFont="1" applyFill="1" applyBorder="1"/>
    <xf numFmtId="0" fontId="12" fillId="4" borderId="6" xfId="2" applyFont="1" applyFill="1" applyBorder="1"/>
    <xf numFmtId="0" fontId="12" fillId="4" borderId="11" xfId="2" applyFont="1" applyFill="1" applyBorder="1"/>
    <xf numFmtId="0" fontId="12" fillId="3" borderId="9" xfId="2" applyFont="1" applyFill="1" applyBorder="1"/>
    <xf numFmtId="0" fontId="12" fillId="3" borderId="0" xfId="2" applyFont="1" applyFill="1" applyBorder="1" applyAlignment="1">
      <alignment horizontal="left"/>
    </xf>
    <xf numFmtId="0" fontId="12" fillId="3" borderId="0" xfId="2" applyFont="1" applyFill="1"/>
    <xf numFmtId="0" fontId="12" fillId="3" borderId="9" xfId="2" applyFont="1" applyFill="1" applyBorder="1" applyAlignment="1">
      <alignment horizontal="left"/>
    </xf>
    <xf numFmtId="10" fontId="14" fillId="3" borderId="0" xfId="2" applyNumberFormat="1" applyFont="1" applyFill="1" applyBorder="1"/>
    <xf numFmtId="0" fontId="11" fillId="3" borderId="9" xfId="2" applyFont="1" applyFill="1" applyBorder="1"/>
    <xf numFmtId="37" fontId="12" fillId="3" borderId="3" xfId="2" applyNumberFormat="1" applyFont="1" applyFill="1" applyBorder="1"/>
    <xf numFmtId="169" fontId="12" fillId="3" borderId="12" xfId="3" applyNumberFormat="1" applyFont="1" applyFill="1" applyBorder="1"/>
    <xf numFmtId="39" fontId="14" fillId="3" borderId="3" xfId="2" applyNumberFormat="1" applyFont="1" applyFill="1" applyBorder="1"/>
    <xf numFmtId="165" fontId="12" fillId="3" borderId="3" xfId="3" applyNumberFormat="1" applyFont="1" applyFill="1" applyBorder="1"/>
    <xf numFmtId="166" fontId="14" fillId="3" borderId="0" xfId="2" applyNumberFormat="1" applyFont="1" applyFill="1" applyBorder="1"/>
    <xf numFmtId="0" fontId="12" fillId="3" borderId="5" xfId="2" applyFont="1" applyFill="1" applyBorder="1"/>
    <xf numFmtId="0" fontId="11" fillId="3" borderId="1" xfId="2" applyFont="1" applyFill="1" applyBorder="1" applyAlignment="1">
      <alignment horizontal="left"/>
    </xf>
    <xf numFmtId="165" fontId="11" fillId="3" borderId="2" xfId="3" applyNumberFormat="1" applyFont="1" applyFill="1" applyBorder="1"/>
    <xf numFmtId="164" fontId="11" fillId="3" borderId="0" xfId="2" applyNumberFormat="1" applyFont="1" applyFill="1"/>
    <xf numFmtId="165" fontId="12" fillId="3" borderId="3" xfId="2" applyNumberFormat="1" applyFont="1" applyFill="1" applyBorder="1"/>
    <xf numFmtId="0" fontId="12" fillId="3" borderId="0" xfId="2" applyFont="1" applyFill="1" applyAlignment="1"/>
    <xf numFmtId="0" fontId="11" fillId="4" borderId="10" xfId="2" applyFont="1" applyFill="1" applyBorder="1"/>
    <xf numFmtId="0" fontId="11" fillId="4" borderId="6" xfId="2" applyFont="1" applyFill="1" applyBorder="1"/>
    <xf numFmtId="0" fontId="11" fillId="4" borderId="11" xfId="2" applyFont="1" applyFill="1" applyBorder="1"/>
    <xf numFmtId="167" fontId="15" fillId="3" borderId="0" xfId="2" applyNumberFormat="1" applyFont="1" applyFill="1" applyBorder="1"/>
    <xf numFmtId="0" fontId="12" fillId="3" borderId="3" xfId="2" applyFont="1" applyFill="1" applyBorder="1"/>
    <xf numFmtId="0" fontId="12" fillId="3" borderId="7" xfId="2" applyFont="1" applyFill="1" applyBorder="1"/>
    <xf numFmtId="0" fontId="12" fillId="3" borderId="8" xfId="2" applyFont="1" applyFill="1" applyBorder="1" applyAlignment="1">
      <alignment horizontal="left"/>
    </xf>
    <xf numFmtId="10" fontId="14" fillId="3" borderId="12" xfId="3" applyNumberFormat="1" applyFont="1" applyFill="1" applyBorder="1"/>
    <xf numFmtId="0" fontId="11" fillId="3" borderId="5" xfId="2" applyFont="1" applyFill="1" applyBorder="1"/>
    <xf numFmtId="168" fontId="11" fillId="3" borderId="1" xfId="2" applyNumberFormat="1" applyFont="1" applyFill="1" applyBorder="1"/>
    <xf numFmtId="0" fontId="12" fillId="3" borderId="2" xfId="2" applyFont="1" applyFill="1" applyBorder="1"/>
    <xf numFmtId="164" fontId="12" fillId="3" borderId="3" xfId="3" applyNumberFormat="1" applyFont="1" applyFill="1" applyBorder="1" applyAlignment="1"/>
    <xf numFmtId="0" fontId="16" fillId="3" borderId="0" xfId="2" applyFont="1" applyFill="1"/>
    <xf numFmtId="0" fontId="12" fillId="0" borderId="0" xfId="2" applyFont="1" applyFill="1"/>
    <xf numFmtId="164" fontId="11" fillId="3" borderId="2" xfId="3" applyNumberFormat="1" applyFont="1" applyFill="1" applyBorder="1" applyAlignment="1"/>
    <xf numFmtId="0" fontId="11" fillId="4" borderId="6" xfId="2" applyFont="1" applyFill="1" applyBorder="1" applyAlignment="1">
      <alignment horizontal="right"/>
    </xf>
    <xf numFmtId="0" fontId="11" fillId="4" borderId="11" xfId="2" applyFont="1" applyFill="1" applyBorder="1" applyAlignment="1">
      <alignment horizontal="right"/>
    </xf>
    <xf numFmtId="0" fontId="12" fillId="3" borderId="9" xfId="2" applyFont="1" applyFill="1" applyBorder="1" applyAlignment="1"/>
    <xf numFmtId="165" fontId="12" fillId="3" borderId="0" xfId="2" applyNumberFormat="1" applyFont="1" applyFill="1" applyBorder="1"/>
    <xf numFmtId="38" fontId="12" fillId="0" borderId="0" xfId="2" applyNumberFormat="1" applyFont="1"/>
    <xf numFmtId="37" fontId="12" fillId="0" borderId="0" xfId="2" applyNumberFormat="1" applyFont="1"/>
    <xf numFmtId="0" fontId="11" fillId="3" borderId="1" xfId="2" applyFont="1" applyFill="1" applyBorder="1"/>
    <xf numFmtId="7" fontId="11" fillId="3" borderId="1" xfId="2" applyNumberFormat="1" applyFont="1" applyFill="1" applyBorder="1"/>
    <xf numFmtId="7" fontId="11" fillId="3" borderId="2" xfId="2" applyNumberFormat="1" applyFont="1" applyFill="1" applyBorder="1"/>
    <xf numFmtId="0" fontId="0" fillId="0" borderId="8" xfId="0" applyFont="1" applyBorder="1"/>
    <xf numFmtId="38" fontId="0" fillId="0" borderId="4" xfId="0" applyNumberFormat="1" applyFont="1" applyBorder="1"/>
    <xf numFmtId="38" fontId="0" fillId="0" borderId="7" xfId="0" applyNumberFormat="1" applyFont="1" applyBorder="1"/>
    <xf numFmtId="38" fontId="0" fillId="0" borderId="8" xfId="0" applyNumberFormat="1" applyFont="1" applyBorder="1"/>
    <xf numFmtId="0" fontId="0" fillId="0" borderId="9" xfId="0" applyFont="1" applyBorder="1"/>
    <xf numFmtId="0" fontId="0" fillId="0" borderId="0" xfId="0" applyFont="1" applyBorder="1"/>
    <xf numFmtId="38" fontId="0" fillId="0" borderId="3" xfId="0" applyNumberFormat="1" applyFont="1" applyBorder="1"/>
    <xf numFmtId="38" fontId="0" fillId="0" borderId="9" xfId="0" applyNumberFormat="1" applyFont="1" applyBorder="1"/>
    <xf numFmtId="38" fontId="0" fillId="0" borderId="0" xfId="0" applyNumberFormat="1" applyFont="1" applyBorder="1"/>
    <xf numFmtId="38" fontId="0" fillId="0" borderId="5" xfId="0" applyNumberFormat="1" applyFont="1" applyBorder="1"/>
    <xf numFmtId="38" fontId="0" fillId="0" borderId="1" xfId="0" applyNumberFormat="1" applyFont="1" applyBorder="1"/>
    <xf numFmtId="38" fontId="0" fillId="0" borderId="2" xfId="0" applyNumberFormat="1" applyFont="1" applyBorder="1"/>
    <xf numFmtId="38" fontId="2" fillId="0" borderId="9" xfId="0" applyNumberFormat="1" applyFont="1" applyBorder="1"/>
    <xf numFmtId="10" fontId="4" fillId="0" borderId="1" xfId="1" applyNumberFormat="1" applyFont="1" applyBorder="1"/>
    <xf numFmtId="10" fontId="4" fillId="0" borderId="2" xfId="1" applyNumberFormat="1" applyFont="1" applyBorder="1"/>
    <xf numFmtId="38" fontId="2" fillId="0" borderId="5" xfId="0" applyNumberFormat="1" applyFont="1" applyBorder="1"/>
    <xf numFmtId="0" fontId="0" fillId="0" borderId="4" xfId="0" applyFont="1" applyBorder="1"/>
    <xf numFmtId="40" fontId="0" fillId="0" borderId="4" xfId="0" applyNumberFormat="1" applyFont="1" applyBorder="1"/>
    <xf numFmtId="0" fontId="0" fillId="0" borderId="3" xfId="0" applyFont="1" applyBorder="1"/>
    <xf numFmtId="40" fontId="0" fillId="0" borderId="3" xfId="0" applyNumberFormat="1" applyFont="1" applyBorder="1"/>
    <xf numFmtId="0" fontId="0" fillId="0" borderId="3" xfId="0" applyFont="1" applyBorder="1" applyAlignment="1">
      <alignment horizontal="center"/>
    </xf>
    <xf numFmtId="0" fontId="2" fillId="0" borderId="9" xfId="0" applyFont="1" applyBorder="1"/>
    <xf numFmtId="40" fontId="0" fillId="0" borderId="5" xfId="0" applyNumberFormat="1" applyFont="1" applyBorder="1"/>
    <xf numFmtId="40" fontId="0" fillId="0" borderId="1" xfId="0" applyNumberFormat="1" applyFont="1" applyBorder="1"/>
    <xf numFmtId="40" fontId="0" fillId="0" borderId="2" xfId="0" applyNumberFormat="1" applyFont="1" applyBorder="1"/>
    <xf numFmtId="40" fontId="0" fillId="0" borderId="0" xfId="0" applyNumberFormat="1" applyFont="1" applyBorder="1"/>
    <xf numFmtId="0" fontId="0" fillId="0" borderId="5" xfId="0" applyFont="1" applyBorder="1"/>
    <xf numFmtId="0" fontId="0" fillId="0" borderId="1" xfId="0" applyFont="1" applyBorder="1"/>
    <xf numFmtId="0" fontId="0" fillId="0" borderId="2" xfId="0" applyFont="1" applyFill="1" applyBorder="1" applyAlignment="1">
      <alignment horizontal="center"/>
    </xf>
    <xf numFmtId="0" fontId="0" fillId="3" borderId="8" xfId="0" applyFont="1" applyFill="1" applyBorder="1"/>
    <xf numFmtId="0" fontId="0" fillId="3" borderId="4" xfId="0" applyFont="1" applyFill="1" applyBorder="1"/>
    <xf numFmtId="38" fontId="0" fillId="3" borderId="8" xfId="0" applyNumberFormat="1" applyFont="1" applyFill="1" applyBorder="1"/>
    <xf numFmtId="38" fontId="0" fillId="3" borderId="4" xfId="0" applyNumberFormat="1" applyFont="1" applyFill="1" applyBorder="1"/>
    <xf numFmtId="0" fontId="0" fillId="3" borderId="9" xfId="0" applyFont="1" applyFill="1" applyBorder="1"/>
    <xf numFmtId="0" fontId="0" fillId="3" borderId="3" xfId="0" applyFont="1" applyFill="1" applyBorder="1"/>
    <xf numFmtId="38" fontId="0" fillId="3" borderId="0" xfId="0" applyNumberFormat="1" applyFont="1" applyFill="1" applyBorder="1"/>
    <xf numFmtId="38" fontId="0" fillId="3" borderId="3" xfId="0" applyNumberFormat="1" applyFont="1" applyFill="1" applyBorder="1"/>
    <xf numFmtId="0" fontId="17" fillId="3" borderId="0" xfId="0" applyFont="1" applyFill="1" applyBorder="1"/>
    <xf numFmtId="0" fontId="0" fillId="3" borderId="0" xfId="0" applyFont="1" applyFill="1" applyBorder="1"/>
    <xf numFmtId="38" fontId="0" fillId="3" borderId="5" xfId="0" applyNumberFormat="1" applyFont="1" applyFill="1" applyBorder="1"/>
    <xf numFmtId="38" fontId="0" fillId="3" borderId="1" xfId="0" applyNumberFormat="1" applyFont="1" applyFill="1" applyBorder="1"/>
    <xf numFmtId="38" fontId="0" fillId="3" borderId="2" xfId="0" applyNumberFormat="1" applyFont="1" applyFill="1" applyBorder="1"/>
    <xf numFmtId="40" fontId="0" fillId="3" borderId="1" xfId="0" applyNumberFormat="1" applyFont="1" applyFill="1" applyBorder="1"/>
    <xf numFmtId="0" fontId="16" fillId="3" borderId="9" xfId="0" applyFont="1" applyFill="1" applyBorder="1"/>
    <xf numFmtId="0" fontId="16" fillId="3" borderId="5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11" fillId="3" borderId="7" xfId="0" applyFont="1" applyFill="1" applyBorder="1" applyAlignment="1"/>
    <xf numFmtId="40" fontId="0" fillId="3" borderId="8" xfId="0" applyNumberFormat="1" applyFont="1" applyFill="1" applyBorder="1"/>
    <xf numFmtId="40" fontId="0" fillId="3" borderId="4" xfId="0" applyNumberFormat="1" applyFont="1" applyFill="1" applyBorder="1"/>
    <xf numFmtId="164" fontId="12" fillId="3" borderId="0" xfId="0" applyNumberFormat="1" applyFont="1" applyFill="1" applyBorder="1" applyAlignment="1"/>
    <xf numFmtId="0" fontId="18" fillId="3" borderId="3" xfId="0" applyFont="1" applyFill="1" applyBorder="1" applyAlignment="1">
      <alignment wrapText="1"/>
    </xf>
    <xf numFmtId="10" fontId="0" fillId="3" borderId="0" xfId="0" applyNumberFormat="1" applyFont="1" applyFill="1" applyBorder="1"/>
    <xf numFmtId="0" fontId="11" fillId="3" borderId="9" xfId="0" applyFont="1" applyFill="1" applyBorder="1"/>
    <xf numFmtId="40" fontId="0" fillId="3" borderId="0" xfId="0" applyNumberFormat="1" applyFont="1" applyFill="1" applyBorder="1"/>
    <xf numFmtId="40" fontId="0" fillId="3" borderId="3" xfId="0" applyNumberFormat="1" applyFont="1" applyFill="1" applyBorder="1"/>
    <xf numFmtId="0" fontId="12" fillId="3" borderId="0" xfId="0" applyFont="1" applyFill="1" applyBorder="1"/>
    <xf numFmtId="0" fontId="11" fillId="3" borderId="9" xfId="0" applyFont="1" applyFill="1" applyBorder="1" applyAlignment="1"/>
    <xf numFmtId="0" fontId="18" fillId="3" borderId="0" xfId="0" applyFont="1" applyFill="1" applyBorder="1" applyAlignment="1"/>
    <xf numFmtId="0" fontId="12" fillId="3" borderId="0" xfId="0" applyFont="1" applyFill="1" applyBorder="1" applyAlignment="1"/>
    <xf numFmtId="0" fontId="18" fillId="3" borderId="3" xfId="0" applyFont="1" applyFill="1" applyBorder="1" applyAlignment="1"/>
    <xf numFmtId="0" fontId="0" fillId="3" borderId="5" xfId="0" applyFont="1" applyFill="1" applyBorder="1"/>
    <xf numFmtId="0" fontId="10" fillId="5" borderId="0" xfId="0" applyFont="1" applyFill="1"/>
    <xf numFmtId="0" fontId="10" fillId="5" borderId="0" xfId="0" applyFont="1" applyFill="1" applyAlignment="1">
      <alignment horizontal="center"/>
    </xf>
    <xf numFmtId="0" fontId="0" fillId="3" borderId="0" xfId="0" applyFont="1" applyFill="1"/>
    <xf numFmtId="0" fontId="16" fillId="6" borderId="0" xfId="0" applyFont="1" applyFill="1"/>
    <xf numFmtId="40" fontId="5" fillId="3" borderId="0" xfId="0" applyNumberFormat="1" applyFont="1" applyFill="1" applyBorder="1" applyAlignment="1">
      <alignment horizontal="right"/>
    </xf>
    <xf numFmtId="38" fontId="0" fillId="3" borderId="0" xfId="0" applyNumberFormat="1" applyFont="1" applyFill="1" applyBorder="1" applyAlignment="1">
      <alignment horizontal="right"/>
    </xf>
    <xf numFmtId="38" fontId="12" fillId="3" borderId="3" xfId="2" applyNumberFormat="1" applyFont="1" applyFill="1" applyBorder="1"/>
    <xf numFmtId="167" fontId="4" fillId="3" borderId="0" xfId="1" applyNumberFormat="1" applyFont="1" applyFill="1" applyBorder="1"/>
    <xf numFmtId="167" fontId="4" fillId="3" borderId="3" xfId="1" applyNumberFormat="1" applyFont="1" applyFill="1" applyBorder="1"/>
    <xf numFmtId="0" fontId="0" fillId="0" borderId="0" xfId="0" applyFont="1" applyFill="1" applyBorder="1" applyAlignment="1">
      <alignment horizontal="center"/>
    </xf>
    <xf numFmtId="38" fontId="19" fillId="3" borderId="1" xfId="0" applyNumberFormat="1" applyFont="1" applyFill="1" applyBorder="1"/>
    <xf numFmtId="38" fontId="19" fillId="3" borderId="2" xfId="0" applyNumberFormat="1" applyFont="1" applyFill="1" applyBorder="1"/>
    <xf numFmtId="38" fontId="19" fillId="3" borderId="0" xfId="0" applyNumberFormat="1" applyFont="1" applyFill="1" applyBorder="1"/>
    <xf numFmtId="38" fontId="19" fillId="3" borderId="3" xfId="0" applyNumberFormat="1" applyFont="1" applyFill="1" applyBorder="1"/>
    <xf numFmtId="38" fontId="19" fillId="0" borderId="0" xfId="0" applyNumberFormat="1" applyFont="1" applyBorder="1"/>
    <xf numFmtId="38" fontId="19" fillId="0" borderId="3" xfId="0" applyNumberFormat="1" applyFont="1" applyBorder="1"/>
    <xf numFmtId="38" fontId="19" fillId="0" borderId="1" xfId="0" applyNumberFormat="1" applyFont="1" applyBorder="1"/>
    <xf numFmtId="38" fontId="19" fillId="0" borderId="2" xfId="0" applyNumberFormat="1" applyFont="1" applyBorder="1"/>
    <xf numFmtId="38" fontId="19" fillId="0" borderId="8" xfId="0" applyNumberFormat="1" applyFont="1" applyBorder="1"/>
    <xf numFmtId="38" fontId="19" fillId="0" borderId="4" xfId="0" applyNumberFormat="1" applyFont="1" applyBorder="1"/>
    <xf numFmtId="10" fontId="0" fillId="0" borderId="3" xfId="1" applyNumberFormat="1" applyFont="1" applyBorder="1"/>
  </cellXfs>
  <cellStyles count="4">
    <cellStyle name="Normal" xfId="0" builtinId="0"/>
    <cellStyle name="Normal 2" xfId="2"/>
    <cellStyle name="Normal_DCF analysis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Normal="100" workbookViewId="0">
      <selection activeCell="E26" sqref="E26"/>
    </sheetView>
  </sheetViews>
  <sheetFormatPr defaultRowHeight="17.100000000000001" customHeight="1" x14ac:dyDescent="0.2"/>
  <cols>
    <col min="1" max="1" width="3.5703125" style="58" customWidth="1"/>
    <col min="2" max="2" width="4.140625" style="58" customWidth="1"/>
    <col min="3" max="3" width="46" style="58" customWidth="1"/>
    <col min="4" max="4" width="29.28515625" style="58" customWidth="1"/>
    <col min="5" max="5" width="145.140625" style="58" customWidth="1"/>
    <col min="6" max="16384" width="9.140625" style="58"/>
  </cols>
  <sheetData>
    <row r="1" spans="1:5" ht="17.100000000000001" customHeight="1" x14ac:dyDescent="0.35">
      <c r="A1" s="196"/>
      <c r="B1" s="196"/>
      <c r="C1" s="197" t="s">
        <v>153</v>
      </c>
      <c r="D1" s="197" t="s">
        <v>154</v>
      </c>
      <c r="E1" s="197" t="s">
        <v>155</v>
      </c>
    </row>
    <row r="2" spans="1:5" ht="17.100000000000001" customHeight="1" x14ac:dyDescent="0.2">
      <c r="A2" s="198" t="s">
        <v>156</v>
      </c>
      <c r="B2" s="198"/>
      <c r="C2" s="198"/>
      <c r="D2" s="198" t="s">
        <v>157</v>
      </c>
      <c r="E2" s="198" t="s">
        <v>182</v>
      </c>
    </row>
    <row r="3" spans="1:5" ht="17.100000000000001" customHeight="1" x14ac:dyDescent="0.2">
      <c r="A3" s="199" t="s">
        <v>158</v>
      </c>
      <c r="B3" s="199"/>
      <c r="C3" s="199"/>
      <c r="D3" s="199" t="s">
        <v>157</v>
      </c>
      <c r="E3" s="199" t="s">
        <v>177</v>
      </c>
    </row>
    <row r="4" spans="1:5" ht="17.100000000000001" customHeight="1" x14ac:dyDescent="0.2">
      <c r="A4" s="198" t="s">
        <v>20</v>
      </c>
      <c r="B4" s="198"/>
      <c r="C4" s="198"/>
      <c r="D4" s="198" t="s">
        <v>157</v>
      </c>
      <c r="E4" s="198" t="s">
        <v>174</v>
      </c>
    </row>
    <row r="5" spans="1:5" ht="17.100000000000001" customHeight="1" x14ac:dyDescent="0.2">
      <c r="A5" s="199" t="s">
        <v>159</v>
      </c>
      <c r="B5" s="199"/>
      <c r="C5" s="199"/>
      <c r="D5" s="199" t="s">
        <v>157</v>
      </c>
      <c r="E5" s="199" t="s">
        <v>160</v>
      </c>
    </row>
    <row r="6" spans="1:5" ht="17.100000000000001" customHeight="1" x14ac:dyDescent="0.2">
      <c r="A6" s="198" t="s">
        <v>40</v>
      </c>
      <c r="B6" s="198"/>
      <c r="C6" s="198"/>
      <c r="D6" s="198" t="s">
        <v>157</v>
      </c>
      <c r="E6" s="198" t="s">
        <v>161</v>
      </c>
    </row>
    <row r="7" spans="1:5" ht="17.100000000000001" customHeight="1" x14ac:dyDescent="0.2">
      <c r="A7" s="199" t="s">
        <v>175</v>
      </c>
      <c r="B7" s="199"/>
      <c r="C7" s="199"/>
      <c r="D7" s="199" t="s">
        <v>157</v>
      </c>
      <c r="E7" s="199" t="s">
        <v>176</v>
      </c>
    </row>
    <row r="8" spans="1:5" ht="17.100000000000001" customHeight="1" x14ac:dyDescent="0.2">
      <c r="A8" s="198" t="s">
        <v>163</v>
      </c>
      <c r="B8" s="198"/>
      <c r="C8" s="198"/>
      <c r="D8" s="198" t="s">
        <v>162</v>
      </c>
      <c r="E8" s="198" t="s">
        <v>165</v>
      </c>
    </row>
    <row r="9" spans="1:5" ht="17.100000000000001" customHeight="1" x14ac:dyDescent="0.2">
      <c r="A9" s="199" t="s">
        <v>56</v>
      </c>
      <c r="B9" s="199"/>
      <c r="C9" s="199"/>
      <c r="D9" s="199" t="s">
        <v>162</v>
      </c>
      <c r="E9" s="199" t="s">
        <v>166</v>
      </c>
    </row>
    <row r="10" spans="1:5" ht="17.100000000000001" customHeight="1" x14ac:dyDescent="0.2">
      <c r="A10" s="198" t="s">
        <v>57</v>
      </c>
      <c r="B10" s="198"/>
      <c r="C10" s="198"/>
      <c r="D10" s="198" t="s">
        <v>162</v>
      </c>
      <c r="E10" s="198" t="s">
        <v>167</v>
      </c>
    </row>
    <row r="11" spans="1:5" ht="17.100000000000001" customHeight="1" x14ac:dyDescent="0.2">
      <c r="A11" s="198" t="s">
        <v>66</v>
      </c>
      <c r="B11" s="198"/>
      <c r="C11" s="198"/>
      <c r="D11" s="198" t="s">
        <v>164</v>
      </c>
      <c r="E11" s="198" t="s">
        <v>168</v>
      </c>
    </row>
    <row r="12" spans="1:5" ht="17.100000000000001" customHeight="1" x14ac:dyDescent="0.2">
      <c r="A12" s="199" t="s">
        <v>68</v>
      </c>
      <c r="B12" s="199"/>
      <c r="C12" s="199"/>
      <c r="D12" s="199" t="s">
        <v>164</v>
      </c>
      <c r="E12" s="199" t="s">
        <v>169</v>
      </c>
    </row>
    <row r="13" spans="1:5" ht="17.100000000000001" customHeight="1" x14ac:dyDescent="0.2">
      <c r="A13" s="198" t="s">
        <v>73</v>
      </c>
      <c r="B13" s="198"/>
      <c r="C13" s="198"/>
      <c r="D13" s="198" t="s">
        <v>164</v>
      </c>
      <c r="E13" s="198" t="s">
        <v>170</v>
      </c>
    </row>
    <row r="14" spans="1:5" ht="17.100000000000001" customHeight="1" x14ac:dyDescent="0.2">
      <c r="A14" s="199" t="s">
        <v>171</v>
      </c>
      <c r="B14" s="199"/>
      <c r="C14" s="199"/>
      <c r="D14" s="199" t="s">
        <v>164</v>
      </c>
      <c r="E14" s="199" t="s">
        <v>172</v>
      </c>
    </row>
    <row r="15" spans="1:5" ht="17.100000000000001" customHeight="1" x14ac:dyDescent="0.2">
      <c r="A15" s="198"/>
      <c r="B15" s="198"/>
      <c r="C15" s="198"/>
      <c r="D15" s="198"/>
      <c r="E15" s="198"/>
    </row>
    <row r="16" spans="1:5" ht="17.100000000000001" customHeight="1" x14ac:dyDescent="0.2">
      <c r="A16" s="199"/>
      <c r="B16" s="199"/>
      <c r="C16" s="199"/>
      <c r="D16" s="199"/>
      <c r="E16" s="199"/>
    </row>
    <row r="17" spans="1:5" ht="17.100000000000001" customHeight="1" x14ac:dyDescent="0.2">
      <c r="A17" s="198"/>
      <c r="B17" s="198"/>
      <c r="C17" s="198"/>
      <c r="D17" s="198"/>
      <c r="E17" s="198"/>
    </row>
    <row r="18" spans="1:5" ht="17.100000000000001" customHeight="1" x14ac:dyDescent="0.2">
      <c r="A18" s="199"/>
      <c r="B18" s="199"/>
      <c r="C18" s="199"/>
      <c r="D18" s="199"/>
      <c r="E18" s="199"/>
    </row>
    <row r="19" spans="1:5" ht="17.100000000000001" customHeight="1" x14ac:dyDescent="0.2">
      <c r="A19" s="198"/>
      <c r="B19" s="198"/>
      <c r="C19" s="198"/>
      <c r="D19" s="198"/>
      <c r="E19" s="198"/>
    </row>
    <row r="20" spans="1:5" ht="17.100000000000001" customHeight="1" x14ac:dyDescent="0.2">
      <c r="A20" s="199"/>
      <c r="B20" s="199"/>
      <c r="C20" s="199"/>
      <c r="D20" s="199"/>
      <c r="E20" s="199"/>
    </row>
    <row r="21" spans="1:5" ht="17.100000000000001" customHeight="1" x14ac:dyDescent="0.2">
      <c r="A21" s="198"/>
      <c r="B21" s="198"/>
      <c r="C21" s="198"/>
      <c r="D21" s="198"/>
      <c r="E21" s="198"/>
    </row>
    <row r="22" spans="1:5" ht="17.100000000000001" customHeight="1" x14ac:dyDescent="0.2">
      <c r="A22" s="199"/>
      <c r="B22" s="199"/>
      <c r="C22" s="199"/>
      <c r="D22" s="199"/>
      <c r="E22" s="199"/>
    </row>
    <row r="23" spans="1:5" ht="17.100000000000001" customHeight="1" x14ac:dyDescent="0.2">
      <c r="A23" s="198"/>
      <c r="B23" s="198"/>
      <c r="C23" s="198"/>
      <c r="D23" s="198"/>
      <c r="E23" s="198"/>
    </row>
    <row r="24" spans="1:5" ht="17.100000000000001" customHeight="1" x14ac:dyDescent="0.2">
      <c r="A24" s="199"/>
      <c r="B24" s="199"/>
      <c r="C24" s="199"/>
      <c r="D24" s="199"/>
      <c r="E24" s="199"/>
    </row>
    <row r="25" spans="1:5" ht="17.100000000000001" customHeight="1" x14ac:dyDescent="0.2">
      <c r="A25" s="198"/>
      <c r="B25" s="198"/>
      <c r="C25" s="198"/>
      <c r="D25" s="198"/>
      <c r="E25" s="198"/>
    </row>
    <row r="26" spans="1:5" ht="17.100000000000001" customHeight="1" x14ac:dyDescent="0.2">
      <c r="A26" s="199"/>
      <c r="B26" s="199"/>
      <c r="C26" s="199"/>
      <c r="D26" s="199"/>
      <c r="E26" s="199"/>
    </row>
    <row r="27" spans="1:5" ht="17.100000000000001" customHeight="1" x14ac:dyDescent="0.2">
      <c r="A27" s="198"/>
      <c r="B27" s="198"/>
      <c r="C27" s="198"/>
      <c r="D27" s="198"/>
      <c r="E27" s="198"/>
    </row>
    <row r="28" spans="1:5" ht="17.100000000000001" customHeight="1" x14ac:dyDescent="0.2">
      <c r="A28" s="199"/>
      <c r="B28" s="199"/>
      <c r="C28" s="199"/>
      <c r="D28" s="199"/>
      <c r="E28" s="199"/>
    </row>
    <row r="29" spans="1:5" ht="17.100000000000001" customHeight="1" x14ac:dyDescent="0.2">
      <c r="A29" s="198"/>
      <c r="B29" s="198"/>
      <c r="C29" s="198"/>
      <c r="D29" s="198"/>
      <c r="E29" s="198"/>
    </row>
    <row r="30" spans="1:5" ht="17.100000000000001" customHeight="1" x14ac:dyDescent="0.2">
      <c r="A30" s="199"/>
      <c r="B30" s="199"/>
      <c r="C30" s="199"/>
      <c r="D30" s="199"/>
      <c r="E30" s="199"/>
    </row>
    <row r="31" spans="1:5" ht="17.100000000000001" customHeight="1" x14ac:dyDescent="0.2">
      <c r="A31" s="198"/>
      <c r="B31" s="198"/>
      <c r="C31" s="198"/>
      <c r="D31" s="198"/>
      <c r="E31" s="198"/>
    </row>
    <row r="32" spans="1:5" ht="17.100000000000001" customHeight="1" x14ac:dyDescent="0.2">
      <c r="A32" s="199"/>
      <c r="B32" s="199"/>
      <c r="C32" s="199"/>
      <c r="D32" s="199"/>
      <c r="E32" s="19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7"/>
  <sheetViews>
    <sheetView zoomScaleNormal="100" workbookViewId="0">
      <pane ySplit="3" topLeftCell="A7" activePane="bottomLeft" state="frozen"/>
      <selection pane="bottomLeft" activeCell="G30" sqref="G30"/>
    </sheetView>
  </sheetViews>
  <sheetFormatPr defaultRowHeight="17.100000000000001" customHeight="1" x14ac:dyDescent="0.2"/>
  <cols>
    <col min="1" max="1" width="2.5703125" style="4" customWidth="1"/>
    <col min="2" max="2" width="3" style="4" customWidth="1"/>
    <col min="3" max="3" width="38.140625" style="4" customWidth="1"/>
    <col min="4" max="6" width="9.7109375" style="7" bestFit="1" customWidth="1"/>
    <col min="7" max="7" width="9.42578125" style="7" bestFit="1" customWidth="1"/>
    <col min="8" max="11" width="9.7109375" style="7" bestFit="1" customWidth="1"/>
    <col min="12" max="16384" width="9.140625" style="6"/>
  </cols>
  <sheetData>
    <row r="1" spans="1:11" customFormat="1" ht="17.100000000000001" customHeight="1" x14ac:dyDescent="0.2">
      <c r="A1" s="1" t="s">
        <v>2</v>
      </c>
      <c r="B1" s="55"/>
      <c r="C1" s="55"/>
      <c r="D1" s="55"/>
      <c r="E1" s="55"/>
      <c r="F1" s="56"/>
      <c r="G1" s="57"/>
      <c r="H1" s="57"/>
      <c r="I1" s="57"/>
      <c r="J1" s="57"/>
      <c r="K1" s="57"/>
    </row>
    <row r="2" spans="1:11" customFormat="1" ht="16.5" customHeight="1" x14ac:dyDescent="0.2">
      <c r="A2" s="55" t="s">
        <v>1</v>
      </c>
      <c r="B2" s="55"/>
      <c r="C2" s="55"/>
      <c r="D2" s="55"/>
      <c r="E2" s="55"/>
      <c r="F2" s="56"/>
      <c r="G2" s="57"/>
      <c r="H2" s="57"/>
      <c r="I2" s="57"/>
      <c r="J2" s="57"/>
      <c r="K2" s="57"/>
    </row>
    <row r="3" spans="1:11" customFormat="1" ht="17.100000000000001" customHeight="1" x14ac:dyDescent="0.2">
      <c r="A3" s="55" t="s">
        <v>3</v>
      </c>
      <c r="B3" s="55"/>
      <c r="C3" s="55"/>
      <c r="D3" s="1" t="s">
        <v>4</v>
      </c>
      <c r="E3" s="1" t="s">
        <v>5</v>
      </c>
      <c r="F3" s="1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17.100000000000001" customHeight="1" x14ac:dyDescent="0.2">
      <c r="A4" s="181" t="s">
        <v>12</v>
      </c>
      <c r="B4" s="163"/>
      <c r="C4" s="164"/>
      <c r="D4" s="182"/>
      <c r="E4" s="182"/>
      <c r="F4" s="182"/>
      <c r="G4" s="182"/>
      <c r="H4" s="182"/>
      <c r="I4" s="182"/>
      <c r="J4" s="182"/>
      <c r="K4" s="183"/>
    </row>
    <row r="5" spans="1:11" ht="17.100000000000001" customHeight="1" x14ac:dyDescent="0.2">
      <c r="A5" s="167"/>
      <c r="B5" s="184" t="s">
        <v>13</v>
      </c>
      <c r="C5" s="168"/>
      <c r="D5" s="12">
        <v>1370358</v>
      </c>
      <c r="E5" s="12">
        <v>1591188</v>
      </c>
      <c r="F5" s="12">
        <v>1797213</v>
      </c>
      <c r="G5" s="169">
        <f>F5*(1+G6)</f>
        <v>2039836.7550000001</v>
      </c>
      <c r="H5" s="169">
        <f t="shared" ref="H5:K5" si="0">G5*(1+H6)</f>
        <v>2315214.7169250003</v>
      </c>
      <c r="I5" s="169">
        <f t="shared" si="0"/>
        <v>2627768.7037098752</v>
      </c>
      <c r="J5" s="169">
        <f t="shared" si="0"/>
        <v>2982517.4787107082</v>
      </c>
      <c r="K5" s="170">
        <f t="shared" si="0"/>
        <v>3385157.338336654</v>
      </c>
    </row>
    <row r="6" spans="1:11" ht="17.100000000000001" customHeight="1" x14ac:dyDescent="0.2">
      <c r="A6" s="167"/>
      <c r="B6" s="172"/>
      <c r="C6" s="185" t="s">
        <v>15</v>
      </c>
      <c r="D6" s="186"/>
      <c r="E6" s="10">
        <f>E5/D5-1</f>
        <v>0.16114767090059678</v>
      </c>
      <c r="F6" s="10">
        <f>F5/E5-1</f>
        <v>0.12947872910052105</v>
      </c>
      <c r="G6" s="203">
        <f>13%*75%+15%*25%</f>
        <v>0.13500000000000001</v>
      </c>
      <c r="H6" s="203">
        <f t="shared" ref="H6:K6" si="1">13%*75%+15%*25%</f>
        <v>0.13500000000000001</v>
      </c>
      <c r="I6" s="203">
        <f t="shared" si="1"/>
        <v>0.13500000000000001</v>
      </c>
      <c r="J6" s="203">
        <f t="shared" si="1"/>
        <v>0.13500000000000001</v>
      </c>
      <c r="K6" s="204">
        <f t="shared" si="1"/>
        <v>0.13500000000000001</v>
      </c>
    </row>
    <row r="7" spans="1:11" ht="17.100000000000001" customHeight="1" x14ac:dyDescent="0.2">
      <c r="A7" s="187" t="s">
        <v>29</v>
      </c>
      <c r="B7" s="172"/>
      <c r="C7" s="168"/>
      <c r="D7" s="188"/>
      <c r="E7" s="188"/>
      <c r="F7" s="188"/>
      <c r="G7" s="188"/>
      <c r="H7" s="188"/>
      <c r="I7" s="188"/>
      <c r="J7" s="188"/>
      <c r="K7" s="189"/>
    </row>
    <row r="8" spans="1:11" ht="17.100000000000001" customHeight="1" x14ac:dyDescent="0.2">
      <c r="A8" s="167"/>
      <c r="B8" s="190" t="s">
        <v>14</v>
      </c>
      <c r="C8" s="168"/>
      <c r="D8" s="12">
        <f>607532-D18</f>
        <v>564532</v>
      </c>
      <c r="E8" s="12">
        <f>751112-E18</f>
        <v>702044</v>
      </c>
      <c r="F8" s="12">
        <f>883033-F18</f>
        <v>824669</v>
      </c>
      <c r="G8" s="169">
        <f>G5*G9</f>
        <v>935999.31500000006</v>
      </c>
      <c r="H8" s="169">
        <f t="shared" ref="H8:K8" si="2">H5*H9</f>
        <v>1062359.2225250001</v>
      </c>
      <c r="I8" s="169">
        <f t="shared" si="2"/>
        <v>1205777.717565875</v>
      </c>
      <c r="J8" s="169">
        <f t="shared" si="2"/>
        <v>1368557.7094372681</v>
      </c>
      <c r="K8" s="170">
        <f t="shared" si="2"/>
        <v>1553313.0002112994</v>
      </c>
    </row>
    <row r="9" spans="1:11" ht="17.100000000000001" customHeight="1" x14ac:dyDescent="0.2">
      <c r="A9" s="167"/>
      <c r="B9" s="172"/>
      <c r="C9" s="185" t="s">
        <v>16</v>
      </c>
      <c r="D9" s="8">
        <f>D8/D5</f>
        <v>0.4119595025533474</v>
      </c>
      <c r="E9" s="8">
        <f>E8/E5</f>
        <v>0.441207450031046</v>
      </c>
      <c r="F9" s="8">
        <f>F8/F5</f>
        <v>0.45885991254236419</v>
      </c>
      <c r="G9" s="19">
        <f>F9</f>
        <v>0.45885991254236419</v>
      </c>
      <c r="H9" s="19">
        <f>G9</f>
        <v>0.45885991254236419</v>
      </c>
      <c r="I9" s="19">
        <f t="shared" ref="I9:K9" si="3">H9</f>
        <v>0.45885991254236419</v>
      </c>
      <c r="J9" s="19">
        <f t="shared" si="3"/>
        <v>0.45885991254236419</v>
      </c>
      <c r="K9" s="39">
        <f t="shared" si="3"/>
        <v>0.45885991254236419</v>
      </c>
    </row>
    <row r="10" spans="1:11" ht="17.100000000000001" customHeight="1" x14ac:dyDescent="0.2">
      <c r="A10" s="191" t="s">
        <v>17</v>
      </c>
      <c r="B10" s="172"/>
      <c r="C10" s="168"/>
      <c r="D10" s="16">
        <f t="shared" ref="D10:K10" si="4">D5-D8</f>
        <v>805826</v>
      </c>
      <c r="E10" s="16">
        <f t="shared" si="4"/>
        <v>889144</v>
      </c>
      <c r="F10" s="16">
        <f t="shared" si="4"/>
        <v>972544</v>
      </c>
      <c r="G10" s="16">
        <f t="shared" si="4"/>
        <v>1103837.44</v>
      </c>
      <c r="H10" s="16">
        <f t="shared" si="4"/>
        <v>1252855.4944000002</v>
      </c>
      <c r="I10" s="16">
        <f t="shared" si="4"/>
        <v>1421990.9861440002</v>
      </c>
      <c r="J10" s="16">
        <f t="shared" si="4"/>
        <v>1613959.7692734401</v>
      </c>
      <c r="K10" s="40">
        <f t="shared" si="4"/>
        <v>1831844.3381253546</v>
      </c>
    </row>
    <row r="11" spans="1:11" ht="17.100000000000001" customHeight="1" x14ac:dyDescent="0.2">
      <c r="A11" s="167"/>
      <c r="B11" s="192" t="s">
        <v>18</v>
      </c>
      <c r="C11" s="168"/>
      <c r="D11" s="10">
        <f t="shared" ref="D11:K11" si="5">D10/D5</f>
        <v>0.58804049744665265</v>
      </c>
      <c r="E11" s="10">
        <f t="shared" si="5"/>
        <v>0.558792549968954</v>
      </c>
      <c r="F11" s="10">
        <f t="shared" si="5"/>
        <v>0.54114008745763575</v>
      </c>
      <c r="G11" s="10">
        <f t="shared" si="5"/>
        <v>0.54114008745763575</v>
      </c>
      <c r="H11" s="10">
        <f t="shared" si="5"/>
        <v>0.54114008745763575</v>
      </c>
      <c r="I11" s="10">
        <f t="shared" si="5"/>
        <v>0.54114008745763587</v>
      </c>
      <c r="J11" s="10">
        <f t="shared" si="5"/>
        <v>0.54114008745763587</v>
      </c>
      <c r="K11" s="41">
        <f t="shared" si="5"/>
        <v>0.54114008745763587</v>
      </c>
    </row>
    <row r="12" spans="1:11" ht="17.100000000000001" customHeight="1" x14ac:dyDescent="0.2">
      <c r="A12" s="167"/>
      <c r="B12" s="192" t="s">
        <v>178</v>
      </c>
      <c r="C12" s="168"/>
      <c r="D12" s="10">
        <f>(D8+D18)/D5</f>
        <v>0.4433381641877524</v>
      </c>
      <c r="E12" s="10">
        <f t="shared" ref="E12:K12" si="6">(E8+E18)/E5</f>
        <v>0.47204478666254396</v>
      </c>
      <c r="F12" s="10">
        <f t="shared" si="6"/>
        <v>0.49133463868779048</v>
      </c>
      <c r="G12" s="10">
        <f t="shared" si="6"/>
        <v>0.49631638822165824</v>
      </c>
      <c r="H12" s="10">
        <f t="shared" si="6"/>
        <v>0.50076086538873121</v>
      </c>
      <c r="I12" s="10">
        <f t="shared" si="6"/>
        <v>0.50467670430245193</v>
      </c>
      <c r="J12" s="10">
        <f t="shared" si="6"/>
        <v>0.5081267826405319</v>
      </c>
      <c r="K12" s="41">
        <f t="shared" si="6"/>
        <v>0.50226684654956044</v>
      </c>
    </row>
    <row r="13" spans="1:11" ht="17.100000000000001" customHeight="1" x14ac:dyDescent="0.2">
      <c r="A13" s="191" t="s">
        <v>19</v>
      </c>
      <c r="B13" s="172"/>
      <c r="C13" s="168"/>
      <c r="D13" s="188"/>
      <c r="E13" s="188"/>
      <c r="F13" s="188"/>
      <c r="G13" s="188"/>
      <c r="H13" s="188"/>
      <c r="I13" s="188"/>
      <c r="J13" s="188"/>
      <c r="K13" s="189"/>
    </row>
    <row r="14" spans="1:11" ht="17.100000000000001" customHeight="1" x14ac:dyDescent="0.2">
      <c r="A14" s="167"/>
      <c r="B14" s="193" t="s">
        <v>20</v>
      </c>
      <c r="C14" s="168"/>
      <c r="D14" s="12">
        <v>386387</v>
      </c>
      <c r="E14" s="12">
        <v>448718</v>
      </c>
      <c r="F14" s="12">
        <v>538147</v>
      </c>
      <c r="G14" s="169">
        <f>G5*G15</f>
        <v>610796.84499999997</v>
      </c>
      <c r="H14" s="169">
        <f>H5*H15</f>
        <v>693254.4190750001</v>
      </c>
      <c r="I14" s="169">
        <f>I5*I15</f>
        <v>786843.76565012499</v>
      </c>
      <c r="J14" s="169">
        <f>J5*J15</f>
        <v>893067.67401289183</v>
      </c>
      <c r="K14" s="170">
        <f>K5*K15</f>
        <v>1013631.8100046323</v>
      </c>
    </row>
    <row r="15" spans="1:11" ht="17.100000000000001" customHeight="1" x14ac:dyDescent="0.2">
      <c r="A15" s="167"/>
      <c r="B15" s="172"/>
      <c r="C15" s="185" t="s">
        <v>21</v>
      </c>
      <c r="D15" s="8">
        <f>D14/D5</f>
        <v>0.2819606263472757</v>
      </c>
      <c r="E15" s="8">
        <f>E14/E5</f>
        <v>0.28200187532837101</v>
      </c>
      <c r="F15" s="8">
        <f>F14/F5</f>
        <v>0.29943417947677875</v>
      </c>
      <c r="G15" s="19">
        <f>F15</f>
        <v>0.29943417947677875</v>
      </c>
      <c r="H15" s="19">
        <f>G15</f>
        <v>0.29943417947677875</v>
      </c>
      <c r="I15" s="19">
        <f t="shared" ref="I15:K15" si="7">H15</f>
        <v>0.29943417947677875</v>
      </c>
      <c r="J15" s="19">
        <f t="shared" si="7"/>
        <v>0.29943417947677875</v>
      </c>
      <c r="K15" s="39">
        <f t="shared" si="7"/>
        <v>0.29943417947677875</v>
      </c>
    </row>
    <row r="16" spans="1:11" ht="17.100000000000001" customHeight="1" x14ac:dyDescent="0.2">
      <c r="A16" s="191" t="s">
        <v>30</v>
      </c>
      <c r="B16" s="172"/>
      <c r="C16" s="168"/>
      <c r="D16" s="16">
        <f t="shared" ref="D16:K16" si="8">D10-D14</f>
        <v>419439</v>
      </c>
      <c r="E16" s="16">
        <f t="shared" si="8"/>
        <v>440426</v>
      </c>
      <c r="F16" s="16">
        <f t="shared" si="8"/>
        <v>434397</v>
      </c>
      <c r="G16" s="16">
        <f t="shared" si="8"/>
        <v>493040.59499999997</v>
      </c>
      <c r="H16" s="16">
        <f t="shared" si="8"/>
        <v>559601.0753250001</v>
      </c>
      <c r="I16" s="16">
        <f t="shared" si="8"/>
        <v>635147.22049387521</v>
      </c>
      <c r="J16" s="16">
        <f t="shared" si="8"/>
        <v>720892.09526054829</v>
      </c>
      <c r="K16" s="40">
        <f t="shared" si="8"/>
        <v>818212.52812072227</v>
      </c>
    </row>
    <row r="17" spans="1:11" ht="17.100000000000001" customHeight="1" x14ac:dyDescent="0.2">
      <c r="A17" s="167"/>
      <c r="B17" s="172"/>
      <c r="C17" s="185" t="s">
        <v>22</v>
      </c>
      <c r="D17" s="10">
        <f t="shared" ref="D17:K17" si="9">D16/D5</f>
        <v>0.30607987109937695</v>
      </c>
      <c r="E17" s="10">
        <f t="shared" si="9"/>
        <v>0.27679067464058299</v>
      </c>
      <c r="F17" s="10">
        <f t="shared" si="9"/>
        <v>0.24170590798085703</v>
      </c>
      <c r="G17" s="10">
        <f t="shared" si="9"/>
        <v>0.241705907980857</v>
      </c>
      <c r="H17" s="10">
        <f t="shared" si="9"/>
        <v>0.24170590798085703</v>
      </c>
      <c r="I17" s="10">
        <f t="shared" si="9"/>
        <v>0.24170590798085709</v>
      </c>
      <c r="J17" s="10">
        <f t="shared" si="9"/>
        <v>0.24170590798085709</v>
      </c>
      <c r="K17" s="41">
        <f t="shared" si="9"/>
        <v>0.24170590798085706</v>
      </c>
    </row>
    <row r="18" spans="1:11" ht="17.100000000000001" customHeight="1" x14ac:dyDescent="0.2">
      <c r="A18" s="167"/>
      <c r="B18" s="193" t="s">
        <v>23</v>
      </c>
      <c r="C18" s="189"/>
      <c r="D18" s="15">
        <v>43000</v>
      </c>
      <c r="E18" s="15">
        <v>49068</v>
      </c>
      <c r="F18" s="15">
        <v>58364</v>
      </c>
      <c r="G18" s="206">
        <f>Depreciation!G18</f>
        <v>76405.095803387521</v>
      </c>
      <c r="H18" s="206">
        <f>Depreciation!H18</f>
        <v>97009.702683089505</v>
      </c>
      <c r="I18" s="206">
        <f>Depreciation!I18</f>
        <v>120395.93149155125</v>
      </c>
      <c r="J18" s="206">
        <f>Depreciation!J18</f>
        <v>146939.30118915532</v>
      </c>
      <c r="K18" s="207">
        <f>Depreciation!K18</f>
        <v>146939.30118915532</v>
      </c>
    </row>
    <row r="19" spans="1:11" ht="17.100000000000001" customHeight="1" x14ac:dyDescent="0.2">
      <c r="A19" s="191" t="s">
        <v>24</v>
      </c>
      <c r="B19" s="172"/>
      <c r="C19" s="168"/>
      <c r="D19" s="16">
        <f t="shared" ref="D19:K19" si="10">D16-D18</f>
        <v>376439</v>
      </c>
      <c r="E19" s="16">
        <f t="shared" si="10"/>
        <v>391358</v>
      </c>
      <c r="F19" s="16">
        <f t="shared" si="10"/>
        <v>376033</v>
      </c>
      <c r="G19" s="16">
        <f t="shared" si="10"/>
        <v>416635.49919661245</v>
      </c>
      <c r="H19" s="16">
        <f t="shared" si="10"/>
        <v>462591.37264191057</v>
      </c>
      <c r="I19" s="16">
        <f t="shared" si="10"/>
        <v>514751.28900232399</v>
      </c>
      <c r="J19" s="16">
        <f t="shared" si="10"/>
        <v>573952.79407139297</v>
      </c>
      <c r="K19" s="40">
        <f t="shared" si="10"/>
        <v>671273.22693156695</v>
      </c>
    </row>
    <row r="20" spans="1:11" ht="17.100000000000001" customHeight="1" x14ac:dyDescent="0.2">
      <c r="A20" s="167"/>
      <c r="B20" s="172"/>
      <c r="C20" s="194" t="s">
        <v>25</v>
      </c>
      <c r="D20" s="10">
        <f t="shared" ref="D20:K20" si="11">D19/D5</f>
        <v>0.27470120946497195</v>
      </c>
      <c r="E20" s="10">
        <f t="shared" si="11"/>
        <v>0.24595333800908503</v>
      </c>
      <c r="F20" s="10">
        <f t="shared" si="11"/>
        <v>0.20923118183543074</v>
      </c>
      <c r="G20" s="10">
        <f t="shared" si="11"/>
        <v>0.20424943230156298</v>
      </c>
      <c r="H20" s="10">
        <f t="shared" si="11"/>
        <v>0.19980495513448995</v>
      </c>
      <c r="I20" s="10">
        <f t="shared" si="11"/>
        <v>0.19588911622076929</v>
      </c>
      <c r="J20" s="10">
        <f t="shared" si="11"/>
        <v>0.19243903788268932</v>
      </c>
      <c r="K20" s="41">
        <f t="shared" si="11"/>
        <v>0.19829897397366078</v>
      </c>
    </row>
    <row r="21" spans="1:11" ht="17.100000000000001" customHeight="1" x14ac:dyDescent="0.2">
      <c r="A21" s="42" t="s">
        <v>31</v>
      </c>
      <c r="B21" s="172"/>
      <c r="C21" s="168"/>
      <c r="D21" s="188"/>
      <c r="E21" s="188"/>
      <c r="F21" s="188"/>
      <c r="G21" s="188"/>
      <c r="H21" s="188"/>
      <c r="I21" s="188"/>
      <c r="J21" s="188"/>
      <c r="K21" s="189"/>
    </row>
    <row r="22" spans="1:11" ht="17.100000000000001" customHeight="1" x14ac:dyDescent="0.2">
      <c r="A22" s="167"/>
      <c r="B22" s="172" t="s">
        <v>32</v>
      </c>
      <c r="C22" s="168"/>
      <c r="D22" s="12">
        <v>4957</v>
      </c>
      <c r="E22" s="12">
        <v>5768</v>
      </c>
      <c r="F22" s="12">
        <v>7102</v>
      </c>
      <c r="G22" s="21">
        <v>7102</v>
      </c>
      <c r="H22" s="21">
        <v>7102</v>
      </c>
      <c r="I22" s="21">
        <v>7102</v>
      </c>
      <c r="J22" s="21">
        <v>7102</v>
      </c>
      <c r="K22" s="45">
        <v>7102</v>
      </c>
    </row>
    <row r="23" spans="1:11" ht="17.100000000000001" customHeight="1" x14ac:dyDescent="0.2">
      <c r="A23" s="42" t="s">
        <v>33</v>
      </c>
      <c r="B23" s="172"/>
      <c r="C23" s="168"/>
      <c r="D23" s="188"/>
      <c r="E23" s="188"/>
      <c r="F23" s="188"/>
      <c r="G23" s="188"/>
      <c r="H23" s="188"/>
      <c r="I23" s="188"/>
      <c r="J23" s="188"/>
      <c r="K23" s="189"/>
    </row>
    <row r="24" spans="1:11" ht="17.100000000000001" customHeight="1" x14ac:dyDescent="0.2">
      <c r="A24" s="167"/>
      <c r="B24" s="172" t="s">
        <v>26</v>
      </c>
      <c r="C24" s="168"/>
      <c r="D24" s="12">
        <v>109965</v>
      </c>
      <c r="E24" s="12">
        <v>117579</v>
      </c>
      <c r="F24" s="12">
        <v>144102</v>
      </c>
      <c r="G24" s="169">
        <f>(G19+G22)*G27</f>
        <v>127205.99725882307</v>
      </c>
      <c r="H24" s="169">
        <f t="shared" ref="H24:K24" si="12">(H19+H22)*H27</f>
        <v>141001.95046710156</v>
      </c>
      <c r="I24" s="169">
        <f t="shared" si="12"/>
        <v>156660.35735849768</v>
      </c>
      <c r="J24" s="169">
        <f t="shared" si="12"/>
        <v>174432.64918023217</v>
      </c>
      <c r="K24" s="170">
        <f t="shared" si="12"/>
        <v>203648.24312485641</v>
      </c>
    </row>
    <row r="25" spans="1:11" ht="17.100000000000001" customHeight="1" x14ac:dyDescent="0.2">
      <c r="A25" s="167"/>
      <c r="B25" s="172"/>
      <c r="C25" s="168" t="s">
        <v>179</v>
      </c>
      <c r="D25" s="25"/>
      <c r="E25" s="15"/>
      <c r="F25" s="15"/>
      <c r="G25" s="206">
        <f>Depreciation!G38</f>
        <v>13468.848754646986</v>
      </c>
      <c r="H25" s="206">
        <f>Depreciation!H38</f>
        <v>9345.3607297480703</v>
      </c>
      <c r="I25" s="206">
        <f>Depreciation!I38</f>
        <v>5479.5865288849154</v>
      </c>
      <c r="J25" s="206">
        <f>Depreciation!J38</f>
        <v>1687.8996531260389</v>
      </c>
      <c r="K25" s="207">
        <f>Depreciation!K38</f>
        <v>310.74148693689585</v>
      </c>
    </row>
    <row r="26" spans="1:11" ht="17.100000000000001" customHeight="1" x14ac:dyDescent="0.2">
      <c r="A26" s="167"/>
      <c r="B26" s="172" t="s">
        <v>180</v>
      </c>
      <c r="C26" s="168"/>
      <c r="D26" s="12"/>
      <c r="E26" s="12"/>
      <c r="F26" s="12"/>
      <c r="G26" s="169">
        <f>G24-G25</f>
        <v>113737.14850417609</v>
      </c>
      <c r="H26" s="169">
        <f t="shared" ref="H26:K26" si="13">H24-H25</f>
        <v>131656.5897373535</v>
      </c>
      <c r="I26" s="169">
        <f t="shared" si="13"/>
        <v>151180.77082961277</v>
      </c>
      <c r="J26" s="169">
        <f t="shared" si="13"/>
        <v>172744.74952710612</v>
      </c>
      <c r="K26" s="166">
        <f t="shared" si="13"/>
        <v>203337.50163791951</v>
      </c>
    </row>
    <row r="27" spans="1:11" ht="17.100000000000001" customHeight="1" x14ac:dyDescent="0.2">
      <c r="A27" s="167"/>
      <c r="B27" s="172"/>
      <c r="C27" s="185" t="s">
        <v>27</v>
      </c>
      <c r="D27" s="10">
        <f>D24/(D19+D22)</f>
        <v>0.28832237359594753</v>
      </c>
      <c r="E27" s="10">
        <f t="shared" ref="E27:F27" si="14">E24/(E19+E22)</f>
        <v>0.2960747974194588</v>
      </c>
      <c r="F27" s="10">
        <f t="shared" si="14"/>
        <v>0.37611285839195063</v>
      </c>
      <c r="G27" s="18">
        <v>0.30020000000000002</v>
      </c>
      <c r="H27" s="18">
        <v>0.30020000000000002</v>
      </c>
      <c r="I27" s="18">
        <v>0.30020000000000002</v>
      </c>
      <c r="J27" s="18">
        <v>0.30020000000000002</v>
      </c>
      <c r="K27" s="38">
        <v>0.30020000000000002</v>
      </c>
    </row>
    <row r="28" spans="1:11" ht="17.100000000000001" customHeight="1" x14ac:dyDescent="0.2">
      <c r="A28" s="42" t="s">
        <v>34</v>
      </c>
      <c r="B28" s="172"/>
      <c r="C28" s="168"/>
      <c r="D28" s="188"/>
      <c r="E28" s="188"/>
      <c r="F28" s="188"/>
      <c r="G28" s="188"/>
      <c r="H28" s="188"/>
      <c r="I28" s="188"/>
      <c r="J28" s="188"/>
      <c r="K28" s="189"/>
    </row>
    <row r="29" spans="1:11" ht="17.100000000000001" customHeight="1" x14ac:dyDescent="0.2">
      <c r="A29" s="42"/>
      <c r="B29" s="172" t="s">
        <v>35</v>
      </c>
      <c r="C29" s="168"/>
      <c r="D29" s="9">
        <v>875</v>
      </c>
      <c r="E29" s="9">
        <v>0</v>
      </c>
      <c r="F29" s="9">
        <v>0</v>
      </c>
      <c r="G29" s="20">
        <v>0</v>
      </c>
      <c r="H29" s="20">
        <v>0</v>
      </c>
      <c r="I29" s="20">
        <v>0</v>
      </c>
      <c r="J29" s="20">
        <v>0</v>
      </c>
      <c r="K29" s="43">
        <v>0</v>
      </c>
    </row>
    <row r="30" spans="1:11" ht="17.100000000000001" customHeight="1" x14ac:dyDescent="0.2">
      <c r="A30" s="42" t="s">
        <v>28</v>
      </c>
      <c r="B30" s="172"/>
      <c r="C30" s="168"/>
      <c r="D30" s="13">
        <f>D19+D22-D24-D29</f>
        <v>270556</v>
      </c>
      <c r="E30" s="13">
        <f>E19+E22-E24-E29</f>
        <v>279547</v>
      </c>
      <c r="F30" s="13">
        <f>F19+F22-F24-F29</f>
        <v>239033</v>
      </c>
      <c r="G30" s="13">
        <f>G19+G22-G26-G29</f>
        <v>310000.35069243633</v>
      </c>
      <c r="H30" s="13">
        <f t="shared" ref="H30:J30" si="15">H19+H22-H26-H29</f>
        <v>338036.78290455707</v>
      </c>
      <c r="I30" s="13">
        <f t="shared" si="15"/>
        <v>370672.51817271125</v>
      </c>
      <c r="J30" s="13">
        <f t="shared" si="15"/>
        <v>408310.04454428685</v>
      </c>
      <c r="K30" s="44">
        <f>K19+K22-K26-K29</f>
        <v>475037.72529364744</v>
      </c>
    </row>
    <row r="31" spans="1:11" ht="17.100000000000001" customHeight="1" x14ac:dyDescent="0.2">
      <c r="A31" s="42" t="s">
        <v>36</v>
      </c>
      <c r="B31" s="172"/>
      <c r="C31" s="168"/>
      <c r="D31" s="12">
        <v>270556</v>
      </c>
      <c r="E31" s="12">
        <v>279547</v>
      </c>
      <c r="F31" s="12">
        <v>239033</v>
      </c>
      <c r="G31" s="169"/>
      <c r="H31" s="169"/>
      <c r="I31" s="169"/>
      <c r="J31" s="169"/>
      <c r="K31" s="170"/>
    </row>
    <row r="32" spans="1:11" ht="17.100000000000001" customHeight="1" x14ac:dyDescent="0.2">
      <c r="A32" s="167" t="s">
        <v>37</v>
      </c>
      <c r="B32" s="172"/>
      <c r="C32" s="168"/>
      <c r="D32" s="188"/>
      <c r="E32" s="188"/>
      <c r="F32" s="188"/>
      <c r="G32" s="188"/>
      <c r="H32" s="188"/>
      <c r="I32" s="188"/>
      <c r="J32" s="188"/>
      <c r="K32" s="189"/>
    </row>
    <row r="33" spans="1:11" ht="17.100000000000001" customHeight="1" x14ac:dyDescent="0.2">
      <c r="A33" s="167"/>
      <c r="B33" s="172" t="s">
        <v>38</v>
      </c>
      <c r="C33" s="168"/>
      <c r="D33" s="188">
        <f t="shared" ref="D33:K33" si="16">D30/D36</f>
        <v>1.8788611111111111</v>
      </c>
      <c r="E33" s="188">
        <f t="shared" si="16"/>
        <v>1.9290677854988856</v>
      </c>
      <c r="F33" s="188">
        <f t="shared" si="16"/>
        <v>1.6607010108729634</v>
      </c>
      <c r="G33" s="188">
        <f t="shared" si="16"/>
        <v>2.2293385660788836</v>
      </c>
      <c r="H33" s="188">
        <f t="shared" si="16"/>
        <v>2.4309599495583769</v>
      </c>
      <c r="I33" s="188">
        <f t="shared" si="16"/>
        <v>2.6656567913623435</v>
      </c>
      <c r="J33" s="188">
        <f t="shared" si="16"/>
        <v>2.9363235466887327</v>
      </c>
      <c r="K33" s="189">
        <f t="shared" si="16"/>
        <v>3.4161894300249047</v>
      </c>
    </row>
    <row r="34" spans="1:11" ht="17.100000000000001" customHeight="1" x14ac:dyDescent="0.2">
      <c r="A34" s="167"/>
      <c r="B34" s="172" t="s">
        <v>39</v>
      </c>
      <c r="C34" s="168"/>
      <c r="D34" s="188">
        <f t="shared" ref="D34:K34" si="17">D30/D37</f>
        <v>1.8555889332400588</v>
      </c>
      <c r="E34" s="188">
        <f t="shared" si="17"/>
        <v>1.9141417253822504</v>
      </c>
      <c r="F34" s="188">
        <f t="shared" si="17"/>
        <v>1.6565233059363262</v>
      </c>
      <c r="G34" s="188">
        <f t="shared" si="17"/>
        <v>2.2235340735307605</v>
      </c>
      <c r="H34" s="188">
        <f>H30/H37</f>
        <v>2.4246304986949236</v>
      </c>
      <c r="I34" s="188">
        <f t="shared" si="17"/>
        <v>2.6587162641509332</v>
      </c>
      <c r="J34" s="188">
        <f t="shared" si="17"/>
        <v>2.9286782888508389</v>
      </c>
      <c r="K34" s="189">
        <f t="shared" si="17"/>
        <v>3.4072947531950706</v>
      </c>
    </row>
    <row r="35" spans="1:11" ht="17.100000000000001" customHeight="1" x14ac:dyDescent="0.2">
      <c r="A35" s="167" t="s">
        <v>40</v>
      </c>
      <c r="B35" s="172"/>
      <c r="C35" s="168"/>
      <c r="D35" s="188"/>
      <c r="E35" s="188"/>
      <c r="F35" s="188"/>
      <c r="G35" s="188"/>
      <c r="H35" s="188"/>
      <c r="I35" s="188"/>
      <c r="J35" s="188"/>
      <c r="K35" s="189"/>
    </row>
    <row r="36" spans="1:11" ht="17.100000000000001" customHeight="1" x14ac:dyDescent="0.2">
      <c r="A36" s="167"/>
      <c r="B36" s="172" t="s">
        <v>38</v>
      </c>
      <c r="C36" s="168"/>
      <c r="D36" s="12">
        <v>144000</v>
      </c>
      <c r="E36" s="12">
        <v>144913</v>
      </c>
      <c r="F36" s="12">
        <v>143935</v>
      </c>
      <c r="G36" s="21">
        <f>F36+'Cash Flows'!G34</f>
        <v>139054.85483870967</v>
      </c>
      <c r="H36" s="21">
        <f>G36+'Cash Flows'!H34</f>
        <v>139054.85483870967</v>
      </c>
      <c r="I36" s="21">
        <f t="shared" ref="I36:K36" si="18">H36</f>
        <v>139054.85483870967</v>
      </c>
      <c r="J36" s="21">
        <f t="shared" si="18"/>
        <v>139054.85483870967</v>
      </c>
      <c r="K36" s="45">
        <f t="shared" si="18"/>
        <v>139054.85483870967</v>
      </c>
    </row>
    <row r="37" spans="1:11" ht="17.100000000000001" customHeight="1" x14ac:dyDescent="0.2">
      <c r="A37" s="195"/>
      <c r="B37" s="179" t="s">
        <v>39</v>
      </c>
      <c r="C37" s="180"/>
      <c r="D37" s="15">
        <v>145806</v>
      </c>
      <c r="E37" s="15">
        <v>146043</v>
      </c>
      <c r="F37" s="15">
        <v>144298</v>
      </c>
      <c r="G37" s="33">
        <f>F37+'Cash Flows'!G34</f>
        <v>139417.85483870967</v>
      </c>
      <c r="H37" s="33">
        <f>G37+'Cash Flows'!H34</f>
        <v>139417.85483870967</v>
      </c>
      <c r="I37" s="33">
        <f t="shared" ref="I37:K37" si="19">H37</f>
        <v>139417.85483870967</v>
      </c>
      <c r="J37" s="33">
        <f t="shared" si="19"/>
        <v>139417.85483870967</v>
      </c>
      <c r="K37" s="46">
        <f t="shared" si="19"/>
        <v>139417.85483870967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7"/>
  <sheetViews>
    <sheetView zoomScale="85" zoomScaleNormal="85" workbookViewId="0">
      <selection activeCell="H36" sqref="H36"/>
    </sheetView>
  </sheetViews>
  <sheetFormatPr defaultRowHeight="17.100000000000001" customHeight="1" x14ac:dyDescent="0.2"/>
  <cols>
    <col min="1" max="1" width="3.28515625" style="4" customWidth="1"/>
    <col min="2" max="2" width="3" style="4" customWidth="1"/>
    <col min="3" max="3" width="50" style="4" customWidth="1"/>
    <col min="4" max="4" width="9.85546875" style="5" bestFit="1" customWidth="1"/>
    <col min="5" max="11" width="8.7109375" style="5" bestFit="1" customWidth="1"/>
    <col min="13" max="13" width="9.7109375" bestFit="1" customWidth="1"/>
  </cols>
  <sheetData>
    <row r="1" spans="1:13" ht="17.100000000000001" customHeight="1" x14ac:dyDescent="0.2">
      <c r="A1" s="1" t="s">
        <v>0</v>
      </c>
      <c r="B1" s="55"/>
      <c r="C1" s="55"/>
      <c r="D1" s="55"/>
      <c r="E1" s="55"/>
      <c r="F1" s="56"/>
      <c r="G1" s="57"/>
      <c r="H1" s="57"/>
      <c r="I1" s="57"/>
      <c r="J1" s="57"/>
      <c r="K1" s="57"/>
    </row>
    <row r="2" spans="1:13" ht="17.100000000000001" customHeight="1" x14ac:dyDescent="0.2">
      <c r="A2" s="55" t="s">
        <v>1</v>
      </c>
      <c r="B2" s="55"/>
      <c r="C2" s="55"/>
      <c r="D2" s="55"/>
      <c r="E2" s="55"/>
      <c r="F2" s="56"/>
      <c r="G2" s="57"/>
      <c r="H2" s="57"/>
      <c r="I2" s="57"/>
      <c r="J2" s="57"/>
      <c r="K2" s="57"/>
    </row>
    <row r="3" spans="1:13" ht="17.100000000000001" customHeight="1" x14ac:dyDescent="0.2">
      <c r="A3" s="59" t="s">
        <v>3</v>
      </c>
      <c r="B3" s="59"/>
      <c r="C3" s="59"/>
      <c r="D3" s="2" t="s">
        <v>4</v>
      </c>
      <c r="E3" s="2" t="s">
        <v>5</v>
      </c>
      <c r="F3" s="3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spans="1:13" ht="17.100000000000001" customHeight="1" x14ac:dyDescent="0.2">
      <c r="A4" s="27" t="s">
        <v>41</v>
      </c>
      <c r="B4" s="163"/>
      <c r="C4" s="164"/>
      <c r="D4" s="165"/>
      <c r="E4" s="165"/>
      <c r="F4" s="165"/>
      <c r="G4" s="165"/>
      <c r="H4" s="165"/>
      <c r="I4" s="165"/>
      <c r="J4" s="165"/>
      <c r="K4" s="166"/>
    </row>
    <row r="5" spans="1:13" ht="17.100000000000001" customHeight="1" x14ac:dyDescent="0.2">
      <c r="A5" s="167"/>
      <c r="B5" s="139" t="s">
        <v>42</v>
      </c>
      <c r="C5" s="168"/>
      <c r="D5" s="12">
        <f>'Income Statement'!D30</f>
        <v>270556</v>
      </c>
      <c r="E5" s="12">
        <f>'Income Statement'!E30</f>
        <v>279547</v>
      </c>
      <c r="F5" s="12">
        <f>'Income Statement'!F30</f>
        <v>239033</v>
      </c>
      <c r="G5" s="208">
        <f>'Income Statement'!G30</f>
        <v>310000.35069243633</v>
      </c>
      <c r="H5" s="208">
        <f>'Income Statement'!H30</f>
        <v>338036.78290455707</v>
      </c>
      <c r="I5" s="208">
        <f>'Income Statement'!I30</f>
        <v>370672.51817271125</v>
      </c>
      <c r="J5" s="208">
        <f>'Income Statement'!J30</f>
        <v>408310.04454428685</v>
      </c>
      <c r="K5" s="209">
        <f>'Income Statement'!K30</f>
        <v>475037.72529364744</v>
      </c>
      <c r="M5" s="37"/>
    </row>
    <row r="6" spans="1:13" ht="10.5" customHeight="1" x14ac:dyDescent="0.2">
      <c r="A6" s="167"/>
      <c r="B6" s="171" t="s">
        <v>43</v>
      </c>
      <c r="C6" s="168"/>
      <c r="D6" s="12"/>
      <c r="E6" s="12"/>
      <c r="F6" s="12"/>
      <c r="G6" s="169"/>
      <c r="H6" s="169"/>
      <c r="I6" s="169"/>
      <c r="J6" s="169"/>
      <c r="K6" s="170"/>
      <c r="M6" s="37"/>
    </row>
    <row r="7" spans="1:13" ht="17.100000000000001" customHeight="1" x14ac:dyDescent="0.2">
      <c r="A7" s="167"/>
      <c r="B7" s="172"/>
      <c r="C7" s="168" t="s">
        <v>23</v>
      </c>
      <c r="D7" s="12">
        <f>'Income Statement'!D18</f>
        <v>43000</v>
      </c>
      <c r="E7" s="12">
        <f>'Income Statement'!E18</f>
        <v>49068</v>
      </c>
      <c r="F7" s="12">
        <f>'Income Statement'!F18</f>
        <v>58364</v>
      </c>
      <c r="G7" s="208">
        <f>Depreciation!G18</f>
        <v>76405.095803387521</v>
      </c>
      <c r="H7" s="208">
        <f>Depreciation!H18</f>
        <v>97009.702683089505</v>
      </c>
      <c r="I7" s="208">
        <f>Depreciation!I18</f>
        <v>120395.93149155125</v>
      </c>
      <c r="J7" s="208">
        <f>Depreciation!J18</f>
        <v>146939.30118915532</v>
      </c>
      <c r="K7" s="209">
        <f>Depreciation!K18</f>
        <v>146939.30118915532</v>
      </c>
      <c r="M7" s="37"/>
    </row>
    <row r="8" spans="1:13" ht="17.100000000000001" customHeight="1" x14ac:dyDescent="0.2">
      <c r="A8" s="167"/>
      <c r="B8" s="172"/>
      <c r="C8" s="168" t="s">
        <v>44</v>
      </c>
      <c r="D8" s="12">
        <v>-6445</v>
      </c>
      <c r="E8" s="12">
        <v>820</v>
      </c>
      <c r="F8" s="12">
        <v>2087</v>
      </c>
      <c r="G8" s="208">
        <f>Depreciation!G38</f>
        <v>13468.848754646986</v>
      </c>
      <c r="H8" s="208">
        <f>Depreciation!H38</f>
        <v>9345.3607297480703</v>
      </c>
      <c r="I8" s="208">
        <f>Depreciation!I38</f>
        <v>5479.5865288849154</v>
      </c>
      <c r="J8" s="208">
        <f>Depreciation!J38</f>
        <v>1687.8996531260389</v>
      </c>
      <c r="K8" s="209">
        <f>Depreciation!K38</f>
        <v>310.74148693689585</v>
      </c>
      <c r="M8" s="37"/>
    </row>
    <row r="9" spans="1:13" ht="17.100000000000001" customHeight="1" x14ac:dyDescent="0.2">
      <c r="A9" s="167"/>
      <c r="B9" s="172" t="s">
        <v>81</v>
      </c>
      <c r="C9" s="168"/>
      <c r="D9" s="169"/>
      <c r="E9" s="169"/>
      <c r="F9" s="169"/>
      <c r="G9" s="169"/>
      <c r="H9" s="169"/>
      <c r="I9" s="169"/>
      <c r="J9" s="169"/>
      <c r="K9" s="170"/>
      <c r="M9" s="37"/>
    </row>
    <row r="10" spans="1:13" ht="17.100000000000001" customHeight="1" x14ac:dyDescent="0.2">
      <c r="A10" s="167"/>
      <c r="B10" s="139"/>
      <c r="C10" s="168" t="s">
        <v>63</v>
      </c>
      <c r="D10" s="169"/>
      <c r="E10" s="169">
        <f>-('Balance Sheet'!E7-'Balance Sheet'!D7)</f>
        <v>-5552</v>
      </c>
      <c r="F10" s="169">
        <f>-('Balance Sheet'!F7-'Balance Sheet'!E7)</f>
        <v>-1843</v>
      </c>
      <c r="G10" s="208">
        <f>-('Balance Sheet'!G7-'Balance Sheet'!F7)</f>
        <v>-809.8075000000008</v>
      </c>
      <c r="H10" s="208">
        <f>-('Balance Sheet'!H7-'Balance Sheet'!G7)</f>
        <v>-1965.0340125000021</v>
      </c>
      <c r="I10" s="208">
        <f>-('Balance Sheet'!I7-'Balance Sheet'!H7)</f>
        <v>-2230.3136041875005</v>
      </c>
      <c r="J10" s="208">
        <f>-('Balance Sheet'!J7-'Balance Sheet'!I7)</f>
        <v>-2531.4059407528111</v>
      </c>
      <c r="K10" s="209">
        <f>-('Balance Sheet'!K7-'Balance Sheet'!J7)</f>
        <v>-2873.1457427544447</v>
      </c>
      <c r="M10" s="37"/>
    </row>
    <row r="11" spans="1:13" ht="17.100000000000001" customHeight="1" x14ac:dyDescent="0.2">
      <c r="A11" s="167"/>
      <c r="B11" s="172"/>
      <c r="C11" s="168" t="s">
        <v>45</v>
      </c>
      <c r="D11" s="169"/>
      <c r="E11" s="169">
        <f>-('Balance Sheet'!E8-'Balance Sheet'!D8)</f>
        <v>-33568</v>
      </c>
      <c r="F11" s="169">
        <f>-('Balance Sheet'!F8-'Balance Sheet'!E8)</f>
        <v>-19326</v>
      </c>
      <c r="G11" s="208">
        <f>-('Balance Sheet'!G8-'Balance Sheet'!F8)</f>
        <v>-19169.473366847436</v>
      </c>
      <c r="H11" s="208">
        <f>-('Balance Sheet'!H8-'Balance Sheet'!G8)</f>
        <v>-30683.538904524408</v>
      </c>
      <c r="I11" s="208">
        <f>-('Balance Sheet'!I8-'Balance Sheet'!H8)</f>
        <v>-34825.816656635143</v>
      </c>
      <c r="J11" s="208">
        <f>-('Balance Sheet'!J8-'Balance Sheet'!I8)</f>
        <v>-39527.301905280969</v>
      </c>
      <c r="K11" s="209">
        <f>-('Balance Sheet'!K8-'Balance Sheet'!J8)</f>
        <v>-44863.487662493892</v>
      </c>
      <c r="M11" s="37"/>
    </row>
    <row r="12" spans="1:13" ht="17.100000000000001" customHeight="1" x14ac:dyDescent="0.2">
      <c r="A12" s="167"/>
      <c r="B12" s="172"/>
      <c r="C12" s="168" t="s">
        <v>64</v>
      </c>
      <c r="D12" s="169"/>
      <c r="E12" s="169">
        <f>-('Balance Sheet'!E9-'Balance Sheet'!D9)</f>
        <v>-10896</v>
      </c>
      <c r="F12" s="169">
        <f>-('Balance Sheet'!F9-'Balance Sheet'!E9)</f>
        <v>-18474</v>
      </c>
      <c r="G12" s="208">
        <f>-('Balance Sheet'!G9-'Balance Sheet'!F9)</f>
        <v>-8730.5849999999919</v>
      </c>
      <c r="H12" s="208">
        <f>-('Balance Sheet'!H9-'Balance Sheet'!G9)</f>
        <v>-9909.2139750000206</v>
      </c>
      <c r="I12" s="208">
        <f>-('Balance Sheet'!I9-'Balance Sheet'!H9)</f>
        <v>-11246.957861624978</v>
      </c>
      <c r="J12" s="208">
        <f>-('Balance Sheet'!J9-'Balance Sheet'!I9)</f>
        <v>-12765.297172944382</v>
      </c>
      <c r="K12" s="209">
        <f>-('Balance Sheet'!K9-'Balance Sheet'!J9)</f>
        <v>-14488.61229129188</v>
      </c>
      <c r="L12" s="17"/>
      <c r="M12" s="37"/>
    </row>
    <row r="13" spans="1:13" ht="17.100000000000001" customHeight="1" x14ac:dyDescent="0.2">
      <c r="A13" s="167"/>
      <c r="B13" s="172"/>
      <c r="C13" s="168" t="s">
        <v>46</v>
      </c>
      <c r="D13" s="169"/>
      <c r="E13" s="169">
        <f>'Balance Sheet'!E19-'Balance Sheet'!D19</f>
        <v>11602</v>
      </c>
      <c r="F13" s="169">
        <f>'Balance Sheet'!F19-'Balance Sheet'!E19</f>
        <v>-3308</v>
      </c>
      <c r="G13" s="208">
        <f>'Balance Sheet'!G19-'Balance Sheet'!F19</f>
        <v>3138.0550000000003</v>
      </c>
      <c r="H13" s="208">
        <f>'Balance Sheet'!H19-'Balance Sheet'!G19</f>
        <v>1684.4024250000002</v>
      </c>
      <c r="I13" s="208">
        <f>'Balance Sheet'!I19-'Balance Sheet'!H19</f>
        <v>1911.7967523749994</v>
      </c>
      <c r="J13" s="208">
        <f>'Balance Sheet'!J19-'Balance Sheet'!I19</f>
        <v>2169.889313945625</v>
      </c>
      <c r="K13" s="209">
        <f>'Balance Sheet'!K19-'Balance Sheet'!J19</f>
        <v>2462.8243713282864</v>
      </c>
      <c r="M13" s="37"/>
    </row>
    <row r="14" spans="1:13" ht="17.100000000000001" customHeight="1" x14ac:dyDescent="0.2">
      <c r="A14" s="167"/>
      <c r="B14" s="172"/>
      <c r="C14" s="168" t="s">
        <v>47</v>
      </c>
      <c r="D14" s="169"/>
      <c r="E14" s="169">
        <f>'Balance Sheet'!E20-'Balance Sheet'!D20</f>
        <v>-14617</v>
      </c>
      <c r="F14" s="169">
        <f>'Balance Sheet'!F20-'Balance Sheet'!E20</f>
        <v>6881</v>
      </c>
      <c r="G14" s="208">
        <f>'Balance Sheet'!G20-'Balance Sheet'!F20</f>
        <v>8000.078927250288</v>
      </c>
      <c r="H14" s="208">
        <f>'Balance Sheet'!H20-'Balance Sheet'!G20</f>
        <v>4089.9706551787895</v>
      </c>
      <c r="I14" s="208">
        <f>'Balance Sheet'!I20-'Balance Sheet'!H20</f>
        <v>4642.116693627926</v>
      </c>
      <c r="J14" s="208">
        <f>'Balance Sheet'!J20-'Balance Sheet'!I20</f>
        <v>5268.8024472676916</v>
      </c>
      <c r="K14" s="209">
        <f>'Balance Sheet'!K20-'Balance Sheet'!J20</f>
        <v>5980.0907776488384</v>
      </c>
      <c r="M14" s="37"/>
    </row>
    <row r="15" spans="1:13" ht="17.100000000000001" customHeight="1" x14ac:dyDescent="0.2">
      <c r="A15" s="167"/>
      <c r="B15" s="172"/>
      <c r="C15" s="168" t="s">
        <v>50</v>
      </c>
      <c r="D15" s="169"/>
      <c r="E15" s="169">
        <f>'Balance Sheet'!E21-'Balance Sheet'!D21</f>
        <v>-8085</v>
      </c>
      <c r="F15" s="169">
        <f>'Balance Sheet'!F21-'Balance Sheet'!E21</f>
        <v>10487</v>
      </c>
      <c r="G15" s="208">
        <f>'Balance Sheet'!G21-'Balance Sheet'!F21</f>
        <v>2039.2846307424697</v>
      </c>
      <c r="H15" s="208">
        <f>'Balance Sheet'!H21-'Balance Sheet'!G21</f>
        <v>4316.1234251502392</v>
      </c>
      <c r="I15" s="208">
        <f>'Balance Sheet'!I21-'Balance Sheet'!H21</f>
        <v>4898.8000875455109</v>
      </c>
      <c r="J15" s="208">
        <f>'Balance Sheet'!J21-'Balance Sheet'!I21</f>
        <v>5560.1380993641578</v>
      </c>
      <c r="K15" s="209">
        <f>'Balance Sheet'!K21-'Balance Sheet'!J21</f>
        <v>6310.7567427783288</v>
      </c>
      <c r="M15" s="37"/>
    </row>
    <row r="16" spans="1:13" ht="17.100000000000001" customHeight="1" x14ac:dyDescent="0.2">
      <c r="A16" s="167"/>
      <c r="B16" s="172"/>
      <c r="C16" s="168" t="s">
        <v>49</v>
      </c>
      <c r="D16" s="169"/>
      <c r="E16" s="169">
        <f>'Balance Sheet'!E22-'Balance Sheet'!D22</f>
        <v>-38868</v>
      </c>
      <c r="F16" s="169">
        <f>'Balance Sheet'!F22-'Balance Sheet'!E22</f>
        <v>19304</v>
      </c>
      <c r="G16" s="208">
        <f>'Balance Sheet'!G22-'Balance Sheet'!F22</f>
        <v>-4544.8537644898752</v>
      </c>
      <c r="H16" s="208">
        <f>'Balance Sheet'!H22-'Balance Sheet'!G22</f>
        <v>1684.0839543164257</v>
      </c>
      <c r="I16" s="208">
        <f>'Balance Sheet'!I22-'Balance Sheet'!H22</f>
        <v>1911.4352881491504</v>
      </c>
      <c r="J16" s="208">
        <f>'Balance Sheet'!J22-'Balance Sheet'!I22</f>
        <v>2169.4790520492716</v>
      </c>
      <c r="K16" s="209">
        <f>'Balance Sheet'!K22-'Balance Sheet'!J22</f>
        <v>3566.3728511663649</v>
      </c>
      <c r="M16" s="37"/>
    </row>
    <row r="17" spans="1:15" ht="17.100000000000001" customHeight="1" x14ac:dyDescent="0.2">
      <c r="A17" s="167"/>
      <c r="B17" s="172"/>
      <c r="C17" s="168" t="s">
        <v>72</v>
      </c>
      <c r="D17" s="169"/>
      <c r="E17" s="169">
        <f>'Balance Sheet'!E23-'Balance Sheet'!D23</f>
        <v>3230</v>
      </c>
      <c r="F17" s="169">
        <f>'Balance Sheet'!F23-'Balance Sheet'!E23</f>
        <v>7909</v>
      </c>
      <c r="G17" s="208">
        <f>'Balance Sheet'!G23-'Balance Sheet'!F23</f>
        <v>-3954.5</v>
      </c>
      <c r="H17" s="208">
        <f>'Balance Sheet'!H23-'Balance Sheet'!G23</f>
        <v>5710.1624999999985</v>
      </c>
      <c r="I17" s="208">
        <f>'Balance Sheet'!I23-'Balance Sheet'!H23</f>
        <v>6481.0344375000059</v>
      </c>
      <c r="J17" s="208">
        <f>'Balance Sheet'!J23-'Balance Sheet'!I23</f>
        <v>7355.974086562499</v>
      </c>
      <c r="K17" s="209">
        <f>'Balance Sheet'!K23-'Balance Sheet'!J23</f>
        <v>8349.0305882484317</v>
      </c>
      <c r="M17" s="37"/>
      <c r="O17" s="34"/>
    </row>
    <row r="18" spans="1:15" ht="17.100000000000001" customHeight="1" x14ac:dyDescent="0.2">
      <c r="A18" s="167"/>
      <c r="B18" s="172"/>
      <c r="C18" s="168" t="s">
        <v>48</v>
      </c>
      <c r="D18" s="173"/>
      <c r="E18" s="174">
        <f>'Balance Sheet'!E24-'Balance Sheet'!D24</f>
        <v>29595</v>
      </c>
      <c r="F18" s="174">
        <f>'Balance Sheet'!F24-'Balance Sheet'!E24</f>
        <v>2394</v>
      </c>
      <c r="G18" s="206">
        <f>'Balance Sheet'!G24-'Balance Sheet'!F24</f>
        <v>2959.9200000000055</v>
      </c>
      <c r="H18" s="206">
        <f>'Balance Sheet'!H24-'Balance Sheet'!G24</f>
        <v>4718.1042000000016</v>
      </c>
      <c r="I18" s="206">
        <f>'Balance Sheet'!I24-'Balance Sheet'!H24</f>
        <v>5355.0482669999983</v>
      </c>
      <c r="J18" s="206">
        <f>'Balance Sheet'!J24-'Balance Sheet'!I24</f>
        <v>6077.979783044997</v>
      </c>
      <c r="K18" s="207">
        <f>'Balance Sheet'!K24-'Balance Sheet'!J24</f>
        <v>6898.507053756075</v>
      </c>
      <c r="M18" s="37"/>
    </row>
    <row r="19" spans="1:15" ht="17.100000000000001" customHeight="1" x14ac:dyDescent="0.2">
      <c r="A19" s="155" t="s">
        <v>51</v>
      </c>
      <c r="B19" s="172"/>
      <c r="C19" s="168"/>
      <c r="D19" s="169">
        <f t="shared" ref="D19:K19" si="0">SUM(D5:D18)</f>
        <v>307111</v>
      </c>
      <c r="E19" s="169">
        <f t="shared" si="0"/>
        <v>262276</v>
      </c>
      <c r="F19" s="169">
        <f t="shared" si="0"/>
        <v>303508</v>
      </c>
      <c r="G19" s="169">
        <f t="shared" si="0"/>
        <v>378802.41417712625</v>
      </c>
      <c r="H19" s="169">
        <f t="shared" si="0"/>
        <v>424036.90658501565</v>
      </c>
      <c r="I19" s="169">
        <f t="shared" si="0"/>
        <v>473445.17959689733</v>
      </c>
      <c r="J19" s="169">
        <f t="shared" si="0"/>
        <v>530715.50314982422</v>
      </c>
      <c r="K19" s="170">
        <f t="shared" si="0"/>
        <v>593630.10465812602</v>
      </c>
      <c r="M19" s="37"/>
    </row>
    <row r="20" spans="1:15" ht="17.100000000000001" customHeight="1" x14ac:dyDescent="0.2">
      <c r="A20" s="167"/>
      <c r="B20" s="172"/>
      <c r="C20" s="168"/>
      <c r="D20" s="169"/>
      <c r="E20" s="169"/>
      <c r="F20" s="169"/>
      <c r="G20" s="169"/>
      <c r="H20" s="169"/>
      <c r="I20" s="169"/>
      <c r="J20" s="169"/>
      <c r="K20" s="170"/>
      <c r="M20" s="37"/>
    </row>
    <row r="21" spans="1:15" ht="17.100000000000001" customHeight="1" x14ac:dyDescent="0.2">
      <c r="A21" s="155" t="s">
        <v>53</v>
      </c>
      <c r="B21" s="172"/>
      <c r="C21" s="168"/>
      <c r="D21" s="169"/>
      <c r="E21" s="54" t="s">
        <v>173</v>
      </c>
      <c r="F21" s="54" t="s">
        <v>173</v>
      </c>
      <c r="G21" s="169"/>
      <c r="H21" s="169"/>
      <c r="I21" s="169"/>
      <c r="J21" s="169"/>
      <c r="K21" s="170"/>
      <c r="M21" s="37"/>
    </row>
    <row r="22" spans="1:15" ht="17.100000000000001" customHeight="1" x14ac:dyDescent="0.2">
      <c r="A22" s="167"/>
      <c r="B22" s="172" t="s">
        <v>52</v>
      </c>
      <c r="C22" s="172"/>
      <c r="D22" s="36" t="s">
        <v>82</v>
      </c>
      <c r="E22" s="12">
        <v>-106408</v>
      </c>
      <c r="F22" s="12">
        <v>-119733</v>
      </c>
      <c r="G22" s="169">
        <f>-G26*'Income Statement'!G5</f>
        <v>-136153.7899539778</v>
      </c>
      <c r="H22" s="169">
        <f>-H26*'Income Statement'!H5</f>
        <v>-154534.55159776483</v>
      </c>
      <c r="I22" s="169">
        <f>-I26*'Income Statement'!I5</f>
        <v>-175396.71606346307</v>
      </c>
      <c r="J22" s="169">
        <f>-J26*'Income Statement'!J5</f>
        <v>-199075.27273203057</v>
      </c>
      <c r="K22" s="170">
        <f>-K26*'Income Statement'!K5</f>
        <v>-225950.4345508547</v>
      </c>
      <c r="M22" s="37"/>
    </row>
    <row r="23" spans="1:15" ht="17.100000000000001" customHeight="1" x14ac:dyDescent="0.2">
      <c r="A23" s="167"/>
      <c r="B23" s="172" t="s">
        <v>68</v>
      </c>
      <c r="C23" s="168"/>
      <c r="D23" s="35"/>
      <c r="E23" s="12"/>
      <c r="F23" s="12"/>
      <c r="G23" s="169">
        <f>-('Balance Sheet'!G14-'Balance Sheet'!F14)</f>
        <v>-81.697000000000116</v>
      </c>
      <c r="H23" s="169">
        <f>-('Balance Sheet'!H14-'Balance Sheet'!G14)</f>
        <v>-72.659999999999854</v>
      </c>
      <c r="I23" s="169">
        <f>-('Balance Sheet'!I14-'Balance Sheet'!H14)</f>
        <v>-57.1899999999996</v>
      </c>
      <c r="J23" s="169">
        <f>-('Balance Sheet'!J14-'Balance Sheet'!I14)</f>
        <v>-43.625</v>
      </c>
      <c r="K23" s="170">
        <f>-('Balance Sheet'!K14-'Balance Sheet'!J14)</f>
        <v>-58.029000000000451</v>
      </c>
      <c r="M23" s="37"/>
    </row>
    <row r="24" spans="1:15" ht="17.100000000000001" customHeight="1" x14ac:dyDescent="0.2">
      <c r="A24" s="167"/>
      <c r="B24" s="168" t="s">
        <v>74</v>
      </c>
      <c r="C24" s="12"/>
      <c r="D24" s="25"/>
      <c r="E24" s="15"/>
      <c r="F24" s="176"/>
      <c r="G24" s="206">
        <f>('Balance Sheet'!G27-'Balance Sheet'!F27)</f>
        <v>11554.465407433236</v>
      </c>
      <c r="H24" s="206">
        <f>('Balance Sheet'!H27-'Balance Sheet'!G27)</f>
        <v>8842.4847293518833</v>
      </c>
      <c r="I24" s="206">
        <f>('Balance Sheet'!I27-'Balance Sheet'!H27)</f>
        <v>8454.4958718775451</v>
      </c>
      <c r="J24" s="206">
        <f>('Balance Sheet'!J27-'Balance Sheet'!I27)</f>
        <v>8014.128518644211</v>
      </c>
      <c r="K24" s="207">
        <f>('Balance Sheet'!K27-'Balance Sheet'!J27)</f>
        <v>12145.268581859345</v>
      </c>
      <c r="M24" s="37"/>
    </row>
    <row r="25" spans="1:15" ht="17.100000000000001" customHeight="1" x14ac:dyDescent="0.2">
      <c r="A25" s="42" t="s">
        <v>54</v>
      </c>
      <c r="B25" s="172"/>
      <c r="C25" s="168"/>
      <c r="D25" s="169"/>
      <c r="E25" s="169">
        <f>E22</f>
        <v>-106408</v>
      </c>
      <c r="F25" s="169">
        <f>F22</f>
        <v>-119733</v>
      </c>
      <c r="G25" s="169">
        <f>G22+G23+G24</f>
        <v>-124681.02154654455</v>
      </c>
      <c r="H25" s="169">
        <f>H22+H23+H24</f>
        <v>-145764.72686841295</v>
      </c>
      <c r="I25" s="169">
        <f t="shared" ref="I25:K25" si="1">I22+I23+I24</f>
        <v>-166999.41019158554</v>
      </c>
      <c r="J25" s="169">
        <f t="shared" si="1"/>
        <v>-191104.76921338635</v>
      </c>
      <c r="K25" s="170">
        <f t="shared" si="1"/>
        <v>-213863.19496899535</v>
      </c>
      <c r="M25" s="37"/>
    </row>
    <row r="26" spans="1:15" ht="17.100000000000001" customHeight="1" x14ac:dyDescent="0.2">
      <c r="A26" s="167"/>
      <c r="B26" s="172"/>
      <c r="C26" s="168" t="s">
        <v>97</v>
      </c>
      <c r="D26" s="169"/>
      <c r="E26" s="10">
        <f>-E22/'Income Statement'!E5</f>
        <v>6.6873304725777225E-2</v>
      </c>
      <c r="F26" s="10">
        <f>-F22/'Income Statement'!F5</f>
        <v>6.6621485600204311E-2</v>
      </c>
      <c r="G26" s="18">
        <f>AVERAGE(F26,E26)</f>
        <v>6.6747395162990775E-2</v>
      </c>
      <c r="H26" s="18">
        <f>G26</f>
        <v>6.6747395162990775E-2</v>
      </c>
      <c r="I26" s="18">
        <f t="shared" ref="I26:K26" si="2">H26</f>
        <v>6.6747395162990775E-2</v>
      </c>
      <c r="J26" s="18">
        <f t="shared" si="2"/>
        <v>6.6747395162990775E-2</v>
      </c>
      <c r="K26" s="38">
        <f t="shared" si="2"/>
        <v>6.6747395162990775E-2</v>
      </c>
      <c r="M26" s="37"/>
    </row>
    <row r="27" spans="1:15" ht="17.100000000000001" customHeight="1" x14ac:dyDescent="0.2">
      <c r="A27" s="167"/>
      <c r="B27" s="172"/>
      <c r="C27" s="168"/>
      <c r="D27" s="169"/>
      <c r="E27" s="169"/>
      <c r="F27" s="169"/>
      <c r="G27" s="169"/>
      <c r="H27" s="169"/>
      <c r="I27" s="169"/>
      <c r="J27" s="169"/>
      <c r="K27" s="170"/>
      <c r="M27" s="37"/>
    </row>
    <row r="28" spans="1:15" ht="17.100000000000001" customHeight="1" x14ac:dyDescent="0.2">
      <c r="A28" s="42" t="s">
        <v>55</v>
      </c>
      <c r="B28" s="172"/>
      <c r="C28" s="168"/>
      <c r="D28" s="169"/>
      <c r="E28" s="169"/>
      <c r="F28" s="169"/>
      <c r="G28" s="169"/>
      <c r="H28" s="169"/>
      <c r="I28" s="169"/>
      <c r="J28" s="169"/>
      <c r="K28" s="170"/>
      <c r="M28" s="37"/>
    </row>
    <row r="29" spans="1:15" ht="17.100000000000001" customHeight="1" x14ac:dyDescent="0.2">
      <c r="A29" s="167"/>
      <c r="B29" s="172" t="s">
        <v>56</v>
      </c>
      <c r="C29" s="168"/>
      <c r="D29" s="12">
        <v>11014</v>
      </c>
      <c r="E29" s="12">
        <v>8171</v>
      </c>
      <c r="F29" s="12">
        <v>2913</v>
      </c>
      <c r="G29" s="21">
        <v>0</v>
      </c>
      <c r="H29" s="21">
        <v>0</v>
      </c>
      <c r="I29" s="21">
        <v>0</v>
      </c>
      <c r="J29" s="21">
        <v>0</v>
      </c>
      <c r="K29" s="45">
        <v>0</v>
      </c>
      <c r="M29" s="37"/>
    </row>
    <row r="30" spans="1:15" ht="17.100000000000001" customHeight="1" x14ac:dyDescent="0.2">
      <c r="A30" s="167"/>
      <c r="B30" s="172" t="s">
        <v>57</v>
      </c>
      <c r="C30" s="168"/>
      <c r="D30" s="12">
        <v>-393</v>
      </c>
      <c r="E30" s="12">
        <v>-5721</v>
      </c>
      <c r="F30" s="12">
        <v>-4972</v>
      </c>
      <c r="G30" s="21">
        <f>-91-5721</f>
        <v>-5812</v>
      </c>
      <c r="H30" s="21">
        <v>0</v>
      </c>
      <c r="I30" s="21">
        <v>0</v>
      </c>
      <c r="J30" s="21">
        <v>0</v>
      </c>
      <c r="K30" s="45">
        <v>0</v>
      </c>
      <c r="M30" s="37"/>
    </row>
    <row r="31" spans="1:15" ht="17.100000000000001" customHeight="1" x14ac:dyDescent="0.2">
      <c r="A31" s="167"/>
      <c r="B31" s="172" t="s">
        <v>58</v>
      </c>
      <c r="C31" s="168"/>
      <c r="D31" s="25">
        <v>0</v>
      </c>
      <c r="E31" s="15">
        <v>0</v>
      </c>
      <c r="F31" s="15">
        <v>-147431</v>
      </c>
      <c r="G31" s="33">
        <f>-302569</f>
        <v>-302569</v>
      </c>
      <c r="H31" s="33">
        <f>0</f>
        <v>0</v>
      </c>
      <c r="I31" s="33">
        <v>0</v>
      </c>
      <c r="J31" s="33">
        <v>0</v>
      </c>
      <c r="K31" s="46">
        <v>0</v>
      </c>
      <c r="M31" s="37"/>
    </row>
    <row r="32" spans="1:15" ht="17.100000000000001" customHeight="1" x14ac:dyDescent="0.2">
      <c r="A32" s="155" t="s">
        <v>59</v>
      </c>
      <c r="B32" s="172"/>
      <c r="C32" s="168"/>
      <c r="D32" s="169">
        <f t="shared" ref="D32:K32" si="3">SUM(D29:D31)</f>
        <v>10621</v>
      </c>
      <c r="E32" s="169">
        <f t="shared" si="3"/>
        <v>2450</v>
      </c>
      <c r="F32" s="169">
        <f t="shared" si="3"/>
        <v>-149490</v>
      </c>
      <c r="G32" s="169">
        <f>SUM(G29:G31)</f>
        <v>-308381</v>
      </c>
      <c r="H32" s="169">
        <f>SUM(H29:H31)</f>
        <v>0</v>
      </c>
      <c r="I32" s="169">
        <f t="shared" si="3"/>
        <v>0</v>
      </c>
      <c r="J32" s="169">
        <f t="shared" si="3"/>
        <v>0</v>
      </c>
      <c r="K32" s="170">
        <f t="shared" si="3"/>
        <v>0</v>
      </c>
      <c r="M32" s="37"/>
    </row>
    <row r="33" spans="1:12" ht="17.100000000000001" customHeight="1" x14ac:dyDescent="0.2">
      <c r="A33" s="167"/>
      <c r="B33" s="172"/>
      <c r="C33" s="168"/>
      <c r="D33" s="200" t="s">
        <v>173</v>
      </c>
      <c r="E33" s="169"/>
      <c r="F33" s="169"/>
      <c r="G33" s="169"/>
      <c r="H33" s="169"/>
      <c r="I33" s="169"/>
      <c r="J33" s="169"/>
      <c r="K33" s="170"/>
    </row>
    <row r="34" spans="1:12" ht="17.100000000000001" customHeight="1" x14ac:dyDescent="0.2">
      <c r="A34" s="167"/>
      <c r="B34" s="172"/>
      <c r="C34" s="168" t="s">
        <v>150</v>
      </c>
      <c r="D34" s="12">
        <v>62</v>
      </c>
      <c r="E34" s="169"/>
      <c r="F34" s="169"/>
      <c r="G34" s="169">
        <f>(G31)/D34</f>
        <v>-4880.1451612903229</v>
      </c>
      <c r="H34" s="201">
        <f>IFERROR((H31)/E34,0)</f>
        <v>0</v>
      </c>
      <c r="I34" s="201">
        <f>IFERROR((I31)/F34,0)</f>
        <v>0</v>
      </c>
      <c r="J34" s="201">
        <f>IFERROR((J31)/G34,0)</f>
        <v>0</v>
      </c>
      <c r="K34" s="201">
        <f>IFERROR((K31)/H34,0)</f>
        <v>0</v>
      </c>
      <c r="L34" s="28"/>
    </row>
    <row r="35" spans="1:12" ht="17.100000000000001" customHeight="1" x14ac:dyDescent="0.2">
      <c r="A35" s="177" t="s">
        <v>109</v>
      </c>
      <c r="B35" s="172"/>
      <c r="C35" s="168"/>
      <c r="D35" s="169">
        <v>-651</v>
      </c>
      <c r="E35" s="169">
        <v>-72368</v>
      </c>
      <c r="F35" s="169">
        <v>-79809</v>
      </c>
      <c r="G35" s="169">
        <v>-65000</v>
      </c>
      <c r="H35" s="169">
        <f>G35</f>
        <v>-65000</v>
      </c>
      <c r="I35" s="169">
        <f>H35/2</f>
        <v>-32500</v>
      </c>
      <c r="J35" s="169">
        <f t="shared" ref="J35:K35" si="4">I35/2</f>
        <v>-16250</v>
      </c>
      <c r="K35" s="170">
        <f t="shared" si="4"/>
        <v>-8125</v>
      </c>
    </row>
    <row r="36" spans="1:12" ht="17.100000000000001" customHeight="1" x14ac:dyDescent="0.2">
      <c r="A36" s="178" t="s">
        <v>110</v>
      </c>
      <c r="B36" s="179"/>
      <c r="C36" s="180"/>
      <c r="D36" s="174"/>
      <c r="E36" s="174">
        <f t="shared" ref="E36:F36" si="5">E19+E25+E32+E35</f>
        <v>85950</v>
      </c>
      <c r="F36" s="174">
        <f t="shared" si="5"/>
        <v>-45524</v>
      </c>
      <c r="G36" s="174">
        <f>G19+G25+G32+G35</f>
        <v>-119259.60736941831</v>
      </c>
      <c r="H36" s="174">
        <f>H19+H25+H32+H35</f>
        <v>213272.17971660267</v>
      </c>
      <c r="I36" s="174">
        <f t="shared" ref="I36:K36" si="6">I19+I25+I32+I35</f>
        <v>273945.76940531179</v>
      </c>
      <c r="J36" s="174">
        <f t="shared" si="6"/>
        <v>323360.73393643787</v>
      </c>
      <c r="K36" s="175">
        <f t="shared" si="6"/>
        <v>371641.90968913067</v>
      </c>
    </row>
    <row r="37" spans="1:12" ht="17.100000000000001" customHeight="1" x14ac:dyDescent="0.2">
      <c r="D37" s="14"/>
      <c r="E37" s="14"/>
      <c r="F37" s="14"/>
      <c r="G37" s="14"/>
      <c r="H37" s="14"/>
      <c r="I37" s="14"/>
      <c r="J37" s="14"/>
      <c r="K37" s="1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0"/>
  <sheetViews>
    <sheetView tabSelected="1" zoomScale="85" zoomScaleNormal="85" workbookViewId="0">
      <selection activeCell="M9" sqref="M9"/>
    </sheetView>
  </sheetViews>
  <sheetFormatPr defaultRowHeight="17.100000000000001" customHeight="1" x14ac:dyDescent="0.2"/>
  <cols>
    <col min="1" max="1" width="2.85546875" customWidth="1"/>
    <col min="2" max="2" width="3.140625" customWidth="1"/>
    <col min="3" max="3" width="40" customWidth="1"/>
    <col min="4" max="4" width="10.7109375" style="6" bestFit="1" customWidth="1"/>
    <col min="5" max="11" width="9.7109375" style="6" bestFit="1" customWidth="1"/>
    <col min="12" max="12" width="9.140625" style="6"/>
    <col min="13" max="14" width="10.7109375" style="6" bestFit="1" customWidth="1"/>
    <col min="15" max="16384" width="9.140625" style="6"/>
  </cols>
  <sheetData>
    <row r="1" spans="1:17" customFormat="1" ht="17.100000000000001" customHeight="1" x14ac:dyDescent="0.2">
      <c r="A1" s="1" t="s">
        <v>60</v>
      </c>
      <c r="B1" s="55"/>
      <c r="C1" s="55"/>
      <c r="D1" s="55"/>
      <c r="E1" s="55"/>
      <c r="F1" s="56"/>
      <c r="G1" s="57"/>
      <c r="H1" s="57"/>
      <c r="I1" s="57"/>
      <c r="J1" s="57"/>
      <c r="K1" s="57"/>
    </row>
    <row r="2" spans="1:17" customFormat="1" ht="17.100000000000001" customHeight="1" x14ac:dyDescent="0.2">
      <c r="A2" s="55" t="s">
        <v>1</v>
      </c>
      <c r="B2" s="55"/>
      <c r="C2" s="55"/>
      <c r="D2" s="55"/>
      <c r="E2" s="55"/>
      <c r="F2" s="56"/>
      <c r="G2" s="57"/>
      <c r="H2" s="57"/>
      <c r="I2" s="57"/>
      <c r="J2" s="57"/>
      <c r="K2" s="57"/>
    </row>
    <row r="3" spans="1:17" customFormat="1" ht="17.100000000000001" customHeight="1" x14ac:dyDescent="0.2">
      <c r="A3" s="59" t="s">
        <v>3</v>
      </c>
      <c r="B3" s="59"/>
      <c r="C3" s="59"/>
      <c r="D3" s="2" t="s">
        <v>4</v>
      </c>
      <c r="E3" s="2" t="s">
        <v>5</v>
      </c>
      <c r="F3" s="3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spans="1:17" ht="17.100000000000001" customHeight="1" x14ac:dyDescent="0.2">
      <c r="A4" s="27" t="s">
        <v>70</v>
      </c>
      <c r="B4" s="134"/>
      <c r="C4" s="150"/>
      <c r="D4" s="137"/>
      <c r="E4" s="137"/>
      <c r="F4" s="137"/>
      <c r="G4" s="137"/>
      <c r="H4" s="137"/>
      <c r="I4" s="137"/>
      <c r="J4" s="137"/>
      <c r="K4" s="151"/>
    </row>
    <row r="5" spans="1:17" ht="17.100000000000001" customHeight="1" x14ac:dyDescent="0.2">
      <c r="A5" s="138" t="s">
        <v>61</v>
      </c>
      <c r="B5" s="139"/>
      <c r="C5" s="152"/>
      <c r="D5" s="142"/>
      <c r="E5" s="142"/>
      <c r="F5" s="142"/>
      <c r="G5" s="142"/>
      <c r="H5" s="142"/>
      <c r="I5" s="142"/>
      <c r="J5" s="142"/>
      <c r="K5" s="153"/>
    </row>
    <row r="6" spans="1:17" ht="17.100000000000001" customHeight="1" x14ac:dyDescent="0.2">
      <c r="A6" s="138"/>
      <c r="B6" s="139" t="s">
        <v>62</v>
      </c>
      <c r="C6" s="152"/>
      <c r="D6" s="47">
        <v>590179</v>
      </c>
      <c r="E6" s="47">
        <v>698649</v>
      </c>
      <c r="F6" s="47">
        <v>664479</v>
      </c>
      <c r="G6" s="210">
        <f>F6+'Cash Flows'!G36</f>
        <v>545219.39263058174</v>
      </c>
      <c r="H6" s="210">
        <f>G6+'Cash Flows'!H36</f>
        <v>758491.57234718441</v>
      </c>
      <c r="I6" s="210">
        <f>H6+'Cash Flows'!I36</f>
        <v>1032437.3417524962</v>
      </c>
      <c r="J6" s="210">
        <f>I6+'Cash Flows'!J36</f>
        <v>1355798.075688934</v>
      </c>
      <c r="K6" s="211">
        <f>J6+'Cash Flows'!K36</f>
        <v>1727439.9853780647</v>
      </c>
      <c r="M6" s="17"/>
      <c r="N6" s="17"/>
      <c r="O6" s="17"/>
      <c r="P6" s="17"/>
      <c r="Q6" s="17"/>
    </row>
    <row r="7" spans="1:17" ht="17.100000000000001" customHeight="1" x14ac:dyDescent="0.2">
      <c r="A7" s="138"/>
      <c r="B7" s="139" t="s">
        <v>63</v>
      </c>
      <c r="C7" s="152"/>
      <c r="D7" s="47">
        <v>6351</v>
      </c>
      <c r="E7" s="47">
        <v>11903</v>
      </c>
      <c r="F7" s="47">
        <v>13746</v>
      </c>
      <c r="G7" s="210">
        <f>'Working Capital'!G5</f>
        <v>14555.807500000001</v>
      </c>
      <c r="H7" s="210">
        <f>'Working Capital'!H5</f>
        <v>16520.841512500003</v>
      </c>
      <c r="I7" s="210">
        <f>'Working Capital'!I5</f>
        <v>18751.155116687503</v>
      </c>
      <c r="J7" s="210">
        <f>'Working Capital'!J5</f>
        <v>21282.561057440314</v>
      </c>
      <c r="K7" s="211">
        <f>'Working Capital'!K5</f>
        <v>24155.706800194759</v>
      </c>
      <c r="M7" s="17"/>
      <c r="N7" s="17"/>
      <c r="O7" s="17"/>
      <c r="P7" s="17"/>
      <c r="Q7" s="17"/>
    </row>
    <row r="8" spans="1:17" ht="17.100000000000001" customHeight="1" x14ac:dyDescent="0.2">
      <c r="A8" s="138"/>
      <c r="B8" s="139" t="s">
        <v>45</v>
      </c>
      <c r="C8" s="152"/>
      <c r="D8" s="47">
        <v>155222</v>
      </c>
      <c r="E8" s="47">
        <v>188790</v>
      </c>
      <c r="F8" s="47">
        <v>208116</v>
      </c>
      <c r="G8" s="210">
        <f>'Working Capital'!G7</f>
        <v>227285.47336684744</v>
      </c>
      <c r="H8" s="210">
        <f>'Working Capital'!H7</f>
        <v>257969.01227137184</v>
      </c>
      <c r="I8" s="210">
        <f>'Working Capital'!I7</f>
        <v>292794.82892800699</v>
      </c>
      <c r="J8" s="210">
        <f>'Working Capital'!J7</f>
        <v>332322.13083328796</v>
      </c>
      <c r="K8" s="211">
        <f>'Working Capital'!K7</f>
        <v>377185.61849578185</v>
      </c>
      <c r="M8" s="17"/>
      <c r="N8" s="17"/>
      <c r="O8" s="17"/>
      <c r="P8" s="17"/>
      <c r="Q8" s="17"/>
    </row>
    <row r="9" spans="1:17" ht="17.100000000000001" customHeight="1" x14ac:dyDescent="0.2">
      <c r="A9" s="138"/>
      <c r="B9" s="139" t="s">
        <v>64</v>
      </c>
      <c r="C9" s="152"/>
      <c r="D9" s="22">
        <v>35301</v>
      </c>
      <c r="E9" s="23">
        <v>46197</v>
      </c>
      <c r="F9" s="23">
        <v>64671</v>
      </c>
      <c r="G9" s="212">
        <f>'Working Capital'!G9</f>
        <v>73401.584999999992</v>
      </c>
      <c r="H9" s="212">
        <f>'Working Capital'!H9</f>
        <v>83310.798975000012</v>
      </c>
      <c r="I9" s="212">
        <f>'Working Capital'!I9</f>
        <v>94557.756836624991</v>
      </c>
      <c r="J9" s="212">
        <f>'Working Capital'!J9</f>
        <v>107323.05400956937</v>
      </c>
      <c r="K9" s="213">
        <f>'Working Capital'!K9</f>
        <v>121811.66630086125</v>
      </c>
      <c r="M9" s="17"/>
      <c r="N9" s="17"/>
      <c r="O9" s="17"/>
      <c r="P9" s="17"/>
      <c r="Q9" s="17"/>
    </row>
    <row r="10" spans="1:17" ht="17.100000000000001" customHeight="1" x14ac:dyDescent="0.2">
      <c r="A10" s="138"/>
      <c r="B10" s="139"/>
      <c r="C10" s="152"/>
      <c r="D10" s="142">
        <f>SUM(D6:D9)</f>
        <v>787053</v>
      </c>
      <c r="E10" s="142">
        <f>SUM(E6:E9)</f>
        <v>945539</v>
      </c>
      <c r="F10" s="142">
        <f>SUM(F6:F9)</f>
        <v>951012</v>
      </c>
      <c r="G10" s="142">
        <f>SUM(G6:G9)</f>
        <v>860462.25849742908</v>
      </c>
      <c r="H10" s="142">
        <f>SUM(H6:H9)</f>
        <v>1116292.2251060561</v>
      </c>
      <c r="I10" s="142">
        <f t="shared" ref="I10:K10" si="0">SUM(I6:I9)</f>
        <v>1438541.0826338157</v>
      </c>
      <c r="J10" s="142">
        <f t="shared" si="0"/>
        <v>1816725.8215892315</v>
      </c>
      <c r="K10" s="140">
        <f t="shared" si="0"/>
        <v>2250592.9769749022</v>
      </c>
      <c r="M10" s="17"/>
      <c r="N10" s="17"/>
      <c r="O10" s="17"/>
      <c r="P10" s="17"/>
      <c r="Q10" s="17"/>
    </row>
    <row r="11" spans="1:17" ht="17.100000000000001" customHeight="1" x14ac:dyDescent="0.2">
      <c r="A11" s="138" t="s">
        <v>65</v>
      </c>
      <c r="B11" s="139"/>
      <c r="C11" s="152"/>
      <c r="D11" s="47">
        <v>214639</v>
      </c>
      <c r="E11" s="47">
        <v>255603</v>
      </c>
      <c r="F11" s="47">
        <v>296008</v>
      </c>
      <c r="G11" s="210">
        <f>F11-'Cash Flows'!G7-'Cash Flows'!G22</f>
        <v>355756.69415059028</v>
      </c>
      <c r="H11" s="210">
        <f>G11+Depreciation!H5-Depreciation!H18</f>
        <v>413281.54306526564</v>
      </c>
      <c r="I11" s="210">
        <f>H11+Depreciation!I5-Depreciation!I18</f>
        <v>468282.32763717743</v>
      </c>
      <c r="J11" s="210">
        <f>I11+Depreciation!J5-Depreciation!J18</f>
        <v>520418.29918005271</v>
      </c>
      <c r="K11" s="211">
        <f>J11+Depreciation!K5-Depreciation!K18</f>
        <v>599429.43254175212</v>
      </c>
      <c r="M11" s="17"/>
      <c r="N11" s="17"/>
      <c r="O11" s="17"/>
      <c r="P11" s="17"/>
      <c r="Q11" s="17"/>
    </row>
    <row r="12" spans="1:17" ht="17.100000000000001" customHeight="1" x14ac:dyDescent="0.2">
      <c r="A12" s="138" t="s">
        <v>66</v>
      </c>
      <c r="B12" s="139"/>
      <c r="C12" s="152"/>
      <c r="D12" s="47">
        <v>30201</v>
      </c>
      <c r="E12" s="47">
        <v>28201</v>
      </c>
      <c r="F12" s="47">
        <v>26163</v>
      </c>
      <c r="G12" s="29">
        <f>F12</f>
        <v>26163</v>
      </c>
      <c r="H12" s="29">
        <f t="shared" ref="H12:K13" si="1">G12</f>
        <v>26163</v>
      </c>
      <c r="I12" s="29">
        <f t="shared" si="1"/>
        <v>26163</v>
      </c>
      <c r="J12" s="29">
        <f t="shared" si="1"/>
        <v>26163</v>
      </c>
      <c r="K12" s="30">
        <f t="shared" si="1"/>
        <v>26163</v>
      </c>
      <c r="M12" s="17"/>
      <c r="N12" s="17"/>
      <c r="O12" s="17"/>
      <c r="P12" s="17"/>
      <c r="Q12" s="17"/>
    </row>
    <row r="13" spans="1:17" ht="17.100000000000001" customHeight="1" x14ac:dyDescent="0.2">
      <c r="A13" s="138" t="s">
        <v>67</v>
      </c>
      <c r="B13" s="139"/>
      <c r="C13" s="152"/>
      <c r="D13" s="47">
        <v>15033</v>
      </c>
      <c r="E13" s="47">
        <v>18300</v>
      </c>
      <c r="F13" s="47">
        <v>16018</v>
      </c>
      <c r="G13" s="29">
        <f>F13</f>
        <v>16018</v>
      </c>
      <c r="H13" s="29">
        <f t="shared" si="1"/>
        <v>16018</v>
      </c>
      <c r="I13" s="29">
        <f t="shared" si="1"/>
        <v>16018</v>
      </c>
      <c r="J13" s="29">
        <f t="shared" si="1"/>
        <v>16018</v>
      </c>
      <c r="K13" s="30">
        <f t="shared" si="1"/>
        <v>16018</v>
      </c>
      <c r="L13" s="17"/>
      <c r="M13" s="17"/>
      <c r="N13" s="17"/>
      <c r="O13" s="17"/>
      <c r="P13" s="17"/>
      <c r="Q13" s="17"/>
    </row>
    <row r="14" spans="1:17" ht="17.100000000000001" customHeight="1" x14ac:dyDescent="0.2">
      <c r="A14" s="138" t="s">
        <v>68</v>
      </c>
      <c r="B14" s="139"/>
      <c r="C14" s="152"/>
      <c r="D14" s="22">
        <v>4152</v>
      </c>
      <c r="E14" s="23">
        <v>4745</v>
      </c>
      <c r="F14" s="23">
        <v>7012</v>
      </c>
      <c r="G14" s="31">
        <f>F14+81697/1000</f>
        <v>7093.6970000000001</v>
      </c>
      <c r="H14" s="31">
        <f>G14+72660/1000</f>
        <v>7166.357</v>
      </c>
      <c r="I14" s="31">
        <f>H14+57190/1000</f>
        <v>7223.5469999999996</v>
      </c>
      <c r="J14" s="31">
        <f>I14+43625/1000</f>
        <v>7267.1719999999996</v>
      </c>
      <c r="K14" s="32">
        <f>J14+58029/1000</f>
        <v>7325.201</v>
      </c>
      <c r="M14" s="17"/>
      <c r="N14" s="17"/>
      <c r="O14" s="17"/>
      <c r="P14" s="17"/>
      <c r="Q14" s="17"/>
    </row>
    <row r="15" spans="1:17" ht="17.100000000000001" customHeight="1" x14ac:dyDescent="0.2">
      <c r="A15" s="138"/>
      <c r="B15" s="139"/>
      <c r="C15" s="154" t="s">
        <v>80</v>
      </c>
      <c r="D15" s="142">
        <f>SUM(D10:D14)</f>
        <v>1051078</v>
      </c>
      <c r="E15" s="142">
        <f>SUM(E10:E14)</f>
        <v>1252388</v>
      </c>
      <c r="F15" s="142">
        <f>SUM(F10:F14)</f>
        <v>1296213</v>
      </c>
      <c r="G15" s="142">
        <f>SUM(G10:G14)</f>
        <v>1265493.6496480193</v>
      </c>
      <c r="H15" s="142">
        <f>SUM(H10:H14)</f>
        <v>1578921.1251713217</v>
      </c>
      <c r="I15" s="142">
        <f t="shared" ref="I15:J15" si="2">SUM(I10:I14)</f>
        <v>1956227.9572709932</v>
      </c>
      <c r="J15" s="142">
        <f t="shared" si="2"/>
        <v>2386592.292769284</v>
      </c>
      <c r="K15" s="140">
        <f>SUM(K10:K14)</f>
        <v>2899528.6105166543</v>
      </c>
      <c r="M15" s="17"/>
      <c r="N15" s="17"/>
      <c r="O15" s="17"/>
      <c r="P15" s="17"/>
      <c r="Q15" s="17"/>
    </row>
    <row r="16" spans="1:17" ht="17.100000000000001" customHeight="1" x14ac:dyDescent="0.2">
      <c r="A16" s="138"/>
      <c r="B16" s="139"/>
      <c r="C16" s="154" t="s">
        <v>184</v>
      </c>
      <c r="D16" s="48">
        <f>D6/D15</f>
        <v>0.5614987660287819</v>
      </c>
      <c r="E16" s="48">
        <f t="shared" ref="E16:K16" si="3">E6/E15</f>
        <v>0.55785347671807783</v>
      </c>
      <c r="F16" s="48">
        <f t="shared" si="3"/>
        <v>0.51263102591935117</v>
      </c>
      <c r="G16" s="48">
        <f t="shared" si="3"/>
        <v>0.43083534459633793</v>
      </c>
      <c r="H16" s="48">
        <f t="shared" si="3"/>
        <v>0.4803859801830721</v>
      </c>
      <c r="I16" s="48">
        <f t="shared" si="3"/>
        <v>0.5277694442077101</v>
      </c>
      <c r="J16" s="48">
        <f t="shared" si="3"/>
        <v>0.56808952236903976</v>
      </c>
      <c r="K16" s="216">
        <f t="shared" si="3"/>
        <v>0.59576580107283705</v>
      </c>
      <c r="M16" s="17"/>
      <c r="N16" s="17"/>
      <c r="O16" s="17"/>
      <c r="P16" s="17"/>
      <c r="Q16" s="17"/>
    </row>
    <row r="17" spans="1:17" ht="17.100000000000001" customHeight="1" x14ac:dyDescent="0.2">
      <c r="A17" s="155" t="s">
        <v>69</v>
      </c>
      <c r="B17" s="139"/>
      <c r="C17" s="152"/>
      <c r="D17" s="142"/>
      <c r="E17" s="142"/>
      <c r="F17" s="142"/>
      <c r="G17" s="142"/>
      <c r="H17" s="142"/>
      <c r="I17" s="142"/>
      <c r="J17" s="142"/>
      <c r="K17" s="153"/>
      <c r="M17" s="17"/>
      <c r="N17" s="17"/>
      <c r="O17" s="17"/>
      <c r="P17" s="17"/>
      <c r="Q17" s="17"/>
    </row>
    <row r="18" spans="1:17" ht="17.100000000000001" customHeight="1" x14ac:dyDescent="0.2">
      <c r="A18" s="138" t="s">
        <v>71</v>
      </c>
      <c r="B18" s="139"/>
      <c r="C18" s="152"/>
      <c r="D18" s="142"/>
      <c r="E18" s="142"/>
      <c r="F18" s="142"/>
      <c r="G18" s="142"/>
      <c r="H18" s="142"/>
      <c r="I18" s="142"/>
      <c r="J18" s="142"/>
      <c r="K18" s="153"/>
      <c r="M18" s="17"/>
      <c r="N18" s="17"/>
      <c r="O18" s="17"/>
      <c r="P18" s="17"/>
      <c r="Q18" s="17"/>
    </row>
    <row r="19" spans="1:17" ht="17.100000000000001" customHeight="1" x14ac:dyDescent="0.2">
      <c r="A19" s="138"/>
      <c r="B19" s="139" t="s">
        <v>46</v>
      </c>
      <c r="C19" s="152"/>
      <c r="D19" s="47">
        <v>1045</v>
      </c>
      <c r="E19" s="47">
        <v>12647</v>
      </c>
      <c r="F19" s="47">
        <v>9339</v>
      </c>
      <c r="G19" s="210">
        <f>'Working Capital'!G12</f>
        <v>12477.055</v>
      </c>
      <c r="H19" s="210">
        <f>'Working Capital'!H12</f>
        <v>14161.457425000001</v>
      </c>
      <c r="I19" s="210">
        <f>'Working Capital'!I12</f>
        <v>16073.254177375</v>
      </c>
      <c r="J19" s="210">
        <f>'Working Capital'!J12</f>
        <v>18243.143491320625</v>
      </c>
      <c r="K19" s="211">
        <f>'Working Capital'!K12</f>
        <v>20705.967862648911</v>
      </c>
      <c r="M19" s="17"/>
      <c r="N19" s="17"/>
      <c r="O19" s="17"/>
      <c r="P19" s="17"/>
      <c r="Q19" s="17"/>
    </row>
    <row r="20" spans="1:17" ht="17.100000000000001" customHeight="1" x14ac:dyDescent="0.2">
      <c r="A20" s="138"/>
      <c r="B20" s="139" t="s">
        <v>47</v>
      </c>
      <c r="C20" s="152"/>
      <c r="D20" s="47">
        <v>30032</v>
      </c>
      <c r="E20" s="47">
        <v>15415</v>
      </c>
      <c r="F20" s="47">
        <v>22296</v>
      </c>
      <c r="G20" s="210">
        <f>'Working Capital'!G14</f>
        <v>30296.078927250288</v>
      </c>
      <c r="H20" s="210">
        <f>'Working Capital'!H14</f>
        <v>34386.049582429077</v>
      </c>
      <c r="I20" s="210">
        <f>'Working Capital'!I14</f>
        <v>39028.166276057003</v>
      </c>
      <c r="J20" s="210">
        <f>'Working Capital'!J14</f>
        <v>44296.968723324695</v>
      </c>
      <c r="K20" s="211">
        <f>'Working Capital'!K14</f>
        <v>50277.059500973533</v>
      </c>
      <c r="M20" s="17"/>
      <c r="N20" s="17"/>
      <c r="O20" s="17"/>
      <c r="P20" s="17"/>
      <c r="Q20" s="17"/>
    </row>
    <row r="21" spans="1:17" ht="17.100000000000001" customHeight="1" x14ac:dyDescent="0.2">
      <c r="A21" s="138"/>
      <c r="B21" s="139" t="s">
        <v>50</v>
      </c>
      <c r="C21" s="152"/>
      <c r="D21" s="47">
        <v>27530</v>
      </c>
      <c r="E21" s="47">
        <v>19445</v>
      </c>
      <c r="F21" s="47">
        <v>29932</v>
      </c>
      <c r="G21" s="210">
        <f>'Working Capital'!G16</f>
        <v>31971.28463074247</v>
      </c>
      <c r="H21" s="210">
        <f>'Working Capital'!H16</f>
        <v>36287.408055892709</v>
      </c>
      <c r="I21" s="210">
        <f>'Working Capital'!I16</f>
        <v>41186.20814343822</v>
      </c>
      <c r="J21" s="210">
        <f>'Working Capital'!J16</f>
        <v>46746.346242802378</v>
      </c>
      <c r="K21" s="211">
        <f>'Working Capital'!K16</f>
        <v>53057.102985580706</v>
      </c>
      <c r="M21" s="17"/>
      <c r="N21" s="17"/>
      <c r="O21" s="17"/>
      <c r="P21" s="17"/>
      <c r="Q21" s="17"/>
    </row>
    <row r="22" spans="1:17" ht="17.100000000000001" customHeight="1" x14ac:dyDescent="0.2">
      <c r="A22" s="138"/>
      <c r="B22" s="139" t="s">
        <v>49</v>
      </c>
      <c r="C22" s="152"/>
      <c r="D22" s="47">
        <v>39637</v>
      </c>
      <c r="E22" s="47">
        <v>769</v>
      </c>
      <c r="F22" s="47">
        <v>20073</v>
      </c>
      <c r="G22" s="210">
        <f>'Working Capital'!G18</f>
        <v>15528.146235510125</v>
      </c>
      <c r="H22" s="210">
        <f>'Working Capital'!H18</f>
        <v>17212.23018982655</v>
      </c>
      <c r="I22" s="210">
        <f>'Working Capital'!I18</f>
        <v>19123.665477975701</v>
      </c>
      <c r="J22" s="210">
        <f>'Working Capital'!J18</f>
        <v>21293.144530024972</v>
      </c>
      <c r="K22" s="211">
        <f>'Working Capital'!K18</f>
        <v>24859.517381191337</v>
      </c>
      <c r="M22" s="17"/>
      <c r="N22" s="17"/>
      <c r="O22" s="17"/>
      <c r="P22" s="17"/>
      <c r="Q22" s="17"/>
    </row>
    <row r="23" spans="1:17" ht="17.100000000000001" customHeight="1" x14ac:dyDescent="0.2">
      <c r="A23" s="138"/>
      <c r="B23" s="139" t="s">
        <v>72</v>
      </c>
      <c r="C23" s="152"/>
      <c r="D23" s="47">
        <v>35113</v>
      </c>
      <c r="E23" s="47">
        <v>38343</v>
      </c>
      <c r="F23" s="47">
        <v>46252</v>
      </c>
      <c r="G23" s="210">
        <f>'Working Capital'!G20</f>
        <v>42297.5</v>
      </c>
      <c r="H23" s="210">
        <f>'Working Capital'!H20</f>
        <v>48007.662499999999</v>
      </c>
      <c r="I23" s="210">
        <f>'Working Capital'!I20</f>
        <v>54488.696937500004</v>
      </c>
      <c r="J23" s="210">
        <f>'Working Capital'!J20</f>
        <v>61844.671024062503</v>
      </c>
      <c r="K23" s="211">
        <f>'Working Capital'!K20</f>
        <v>70193.701612310935</v>
      </c>
      <c r="M23" s="17"/>
      <c r="N23" s="17"/>
      <c r="O23" s="17"/>
      <c r="P23" s="17"/>
      <c r="Q23" s="17"/>
    </row>
    <row r="24" spans="1:17" ht="17.100000000000001" customHeight="1" x14ac:dyDescent="0.2">
      <c r="A24" s="138"/>
      <c r="B24" s="139" t="s">
        <v>48</v>
      </c>
      <c r="C24" s="152"/>
      <c r="D24" s="22">
        <v>0</v>
      </c>
      <c r="E24" s="23">
        <v>29595</v>
      </c>
      <c r="F24" s="23">
        <v>31989</v>
      </c>
      <c r="G24" s="212">
        <f>'Working Capital'!G22</f>
        <v>34948.920000000006</v>
      </c>
      <c r="H24" s="212">
        <f>'Working Capital'!H22</f>
        <v>39667.024200000007</v>
      </c>
      <c r="I24" s="212">
        <f>'Working Capital'!I22</f>
        <v>45022.072467000005</v>
      </c>
      <c r="J24" s="212">
        <f>'Working Capital'!J22</f>
        <v>51100.052250045002</v>
      </c>
      <c r="K24" s="213">
        <f>'Working Capital'!K22</f>
        <v>57998.559303801077</v>
      </c>
      <c r="M24" s="17"/>
      <c r="N24" s="17"/>
      <c r="O24" s="17"/>
      <c r="P24" s="17"/>
      <c r="Q24" s="17"/>
    </row>
    <row r="25" spans="1:17" ht="17.100000000000001" customHeight="1" x14ac:dyDescent="0.2">
      <c r="A25" s="138"/>
      <c r="B25" s="139"/>
      <c r="C25" s="152"/>
      <c r="D25" s="142">
        <f>SUM(D19:D24)</f>
        <v>133357</v>
      </c>
      <c r="E25" s="142">
        <f>SUM(E19:E24)</f>
        <v>116214</v>
      </c>
      <c r="F25" s="142">
        <f>SUM(F19:F24)</f>
        <v>159881</v>
      </c>
      <c r="G25" s="142">
        <f>SUM(G19:G24)</f>
        <v>167518.9847935029</v>
      </c>
      <c r="H25" s="142">
        <f>SUM(H19:H24)</f>
        <v>189721.83195314836</v>
      </c>
      <c r="I25" s="142">
        <f t="shared" ref="I25:J25" si="4">SUM(I19:I24)</f>
        <v>214922.06347934593</v>
      </c>
      <c r="J25" s="142">
        <f t="shared" si="4"/>
        <v>243524.32626158019</v>
      </c>
      <c r="K25" s="140">
        <f>SUM(K19:K24)</f>
        <v>277091.90864650655</v>
      </c>
      <c r="M25" s="17"/>
      <c r="N25" s="17"/>
      <c r="O25" s="17"/>
      <c r="P25" s="17"/>
      <c r="Q25" s="17"/>
    </row>
    <row r="26" spans="1:17" ht="17.100000000000001" customHeight="1" x14ac:dyDescent="0.2">
      <c r="A26" s="138" t="s">
        <v>73</v>
      </c>
      <c r="B26" s="139"/>
      <c r="C26" s="152"/>
      <c r="D26" s="47">
        <v>0</v>
      </c>
      <c r="E26" s="47">
        <v>3977</v>
      </c>
      <c r="F26" s="47">
        <v>3633</v>
      </c>
      <c r="G26" s="210">
        <f>F26+'Cash Flows'!G8</f>
        <v>17101.848754646984</v>
      </c>
      <c r="H26" s="210">
        <f>G26+'Cash Flows'!H8</f>
        <v>26447.209484395054</v>
      </c>
      <c r="I26" s="210">
        <f>H26+'Cash Flows'!I8</f>
        <v>31926.796013279971</v>
      </c>
      <c r="J26" s="210">
        <f>I26+'Cash Flows'!J8</f>
        <v>33614.695666406013</v>
      </c>
      <c r="K26" s="211">
        <f>J26+'Cash Flows'!K8</f>
        <v>33925.437153342908</v>
      </c>
      <c r="M26" s="17"/>
      <c r="N26" s="17"/>
      <c r="O26" s="17"/>
      <c r="P26" s="17"/>
      <c r="Q26" s="17"/>
    </row>
    <row r="27" spans="1:17" ht="17.100000000000001" customHeight="1" x14ac:dyDescent="0.2">
      <c r="A27" s="138" t="s">
        <v>74</v>
      </c>
      <c r="B27" s="139"/>
      <c r="C27" s="152"/>
      <c r="D27" s="22">
        <v>30422</v>
      </c>
      <c r="E27" s="23">
        <v>35515</v>
      </c>
      <c r="F27" s="23">
        <v>43131</v>
      </c>
      <c r="G27" s="144">
        <f>G11*G29</f>
        <v>54685.465407433236</v>
      </c>
      <c r="H27" s="144">
        <f t="shared" ref="H27:J27" si="5">H11*H29</f>
        <v>63527.950136785119</v>
      </c>
      <c r="I27" s="144">
        <f t="shared" si="5"/>
        <v>71982.446008662664</v>
      </c>
      <c r="J27" s="144">
        <f t="shared" si="5"/>
        <v>79996.574527306875</v>
      </c>
      <c r="K27" s="145">
        <f>K11*K29</f>
        <v>92141.843109166221</v>
      </c>
      <c r="M27" s="17"/>
      <c r="N27" s="17"/>
      <c r="O27" s="17"/>
      <c r="P27" s="17"/>
      <c r="Q27" s="17"/>
    </row>
    <row r="28" spans="1:17" ht="17.100000000000001" customHeight="1" x14ac:dyDescent="0.2">
      <c r="A28" s="138"/>
      <c r="B28" s="139"/>
      <c r="C28" s="152"/>
      <c r="D28" s="142">
        <f t="shared" ref="D28:J28" si="6">SUM(D25:D27)</f>
        <v>163779</v>
      </c>
      <c r="E28" s="142">
        <f t="shared" si="6"/>
        <v>155706</v>
      </c>
      <c r="F28" s="142">
        <f t="shared" si="6"/>
        <v>206645</v>
      </c>
      <c r="G28" s="142">
        <f>SUM(G25:G27)</f>
        <v>239306.29895558313</v>
      </c>
      <c r="H28" s="142">
        <f>SUM(H25:H27)</f>
        <v>279696.99157432851</v>
      </c>
      <c r="I28" s="142">
        <f t="shared" si="6"/>
        <v>318831.30550128856</v>
      </c>
      <c r="J28" s="142">
        <f t="shared" si="6"/>
        <v>357135.59645529307</v>
      </c>
      <c r="K28" s="140">
        <f>SUM(K25:K27)</f>
        <v>403159.18890901573</v>
      </c>
      <c r="M28" s="17"/>
      <c r="N28" s="17"/>
      <c r="O28" s="17"/>
      <c r="P28" s="17"/>
      <c r="Q28" s="17"/>
    </row>
    <row r="29" spans="1:17" ht="17.100000000000001" customHeight="1" x14ac:dyDescent="0.2">
      <c r="A29" s="138"/>
      <c r="B29" s="139" t="s">
        <v>111</v>
      </c>
      <c r="C29" s="152"/>
      <c r="D29" s="142"/>
      <c r="E29" s="48">
        <f>E27/AVERAGE(D11,E11)</f>
        <v>0.15104988495285407</v>
      </c>
      <c r="F29" s="48">
        <f>F27/AVERAGE(E11,F11)</f>
        <v>0.15638194307220124</v>
      </c>
      <c r="G29" s="49">
        <f>AVERAGE(F29,E29)</f>
        <v>0.15371591401252765</v>
      </c>
      <c r="H29" s="49">
        <f>G29</f>
        <v>0.15371591401252765</v>
      </c>
      <c r="I29" s="49">
        <f t="shared" ref="I29:K29" si="7">H29</f>
        <v>0.15371591401252765</v>
      </c>
      <c r="J29" s="49">
        <f t="shared" si="7"/>
        <v>0.15371591401252765</v>
      </c>
      <c r="K29" s="50">
        <f t="shared" si="7"/>
        <v>0.15371591401252765</v>
      </c>
      <c r="M29" s="17"/>
      <c r="N29" s="17"/>
      <c r="O29" s="17"/>
      <c r="P29" s="17"/>
      <c r="Q29" s="17"/>
    </row>
    <row r="30" spans="1:17" ht="17.100000000000001" customHeight="1" x14ac:dyDescent="0.2">
      <c r="A30" s="138" t="s">
        <v>75</v>
      </c>
      <c r="B30" s="139"/>
      <c r="C30" s="152"/>
      <c r="D30" s="142"/>
      <c r="E30" s="142"/>
      <c r="F30" s="142"/>
      <c r="G30" s="142"/>
      <c r="H30" s="142"/>
      <c r="I30" s="142"/>
      <c r="J30" s="142"/>
      <c r="K30" s="153"/>
      <c r="M30" s="17"/>
      <c r="N30" s="17"/>
      <c r="O30" s="17"/>
      <c r="P30" s="17"/>
      <c r="Q30" s="17"/>
    </row>
    <row r="31" spans="1:17" ht="17.100000000000001" customHeight="1" x14ac:dyDescent="0.2">
      <c r="A31" s="138"/>
      <c r="B31" s="139" t="s">
        <v>76</v>
      </c>
      <c r="C31" s="152"/>
      <c r="D31" s="47">
        <v>562</v>
      </c>
      <c r="E31" s="47">
        <v>577</v>
      </c>
      <c r="F31" s="47">
        <v>661</v>
      </c>
      <c r="G31" s="29">
        <v>661</v>
      </c>
      <c r="H31" s="29">
        <v>661</v>
      </c>
      <c r="I31" s="29">
        <v>661</v>
      </c>
      <c r="J31" s="29">
        <v>661</v>
      </c>
      <c r="K31" s="30">
        <v>661</v>
      </c>
      <c r="M31" s="17"/>
      <c r="N31" s="17"/>
      <c r="O31" s="17"/>
      <c r="P31" s="17"/>
      <c r="Q31" s="17"/>
    </row>
    <row r="32" spans="1:17" ht="17.100000000000001" customHeight="1" x14ac:dyDescent="0.2">
      <c r="A32" s="138"/>
      <c r="B32" s="139" t="s">
        <v>77</v>
      </c>
      <c r="C32" s="152"/>
      <c r="D32" s="47">
        <v>221372</v>
      </c>
      <c r="E32" s="47">
        <v>240351</v>
      </c>
      <c r="F32" s="47">
        <v>241695</v>
      </c>
      <c r="G32" s="210">
        <f>F32+'Cash Flows'!G30</f>
        <v>235883</v>
      </c>
      <c r="H32" s="210">
        <f>G32+'Cash Flows'!H30</f>
        <v>235883</v>
      </c>
      <c r="I32" s="210">
        <f>H32+'Cash Flows'!I30</f>
        <v>235883</v>
      </c>
      <c r="J32" s="210">
        <f>I32+'Cash Flows'!J30</f>
        <v>235883</v>
      </c>
      <c r="K32" s="211">
        <f>J32+'Cash Flows'!K30</f>
        <v>235883</v>
      </c>
      <c r="M32" s="17"/>
      <c r="N32" s="17"/>
      <c r="O32" s="17"/>
      <c r="P32" s="17"/>
      <c r="Q32" s="17"/>
    </row>
    <row r="33" spans="1:17" ht="17.100000000000001" customHeight="1" x14ac:dyDescent="0.2">
      <c r="A33" s="138"/>
      <c r="B33" s="139" t="s">
        <v>78</v>
      </c>
      <c r="C33" s="152"/>
      <c r="D33" s="51">
        <v>644275</v>
      </c>
      <c r="E33" s="47">
        <v>923822</v>
      </c>
      <c r="F33" s="47">
        <v>1020619</v>
      </c>
      <c r="G33" s="210">
        <f>F33+'Cash Flows'!G5+'Cash Flows'!G31</f>
        <v>1028050.3506924363</v>
      </c>
      <c r="H33" s="210">
        <f>G33+'Cash Flows'!H5+'Cash Flows'!H31</f>
        <v>1366087.1335969935</v>
      </c>
      <c r="I33" s="210">
        <f>H33+'Cash Flows'!I5+'Cash Flows'!I31</f>
        <v>1736759.6517697047</v>
      </c>
      <c r="J33" s="210">
        <f>I33+'Cash Flows'!J5+'Cash Flows'!J31</f>
        <v>2145069.6963139917</v>
      </c>
      <c r="K33" s="211">
        <f>J33+'Cash Flows'!K5+'Cash Flows'!K31</f>
        <v>2620107.4216076392</v>
      </c>
      <c r="M33" s="17"/>
      <c r="N33" s="17"/>
      <c r="O33" s="17"/>
      <c r="P33" s="17"/>
      <c r="Q33" s="17"/>
    </row>
    <row r="34" spans="1:17" ht="17.100000000000001" customHeight="1" x14ac:dyDescent="0.2">
      <c r="A34" s="138"/>
      <c r="B34" s="139" t="s">
        <v>79</v>
      </c>
      <c r="C34" s="152"/>
      <c r="D34" s="51">
        <v>21090</v>
      </c>
      <c r="E34" s="47">
        <v>-68069</v>
      </c>
      <c r="F34" s="47">
        <v>-173407</v>
      </c>
      <c r="G34" s="210">
        <f>F34+'Cash Flows'!G35</f>
        <v>-238407</v>
      </c>
      <c r="H34" s="210">
        <f>G34+'Cash Flows'!H35</f>
        <v>-303407</v>
      </c>
      <c r="I34" s="210">
        <f>H34+'Cash Flows'!I35</f>
        <v>-335907</v>
      </c>
      <c r="J34" s="210">
        <f>I34+'Cash Flows'!J35</f>
        <v>-352157</v>
      </c>
      <c r="K34" s="211">
        <f>J34+'Cash Flows'!K35</f>
        <v>-360282</v>
      </c>
      <c r="L34" s="17"/>
      <c r="M34" s="17"/>
      <c r="N34" s="17"/>
      <c r="O34" s="17"/>
      <c r="P34" s="17"/>
      <c r="Q34" s="17"/>
    </row>
    <row r="35" spans="1:17" ht="17.100000000000001" customHeight="1" x14ac:dyDescent="0.2">
      <c r="A35" s="138"/>
      <c r="B35" s="139"/>
      <c r="C35" s="152" t="s">
        <v>112</v>
      </c>
      <c r="D35" s="156"/>
      <c r="E35" s="144"/>
      <c r="F35" s="144"/>
      <c r="G35" s="144"/>
      <c r="H35" s="144"/>
      <c r="I35" s="157"/>
      <c r="J35" s="157"/>
      <c r="K35" s="158"/>
      <c r="M35" s="17"/>
    </row>
    <row r="36" spans="1:17" ht="17.100000000000001" customHeight="1" x14ac:dyDescent="0.2">
      <c r="A36" s="138"/>
      <c r="B36" s="139"/>
      <c r="C36" s="154" t="s">
        <v>80</v>
      </c>
      <c r="D36" s="142">
        <f t="shared" ref="D36:F36" si="8">SUM(D31:D35)+D28</f>
        <v>1051078</v>
      </c>
      <c r="E36" s="142">
        <f t="shared" si="8"/>
        <v>1252387</v>
      </c>
      <c r="F36" s="142">
        <f t="shared" si="8"/>
        <v>1296213</v>
      </c>
      <c r="G36" s="142">
        <f>SUM(G31:G35)+G28</f>
        <v>1265493.6496480196</v>
      </c>
      <c r="H36" s="142">
        <f>SUM(H31:H35)+H28</f>
        <v>1578921.1251713219</v>
      </c>
      <c r="I36" s="142">
        <f t="shared" ref="I36:J36" si="9">SUM(I31:I35)+I28</f>
        <v>1956227.9572709932</v>
      </c>
      <c r="J36" s="142">
        <f t="shared" si="9"/>
        <v>2386592.2927692849</v>
      </c>
      <c r="K36" s="140">
        <f>SUM(K31:K35)+K28</f>
        <v>2899528.6105166548</v>
      </c>
      <c r="M36" s="17"/>
    </row>
    <row r="37" spans="1:17" ht="17.100000000000001" customHeight="1" x14ac:dyDescent="0.2">
      <c r="A37" s="138"/>
      <c r="B37" s="139"/>
      <c r="C37" s="154" t="s">
        <v>83</v>
      </c>
      <c r="D37" s="159">
        <f t="shared" ref="D37:F37" si="10">D15-D36</f>
        <v>0</v>
      </c>
      <c r="E37" s="159">
        <f t="shared" si="10"/>
        <v>1</v>
      </c>
      <c r="F37" s="159">
        <f t="shared" si="10"/>
        <v>0</v>
      </c>
      <c r="G37" s="159">
        <f>G15-G36</f>
        <v>0</v>
      </c>
      <c r="H37" s="159">
        <f t="shared" ref="H37:K37" si="11">H15-H36</f>
        <v>0</v>
      </c>
      <c r="I37" s="159">
        <f t="shared" si="11"/>
        <v>0</v>
      </c>
      <c r="J37" s="159">
        <f t="shared" si="11"/>
        <v>0</v>
      </c>
      <c r="K37" s="153">
        <f t="shared" si="11"/>
        <v>0</v>
      </c>
    </row>
    <row r="38" spans="1:17" ht="17.100000000000001" customHeight="1" x14ac:dyDescent="0.2">
      <c r="A38" s="160"/>
      <c r="B38" s="161"/>
      <c r="C38" s="162" t="s">
        <v>113</v>
      </c>
      <c r="D38" s="52">
        <f>D37/D15</f>
        <v>0</v>
      </c>
      <c r="E38" s="52">
        <f t="shared" ref="E38:K38" si="12">E37/E15</f>
        <v>7.9847459413536382E-7</v>
      </c>
      <c r="F38" s="52">
        <f t="shared" si="12"/>
        <v>0</v>
      </c>
      <c r="G38" s="52">
        <f t="shared" si="12"/>
        <v>0</v>
      </c>
      <c r="H38" s="52">
        <f t="shared" si="12"/>
        <v>0</v>
      </c>
      <c r="I38" s="52">
        <f t="shared" si="12"/>
        <v>0</v>
      </c>
      <c r="J38" s="52">
        <f t="shared" si="12"/>
        <v>0</v>
      </c>
      <c r="K38" s="53">
        <f t="shared" si="12"/>
        <v>0</v>
      </c>
    </row>
    <row r="40" spans="1:17" ht="17.100000000000001" customHeight="1" x14ac:dyDescent="0.2">
      <c r="C40" s="205" t="s">
        <v>183</v>
      </c>
      <c r="F40" s="6">
        <f>Valuation!O22/(SUM(G31:G34)*1000)</f>
        <v>8.6962385513506941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="85" zoomScaleNormal="85" workbookViewId="0">
      <selection activeCell="K38" sqref="K38"/>
    </sheetView>
  </sheetViews>
  <sheetFormatPr defaultRowHeight="17.100000000000001" customHeight="1" x14ac:dyDescent="0.2"/>
  <cols>
    <col min="1" max="1" width="4.140625" style="17" customWidth="1"/>
    <col min="2" max="2" width="4" style="17" customWidth="1"/>
    <col min="3" max="3" width="35.5703125" style="17" customWidth="1"/>
    <col min="4" max="11" width="8.140625" style="17" bestFit="1" customWidth="1"/>
  </cols>
  <sheetData>
    <row r="1" spans="1:11" ht="17.100000000000001" customHeight="1" x14ac:dyDescent="0.2">
      <c r="A1" s="1" t="s">
        <v>102</v>
      </c>
      <c r="B1" s="55"/>
      <c r="C1" s="55"/>
      <c r="D1" s="55"/>
      <c r="E1" s="55"/>
      <c r="F1" s="56"/>
      <c r="G1" s="57"/>
      <c r="H1" s="57"/>
      <c r="I1" s="57"/>
      <c r="J1" s="57"/>
      <c r="K1" s="57"/>
    </row>
    <row r="2" spans="1:11" ht="17.100000000000001" customHeight="1" x14ac:dyDescent="0.2">
      <c r="A2" s="55" t="s">
        <v>1</v>
      </c>
      <c r="B2" s="55"/>
      <c r="C2" s="55"/>
      <c r="D2" s="55"/>
      <c r="E2" s="55"/>
      <c r="F2" s="56"/>
      <c r="G2" s="57"/>
      <c r="H2" s="57"/>
      <c r="I2" s="57"/>
      <c r="J2" s="57"/>
      <c r="K2" s="57"/>
    </row>
    <row r="3" spans="1:11" ht="17.100000000000001" customHeight="1" x14ac:dyDescent="0.2">
      <c r="A3" s="59" t="s">
        <v>3</v>
      </c>
      <c r="B3" s="59"/>
      <c r="C3" s="59"/>
      <c r="D3" s="2" t="s">
        <v>4</v>
      </c>
      <c r="E3" s="2" t="s">
        <v>5</v>
      </c>
      <c r="F3" s="3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spans="1:11" ht="17.100000000000001" customHeight="1" x14ac:dyDescent="0.2">
      <c r="A4" s="27" t="s">
        <v>84</v>
      </c>
      <c r="B4" s="137"/>
      <c r="C4" s="135"/>
      <c r="D4" s="214">
        <f>'Balance Sheet'!D11</f>
        <v>214639</v>
      </c>
      <c r="E4" s="214">
        <f>'Balance Sheet'!E11</f>
        <v>255603</v>
      </c>
      <c r="F4" s="214">
        <f>'Balance Sheet'!F11</f>
        <v>296008</v>
      </c>
      <c r="G4" s="214">
        <f>'Balance Sheet'!G11</f>
        <v>355756.69415059028</v>
      </c>
      <c r="H4" s="214">
        <f>'Balance Sheet'!H11</f>
        <v>413281.54306526564</v>
      </c>
      <c r="I4" s="214">
        <f>'Balance Sheet'!I11</f>
        <v>468282.32763717743</v>
      </c>
      <c r="J4" s="214">
        <f>'Balance Sheet'!J11</f>
        <v>520418.29918005271</v>
      </c>
      <c r="K4" s="215">
        <f>'Balance Sheet'!K11</f>
        <v>599429.43254175212</v>
      </c>
    </row>
    <row r="5" spans="1:11" ht="17.100000000000001" customHeight="1" x14ac:dyDescent="0.2">
      <c r="A5" s="146" t="s">
        <v>85</v>
      </c>
      <c r="B5" s="142"/>
      <c r="C5" s="140"/>
      <c r="D5" s="142"/>
      <c r="E5" s="142"/>
      <c r="F5" s="210">
        <f>-'Cash Flows'!F22</f>
        <v>119733</v>
      </c>
      <c r="G5" s="210">
        <f>-'Cash Flows'!G22</f>
        <v>136153.7899539778</v>
      </c>
      <c r="H5" s="210">
        <f>-'Cash Flows'!H22</f>
        <v>154534.55159776483</v>
      </c>
      <c r="I5" s="210">
        <f>-'Cash Flows'!I22</f>
        <v>175396.71606346307</v>
      </c>
      <c r="J5" s="210">
        <f>-'Cash Flows'!J22</f>
        <v>199075.27273203057</v>
      </c>
      <c r="K5" s="211">
        <f>-'Cash Flows'!K22</f>
        <v>225950.4345508547</v>
      </c>
    </row>
    <row r="6" spans="1:11" ht="17.100000000000001" customHeight="1" x14ac:dyDescent="0.2">
      <c r="A6" s="146" t="s">
        <v>86</v>
      </c>
      <c r="B6" s="142"/>
      <c r="C6" s="140"/>
      <c r="D6" s="142"/>
      <c r="E6" s="142"/>
      <c r="F6" s="142"/>
      <c r="G6" s="142"/>
      <c r="H6" s="142"/>
      <c r="I6" s="142"/>
      <c r="J6" s="142"/>
      <c r="K6" s="140"/>
    </row>
    <row r="7" spans="1:11" ht="17.100000000000001" customHeight="1" x14ac:dyDescent="0.2">
      <c r="A7" s="141" t="s">
        <v>87</v>
      </c>
      <c r="B7" s="142"/>
      <c r="C7" s="140"/>
      <c r="D7" s="142"/>
      <c r="E7" s="142"/>
      <c r="F7" s="142"/>
      <c r="G7" s="142"/>
      <c r="H7" s="142"/>
      <c r="I7" s="142"/>
      <c r="J7" s="142"/>
      <c r="K7" s="140"/>
    </row>
    <row r="8" spans="1:11" ht="17.100000000000001" customHeight="1" x14ac:dyDescent="0.2">
      <c r="A8" s="141"/>
      <c r="B8" s="142" t="s">
        <v>88</v>
      </c>
      <c r="C8" s="140"/>
      <c r="D8" s="142"/>
      <c r="E8" s="29"/>
      <c r="F8" s="29">
        <v>7</v>
      </c>
      <c r="G8" s="29"/>
      <c r="H8" s="29"/>
      <c r="I8" s="29"/>
      <c r="J8" s="29"/>
      <c r="K8" s="30"/>
    </row>
    <row r="9" spans="1:11" ht="17.100000000000001" customHeight="1" x14ac:dyDescent="0.2">
      <c r="A9" s="141"/>
      <c r="B9" s="142" t="s">
        <v>89</v>
      </c>
      <c r="C9" s="140"/>
      <c r="D9" s="142"/>
      <c r="E9" s="29"/>
      <c r="F9" s="29">
        <v>7.5</v>
      </c>
      <c r="G9" s="29">
        <f>F9</f>
        <v>7.5</v>
      </c>
      <c r="H9" s="29">
        <f t="shared" ref="H9:K9" si="0">G9</f>
        <v>7.5</v>
      </c>
      <c r="I9" s="29">
        <f t="shared" si="0"/>
        <v>7.5</v>
      </c>
      <c r="J9" s="29">
        <f t="shared" si="0"/>
        <v>7.5</v>
      </c>
      <c r="K9" s="30">
        <f t="shared" si="0"/>
        <v>7.5</v>
      </c>
    </row>
    <row r="10" spans="1:11" ht="17.100000000000001" customHeight="1" x14ac:dyDescent="0.2">
      <c r="A10" s="141"/>
      <c r="B10" s="142" t="s">
        <v>96</v>
      </c>
      <c r="C10" s="140"/>
      <c r="D10" s="142"/>
      <c r="E10" s="142"/>
      <c r="F10" s="142"/>
      <c r="G10" s="142"/>
      <c r="H10" s="142"/>
      <c r="I10" s="142"/>
      <c r="J10" s="142"/>
      <c r="K10" s="140"/>
    </row>
    <row r="11" spans="1:11" ht="17.100000000000001" customHeight="1" x14ac:dyDescent="0.2">
      <c r="A11" s="141"/>
      <c r="B11" s="142"/>
      <c r="C11" s="140" t="s">
        <v>90</v>
      </c>
      <c r="D11" s="142"/>
      <c r="E11" s="142"/>
      <c r="F11" s="142">
        <f t="shared" ref="F11:K11" si="1">$F$4/$F$8</f>
        <v>42286.857142857145</v>
      </c>
      <c r="G11" s="142">
        <f t="shared" si="1"/>
        <v>42286.857142857145</v>
      </c>
      <c r="H11" s="142">
        <f t="shared" si="1"/>
        <v>42286.857142857145</v>
      </c>
      <c r="I11" s="142">
        <f t="shared" si="1"/>
        <v>42286.857142857145</v>
      </c>
      <c r="J11" s="142">
        <f t="shared" si="1"/>
        <v>42286.857142857145</v>
      </c>
      <c r="K11" s="140">
        <f t="shared" si="1"/>
        <v>42286.857142857145</v>
      </c>
    </row>
    <row r="12" spans="1:11" ht="17.100000000000001" customHeight="1" x14ac:dyDescent="0.2">
      <c r="A12" s="141"/>
      <c r="B12" s="142"/>
      <c r="C12" s="140" t="s">
        <v>98</v>
      </c>
      <c r="D12" s="142"/>
      <c r="E12" s="142"/>
      <c r="F12" s="142">
        <f t="shared" ref="F12:K12" si="2">$F$5/$F$9</f>
        <v>15964.4</v>
      </c>
      <c r="G12" s="142">
        <f t="shared" si="2"/>
        <v>15964.4</v>
      </c>
      <c r="H12" s="142">
        <f t="shared" si="2"/>
        <v>15964.4</v>
      </c>
      <c r="I12" s="142">
        <f t="shared" si="2"/>
        <v>15964.4</v>
      </c>
      <c r="J12" s="142">
        <f t="shared" si="2"/>
        <v>15964.4</v>
      </c>
      <c r="K12" s="140">
        <f t="shared" si="2"/>
        <v>15964.4</v>
      </c>
    </row>
    <row r="13" spans="1:11" ht="17.100000000000001" customHeight="1" x14ac:dyDescent="0.2">
      <c r="A13" s="141"/>
      <c r="B13" s="142"/>
      <c r="C13" s="140" t="s">
        <v>91</v>
      </c>
      <c r="D13" s="142"/>
      <c r="E13" s="142"/>
      <c r="F13" s="142"/>
      <c r="G13" s="142">
        <f>$G$5/$G$9</f>
        <v>18153.838660530375</v>
      </c>
      <c r="H13" s="142">
        <f>$G$5/$G$9</f>
        <v>18153.838660530375</v>
      </c>
      <c r="I13" s="142">
        <f>$G$5/$G$9</f>
        <v>18153.838660530375</v>
      </c>
      <c r="J13" s="142">
        <f>$G$5/$G$9</f>
        <v>18153.838660530375</v>
      </c>
      <c r="K13" s="140">
        <f>$G$5/$G$9</f>
        <v>18153.838660530375</v>
      </c>
    </row>
    <row r="14" spans="1:11" ht="17.100000000000001" customHeight="1" x14ac:dyDescent="0.2">
      <c r="A14" s="141"/>
      <c r="B14" s="142"/>
      <c r="C14" s="140" t="s">
        <v>92</v>
      </c>
      <c r="D14" s="142"/>
      <c r="E14" s="142"/>
      <c r="F14" s="142"/>
      <c r="G14" s="142"/>
      <c r="H14" s="142">
        <f>$H$5/$H$9</f>
        <v>20604.606879701976</v>
      </c>
      <c r="I14" s="142">
        <f>$H$5/$H$9</f>
        <v>20604.606879701976</v>
      </c>
      <c r="J14" s="142">
        <f>$H$5/$H$9</f>
        <v>20604.606879701976</v>
      </c>
      <c r="K14" s="140">
        <f>$H$5/$H$9</f>
        <v>20604.606879701976</v>
      </c>
    </row>
    <row r="15" spans="1:11" ht="17.100000000000001" customHeight="1" x14ac:dyDescent="0.2">
      <c r="A15" s="141"/>
      <c r="B15" s="142"/>
      <c r="C15" s="140" t="s">
        <v>93</v>
      </c>
      <c r="D15" s="142"/>
      <c r="E15" s="142"/>
      <c r="F15" s="142"/>
      <c r="G15" s="142"/>
      <c r="H15" s="142"/>
      <c r="I15" s="142">
        <f>$I$5/$I$9</f>
        <v>23386.228808461743</v>
      </c>
      <c r="J15" s="142">
        <f>$I$5/$I$9</f>
        <v>23386.228808461743</v>
      </c>
      <c r="K15" s="140">
        <f>$I$5/$I$9</f>
        <v>23386.228808461743</v>
      </c>
    </row>
    <row r="16" spans="1:11" ht="17.100000000000001" customHeight="1" x14ac:dyDescent="0.2">
      <c r="A16" s="141"/>
      <c r="B16" s="142"/>
      <c r="C16" s="140" t="s">
        <v>94</v>
      </c>
      <c r="D16" s="142"/>
      <c r="E16" s="142"/>
      <c r="F16" s="142"/>
      <c r="G16" s="142"/>
      <c r="H16" s="142"/>
      <c r="I16" s="142"/>
      <c r="J16" s="142">
        <f>$J$5/$J$9</f>
        <v>26543.369697604077</v>
      </c>
      <c r="K16" s="140">
        <f>$J$5/$J$9</f>
        <v>26543.369697604077</v>
      </c>
    </row>
    <row r="17" spans="1:16" ht="17.100000000000001" customHeight="1" x14ac:dyDescent="0.2">
      <c r="A17" s="141"/>
      <c r="B17" s="142"/>
      <c r="C17" s="140" t="s">
        <v>95</v>
      </c>
      <c r="D17" s="143"/>
      <c r="E17" s="144"/>
      <c r="F17" s="144"/>
      <c r="G17" s="144"/>
      <c r="H17" s="144"/>
      <c r="I17" s="144"/>
      <c r="J17" s="144"/>
      <c r="K17" s="145">
        <f>K5/K9</f>
        <v>30126.724606780626</v>
      </c>
    </row>
    <row r="18" spans="1:16" ht="17.100000000000001" customHeight="1" x14ac:dyDescent="0.2">
      <c r="A18" s="141"/>
      <c r="B18" s="142" t="s">
        <v>80</v>
      </c>
      <c r="C18" s="140"/>
      <c r="D18" s="142"/>
      <c r="E18" s="142"/>
      <c r="F18" s="142">
        <f t="shared" ref="F18:K18" si="3">SUM(F11:F16)</f>
        <v>58251.257142857146</v>
      </c>
      <c r="G18" s="142">
        <f t="shared" si="3"/>
        <v>76405.095803387521</v>
      </c>
      <c r="H18" s="142">
        <f t="shared" si="3"/>
        <v>97009.702683089505</v>
      </c>
      <c r="I18" s="142">
        <f t="shared" si="3"/>
        <v>120395.93149155125</v>
      </c>
      <c r="J18" s="142">
        <f t="shared" si="3"/>
        <v>146939.30118915532</v>
      </c>
      <c r="K18" s="140">
        <f t="shared" si="3"/>
        <v>146939.30118915532</v>
      </c>
    </row>
    <row r="19" spans="1:16" ht="17.100000000000001" customHeight="1" x14ac:dyDescent="0.2">
      <c r="A19" s="146" t="s">
        <v>99</v>
      </c>
      <c r="B19" s="142"/>
      <c r="C19" s="140"/>
      <c r="D19" s="142"/>
      <c r="E19" s="142"/>
      <c r="F19" s="142"/>
      <c r="G19" s="142"/>
      <c r="H19" s="142"/>
      <c r="I19" s="142"/>
      <c r="J19" s="142"/>
      <c r="K19" s="140"/>
    </row>
    <row r="20" spans="1:16" ht="17.100000000000001" customHeight="1" x14ac:dyDescent="0.2">
      <c r="A20" s="141" t="s">
        <v>87</v>
      </c>
      <c r="B20" s="142"/>
      <c r="C20" s="140"/>
      <c r="D20" s="142"/>
      <c r="E20" s="142"/>
      <c r="F20" s="142"/>
      <c r="G20" s="142"/>
      <c r="H20" s="142"/>
      <c r="I20" s="142"/>
      <c r="J20" s="142"/>
      <c r="K20" s="140"/>
    </row>
    <row r="21" spans="1:16" ht="17.100000000000001" customHeight="1" x14ac:dyDescent="0.2">
      <c r="A21" s="141"/>
      <c r="B21" s="142" t="s">
        <v>101</v>
      </c>
      <c r="C21" s="140"/>
      <c r="D21" s="142"/>
      <c r="E21" s="142"/>
      <c r="F21" s="142"/>
      <c r="G21" s="142"/>
      <c r="H21" s="142"/>
      <c r="I21" s="142"/>
      <c r="J21" s="142"/>
      <c r="K21" s="140"/>
    </row>
    <row r="22" spans="1:16" ht="17.100000000000001" customHeight="1" x14ac:dyDescent="0.2">
      <c r="A22" s="141"/>
      <c r="B22" s="142"/>
      <c r="C22" s="140" t="s">
        <v>90</v>
      </c>
      <c r="D22" s="142"/>
      <c r="E22" s="142"/>
      <c r="F22" s="49">
        <v>0.1429</v>
      </c>
      <c r="G22" s="49">
        <v>0.24490000000000001</v>
      </c>
      <c r="H22" s="49">
        <v>0.1749</v>
      </c>
      <c r="I22" s="49">
        <v>0.1249</v>
      </c>
      <c r="J22" s="49">
        <v>8.9300000000000004E-2</v>
      </c>
      <c r="K22" s="50">
        <v>8.9200000000000002E-2</v>
      </c>
    </row>
    <row r="23" spans="1:16" ht="17.100000000000001" customHeight="1" x14ac:dyDescent="0.2">
      <c r="A23" s="141"/>
      <c r="B23" s="142"/>
      <c r="C23" s="140" t="s">
        <v>98</v>
      </c>
      <c r="D23" s="142"/>
      <c r="E23" s="142"/>
      <c r="F23" s="49">
        <v>0.1429</v>
      </c>
      <c r="G23" s="49">
        <v>0.24490000000000001</v>
      </c>
      <c r="H23" s="49">
        <v>0.1749</v>
      </c>
      <c r="I23" s="49">
        <v>0.1249</v>
      </c>
      <c r="J23" s="49">
        <v>8.9300000000000004E-2</v>
      </c>
      <c r="K23" s="50">
        <v>8.9200000000000002E-2</v>
      </c>
    </row>
    <row r="24" spans="1:16" ht="17.100000000000001" customHeight="1" x14ac:dyDescent="0.2">
      <c r="A24" s="141"/>
      <c r="B24" s="142"/>
      <c r="C24" s="140" t="s">
        <v>91</v>
      </c>
      <c r="D24" s="142"/>
      <c r="E24" s="142"/>
      <c r="F24" s="49"/>
      <c r="G24" s="49">
        <v>0.1429</v>
      </c>
      <c r="H24" s="49">
        <v>0.24490000000000001</v>
      </c>
      <c r="I24" s="49">
        <v>0.1749</v>
      </c>
      <c r="J24" s="49">
        <v>0.1249</v>
      </c>
      <c r="K24" s="50">
        <v>8.9300000000000004E-2</v>
      </c>
      <c r="L24" s="26"/>
    </row>
    <row r="25" spans="1:16" ht="17.100000000000001" customHeight="1" x14ac:dyDescent="0.2">
      <c r="A25" s="141"/>
      <c r="B25" s="142"/>
      <c r="C25" s="140" t="s">
        <v>92</v>
      </c>
      <c r="D25" s="142"/>
      <c r="E25" s="142"/>
      <c r="F25" s="49"/>
      <c r="G25" s="49"/>
      <c r="H25" s="49">
        <v>0.1429</v>
      </c>
      <c r="I25" s="49">
        <v>0.24490000000000001</v>
      </c>
      <c r="J25" s="49">
        <v>0.1749</v>
      </c>
      <c r="K25" s="50">
        <v>0.1249</v>
      </c>
      <c r="L25" s="26"/>
      <c r="M25" s="26"/>
    </row>
    <row r="26" spans="1:16" ht="17.100000000000001" customHeight="1" x14ac:dyDescent="0.2">
      <c r="A26" s="141"/>
      <c r="B26" s="142"/>
      <c r="C26" s="140" t="s">
        <v>93</v>
      </c>
      <c r="D26" s="142"/>
      <c r="E26" s="142"/>
      <c r="F26" s="49"/>
      <c r="G26" s="49"/>
      <c r="H26" s="49"/>
      <c r="I26" s="49">
        <v>0.1429</v>
      </c>
      <c r="J26" s="49">
        <v>0.24490000000000001</v>
      </c>
      <c r="K26" s="50">
        <v>0.1749</v>
      </c>
      <c r="L26" s="26"/>
      <c r="M26" s="26"/>
      <c r="N26" s="26"/>
    </row>
    <row r="27" spans="1:16" ht="17.100000000000001" customHeight="1" x14ac:dyDescent="0.2">
      <c r="A27" s="141"/>
      <c r="B27" s="142"/>
      <c r="C27" s="140" t="s">
        <v>94</v>
      </c>
      <c r="D27" s="142"/>
      <c r="E27" s="142"/>
      <c r="F27" s="49"/>
      <c r="G27" s="49"/>
      <c r="H27" s="49"/>
      <c r="I27" s="49"/>
      <c r="J27" s="49">
        <v>0.1429</v>
      </c>
      <c r="K27" s="50">
        <v>0.24490000000000001</v>
      </c>
      <c r="L27" s="26"/>
      <c r="M27" s="26"/>
      <c r="N27" s="26"/>
      <c r="O27" s="26"/>
    </row>
    <row r="28" spans="1:16" ht="17.100000000000001" customHeight="1" x14ac:dyDescent="0.2">
      <c r="A28" s="141"/>
      <c r="B28" s="142"/>
      <c r="C28" s="140" t="s">
        <v>95</v>
      </c>
      <c r="D28" s="143"/>
      <c r="E28" s="144"/>
      <c r="F28" s="147"/>
      <c r="G28" s="147"/>
      <c r="H28" s="147"/>
      <c r="I28" s="147"/>
      <c r="J28" s="147"/>
      <c r="K28" s="148">
        <v>0.1429</v>
      </c>
      <c r="L28" s="26"/>
      <c r="M28" s="26"/>
      <c r="N28" s="26"/>
      <c r="O28" s="26"/>
      <c r="P28" s="26"/>
    </row>
    <row r="29" spans="1:16" ht="17.100000000000001" customHeight="1" x14ac:dyDescent="0.2">
      <c r="A29" s="141"/>
      <c r="B29" s="142" t="s">
        <v>100</v>
      </c>
      <c r="C29" s="140"/>
      <c r="D29" s="142"/>
      <c r="E29" s="142"/>
      <c r="F29" s="142"/>
      <c r="G29" s="142"/>
      <c r="H29" s="142"/>
      <c r="I29" s="142"/>
      <c r="J29" s="142"/>
      <c r="K29" s="140"/>
    </row>
    <row r="30" spans="1:16" ht="17.100000000000001" customHeight="1" x14ac:dyDescent="0.2">
      <c r="A30" s="141"/>
      <c r="B30" s="142"/>
      <c r="C30" s="140" t="s">
        <v>90</v>
      </c>
      <c r="D30" s="142"/>
      <c r="E30" s="142"/>
      <c r="F30" s="142">
        <f>$F$4*F22</f>
        <v>42299.5432</v>
      </c>
      <c r="G30" s="142">
        <f t="shared" ref="G30:K30" si="4">$F$4*G22</f>
        <v>72492.359200000006</v>
      </c>
      <c r="H30" s="142">
        <f t="shared" si="4"/>
        <v>51771.799200000001</v>
      </c>
      <c r="I30" s="142">
        <f t="shared" si="4"/>
        <v>36971.3992</v>
      </c>
      <c r="J30" s="142">
        <f t="shared" si="4"/>
        <v>26433.5144</v>
      </c>
      <c r="K30" s="140">
        <f t="shared" si="4"/>
        <v>26403.9136</v>
      </c>
    </row>
    <row r="31" spans="1:16" ht="17.100000000000001" customHeight="1" x14ac:dyDescent="0.2">
      <c r="A31" s="141"/>
      <c r="B31" s="142"/>
      <c r="C31" s="140" t="s">
        <v>98</v>
      </c>
      <c r="D31" s="142"/>
      <c r="E31" s="142"/>
      <c r="F31" s="142">
        <f>$F$5*F23</f>
        <v>17109.845700000002</v>
      </c>
      <c r="G31" s="142">
        <f t="shared" ref="G31:K31" si="5">$F$5*G23</f>
        <v>29322.611700000001</v>
      </c>
      <c r="H31" s="142">
        <f t="shared" si="5"/>
        <v>20941.3017</v>
      </c>
      <c r="I31" s="142">
        <f t="shared" si="5"/>
        <v>14954.6517</v>
      </c>
      <c r="J31" s="142">
        <f t="shared" si="5"/>
        <v>10692.1569</v>
      </c>
      <c r="K31" s="140">
        <f t="shared" si="5"/>
        <v>10680.1836</v>
      </c>
    </row>
    <row r="32" spans="1:16" ht="17.100000000000001" customHeight="1" x14ac:dyDescent="0.2">
      <c r="A32" s="141"/>
      <c r="B32" s="142"/>
      <c r="C32" s="140" t="s">
        <v>91</v>
      </c>
      <c r="D32" s="142"/>
      <c r="E32" s="142"/>
      <c r="F32" s="142"/>
      <c r="G32" s="142">
        <f>$G$5*G24</f>
        <v>19456.376584423429</v>
      </c>
      <c r="H32" s="142">
        <f t="shared" ref="H32:K32" si="6">$G$5*H24</f>
        <v>33344.063159729165</v>
      </c>
      <c r="I32" s="142">
        <f t="shared" si="6"/>
        <v>23813.297862950716</v>
      </c>
      <c r="J32" s="142">
        <f t="shared" si="6"/>
        <v>17005.608365251828</v>
      </c>
      <c r="K32" s="140">
        <f t="shared" si="6"/>
        <v>12158.533442890219</v>
      </c>
    </row>
    <row r="33" spans="1:12" ht="17.100000000000001" customHeight="1" x14ac:dyDescent="0.2">
      <c r="A33" s="141"/>
      <c r="B33" s="142"/>
      <c r="C33" s="140" t="s">
        <v>92</v>
      </c>
      <c r="D33" s="142"/>
      <c r="E33" s="142"/>
      <c r="F33" s="142"/>
      <c r="G33" s="142"/>
      <c r="H33" s="142">
        <f>$H$5*H25</f>
        <v>22082.987423320596</v>
      </c>
      <c r="I33" s="142">
        <f t="shared" ref="I33:K33" si="7">$H$5*I25</f>
        <v>37845.511686292608</v>
      </c>
      <c r="J33" s="142">
        <f t="shared" si="7"/>
        <v>27028.093074449069</v>
      </c>
      <c r="K33" s="140">
        <f t="shared" si="7"/>
        <v>19301.365494560829</v>
      </c>
    </row>
    <row r="34" spans="1:12" ht="17.100000000000001" customHeight="1" x14ac:dyDescent="0.2">
      <c r="A34" s="141"/>
      <c r="B34" s="142"/>
      <c r="C34" s="140" t="s">
        <v>93</v>
      </c>
      <c r="D34" s="142"/>
      <c r="E34" s="142"/>
      <c r="F34" s="142"/>
      <c r="G34" s="142"/>
      <c r="H34" s="142"/>
      <c r="I34" s="142">
        <f>$I$5*I26</f>
        <v>25064.190725468874</v>
      </c>
      <c r="J34" s="142">
        <f t="shared" ref="J34:K34" si="8">$I$5*J26</f>
        <v>42954.655763942108</v>
      </c>
      <c r="K34" s="140">
        <f t="shared" si="8"/>
        <v>30676.885639499691</v>
      </c>
      <c r="L34" s="24"/>
    </row>
    <row r="35" spans="1:12" ht="17.100000000000001" customHeight="1" x14ac:dyDescent="0.2">
      <c r="A35" s="141"/>
      <c r="B35" s="142"/>
      <c r="C35" s="140" t="s">
        <v>94</v>
      </c>
      <c r="D35" s="142"/>
      <c r="E35" s="142"/>
      <c r="F35" s="142"/>
      <c r="G35" s="142"/>
      <c r="H35" s="142"/>
      <c r="I35" s="142"/>
      <c r="J35" s="142">
        <f>$J$5*J27</f>
        <v>28447.85647340717</v>
      </c>
      <c r="K35" s="140">
        <f>$J$5*K27</f>
        <v>48753.534292074291</v>
      </c>
    </row>
    <row r="36" spans="1:12" ht="17.100000000000001" customHeight="1" x14ac:dyDescent="0.2">
      <c r="A36" s="141"/>
      <c r="B36" s="142"/>
      <c r="C36" s="140" t="s">
        <v>95</v>
      </c>
      <c r="D36" s="143"/>
      <c r="E36" s="144"/>
      <c r="F36" s="144"/>
      <c r="G36" s="144"/>
      <c r="H36" s="144"/>
      <c r="I36" s="144"/>
      <c r="J36" s="144"/>
      <c r="K36" s="145">
        <f>$K$5*K28</f>
        <v>32288.317097317136</v>
      </c>
    </row>
    <row r="37" spans="1:12" ht="17.100000000000001" customHeight="1" x14ac:dyDescent="0.2">
      <c r="A37" s="141"/>
      <c r="B37" s="142" t="s">
        <v>80</v>
      </c>
      <c r="C37" s="140"/>
      <c r="D37" s="142"/>
      <c r="E37" s="142"/>
      <c r="F37" s="142">
        <f t="shared" ref="F37:K37" si="9">SUM(F30:F35)</f>
        <v>59409.388900000005</v>
      </c>
      <c r="G37" s="142">
        <f t="shared" si="9"/>
        <v>121271.34748442344</v>
      </c>
      <c r="H37" s="142">
        <f t="shared" si="9"/>
        <v>128140.15148304976</v>
      </c>
      <c r="I37" s="142">
        <f t="shared" si="9"/>
        <v>138649.05117471219</v>
      </c>
      <c r="J37" s="142">
        <f t="shared" si="9"/>
        <v>152561.88497705018</v>
      </c>
      <c r="K37" s="140">
        <f t="shared" si="9"/>
        <v>147974.41606902506</v>
      </c>
    </row>
    <row r="38" spans="1:12" ht="17.100000000000001" customHeight="1" x14ac:dyDescent="0.2">
      <c r="A38" s="149" t="s">
        <v>181</v>
      </c>
      <c r="B38" s="144"/>
      <c r="C38" s="145"/>
      <c r="D38" s="144"/>
      <c r="E38" s="144"/>
      <c r="F38" s="144"/>
      <c r="G38" s="144">
        <f>(G37-G18)*'Income Statement'!G27</f>
        <v>13468.848754646986</v>
      </c>
      <c r="H38" s="144">
        <f>(H37-H18)*'Income Statement'!H27</f>
        <v>9345.3607297480703</v>
      </c>
      <c r="I38" s="144">
        <f>(I37-I18)*'Income Statement'!I27</f>
        <v>5479.5865288849154</v>
      </c>
      <c r="J38" s="144">
        <f>(J37-J18)*'Income Statement'!J27</f>
        <v>1687.8996531260389</v>
      </c>
      <c r="K38" s="145">
        <f>(K37-K18)*'Income Statement'!K27</f>
        <v>310.74148693689585</v>
      </c>
    </row>
    <row r="39" spans="1:12" ht="17.100000000000001" customHeight="1" x14ac:dyDescent="0.2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</row>
    <row r="40" spans="1:12" ht="17.100000000000001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</row>
    <row r="41" spans="1:12" ht="17.100000000000001" customHeight="1" x14ac:dyDescent="0.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5" zoomScaleNormal="85" workbookViewId="0">
      <selection activeCell="F6" sqref="F6"/>
    </sheetView>
  </sheetViews>
  <sheetFormatPr defaultRowHeight="17.100000000000001" customHeight="1" x14ac:dyDescent="0.2"/>
  <cols>
    <col min="1" max="1" width="3.5703125" style="17" customWidth="1"/>
    <col min="2" max="2" width="4.85546875" style="17" customWidth="1"/>
    <col min="3" max="3" width="32.42578125" style="17" customWidth="1"/>
    <col min="4" max="11" width="8.140625" style="17" bestFit="1" customWidth="1"/>
    <col min="12" max="16384" width="9.140625" style="17"/>
  </cols>
  <sheetData>
    <row r="1" spans="1:11" ht="17.100000000000001" customHeight="1" x14ac:dyDescent="0.2">
      <c r="A1" s="1" t="s">
        <v>103</v>
      </c>
      <c r="B1" s="55"/>
      <c r="C1" s="55"/>
      <c r="D1" s="55"/>
      <c r="E1" s="55"/>
      <c r="F1" s="56"/>
      <c r="G1" s="57"/>
      <c r="H1" s="57"/>
      <c r="I1" s="57"/>
      <c r="J1" s="57"/>
      <c r="K1" s="57"/>
    </row>
    <row r="2" spans="1:11" ht="17.100000000000001" customHeight="1" x14ac:dyDescent="0.2">
      <c r="A2" s="55" t="s">
        <v>1</v>
      </c>
      <c r="B2" s="55"/>
      <c r="C2" s="55"/>
      <c r="D2" s="55"/>
      <c r="E2" s="55"/>
      <c r="F2" s="56"/>
      <c r="G2" s="57"/>
      <c r="H2" s="57"/>
      <c r="I2" s="57"/>
      <c r="J2" s="57"/>
      <c r="K2" s="57"/>
    </row>
    <row r="3" spans="1:11" ht="17.100000000000001" customHeight="1" x14ac:dyDescent="0.2">
      <c r="A3" s="59" t="s">
        <v>3</v>
      </c>
      <c r="B3" s="59"/>
      <c r="C3" s="59"/>
      <c r="D3" s="2" t="s">
        <v>4</v>
      </c>
      <c r="E3" s="2" t="s">
        <v>5</v>
      </c>
      <c r="F3" s="3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spans="1:11" ht="17.100000000000001" customHeight="1" x14ac:dyDescent="0.2">
      <c r="A4" s="27" t="s">
        <v>61</v>
      </c>
      <c r="B4" s="134"/>
      <c r="C4" s="135"/>
      <c r="D4" s="136"/>
      <c r="E4" s="137"/>
      <c r="F4" s="137"/>
      <c r="G4" s="137"/>
      <c r="H4" s="137"/>
      <c r="I4" s="137"/>
      <c r="J4" s="137"/>
      <c r="K4" s="135"/>
    </row>
    <row r="5" spans="1:11" ht="17.100000000000001" customHeight="1" x14ac:dyDescent="0.2">
      <c r="A5" s="138"/>
      <c r="B5" s="139" t="s">
        <v>63</v>
      </c>
      <c r="C5" s="140"/>
      <c r="D5" s="141">
        <f>'Balance Sheet'!D7</f>
        <v>6351</v>
      </c>
      <c r="E5" s="142">
        <f>'Balance Sheet'!E7</f>
        <v>11903</v>
      </c>
      <c r="F5" s="142">
        <f>'Balance Sheet'!F7</f>
        <v>13746</v>
      </c>
      <c r="G5" s="142">
        <f>G6/365*'Income Statement'!G5</f>
        <v>14555.807500000001</v>
      </c>
      <c r="H5" s="142">
        <f>H6/365*'Income Statement'!H5</f>
        <v>16520.841512500003</v>
      </c>
      <c r="I5" s="142">
        <f>I6/365*'Income Statement'!I5</f>
        <v>18751.155116687503</v>
      </c>
      <c r="J5" s="142">
        <f>J6/365*'Income Statement'!J5</f>
        <v>21282.561057440314</v>
      </c>
      <c r="K5" s="140">
        <f>K6/365*'Income Statement'!K5</f>
        <v>24155.706800194759</v>
      </c>
    </row>
    <row r="6" spans="1:11" ht="17.100000000000001" customHeight="1" x14ac:dyDescent="0.2">
      <c r="A6" s="138"/>
      <c r="B6" s="139"/>
      <c r="C6" s="140" t="s">
        <v>104</v>
      </c>
      <c r="D6" s="141"/>
      <c r="E6" s="142">
        <f>AVERAGE(E5,D5)/'Income Statement'!E5*365</f>
        <v>2.0936275286138408</v>
      </c>
      <c r="F6" s="142">
        <f>AVERAGE(F5,E5)/'Income Statement'!F5*365</f>
        <v>2.6045563324992642</v>
      </c>
      <c r="G6" s="29">
        <f>F6</f>
        <v>2.6045563324992642</v>
      </c>
      <c r="H6" s="29">
        <f>G6</f>
        <v>2.6045563324992642</v>
      </c>
      <c r="I6" s="29">
        <f t="shared" ref="I6:K10" si="0">H6</f>
        <v>2.6045563324992642</v>
      </c>
      <c r="J6" s="29">
        <f t="shared" si="0"/>
        <v>2.6045563324992642</v>
      </c>
      <c r="K6" s="30">
        <f t="shared" si="0"/>
        <v>2.6045563324992642</v>
      </c>
    </row>
    <row r="7" spans="1:11" ht="17.100000000000001" customHeight="1" x14ac:dyDescent="0.2">
      <c r="A7" s="138"/>
      <c r="B7" s="139" t="s">
        <v>45</v>
      </c>
      <c r="C7" s="140"/>
      <c r="D7" s="141">
        <f>'Balance Sheet'!D8</f>
        <v>155222</v>
      </c>
      <c r="E7" s="142">
        <f>'Balance Sheet'!E8</f>
        <v>188790</v>
      </c>
      <c r="F7" s="142">
        <f>'Balance Sheet'!F8</f>
        <v>208116</v>
      </c>
      <c r="G7" s="142">
        <f>G8/365*'Income Statement'!G8</f>
        <v>227285.47336684744</v>
      </c>
      <c r="H7" s="142">
        <f>H8/365*'Income Statement'!H8</f>
        <v>257969.01227137184</v>
      </c>
      <c r="I7" s="142">
        <f>I8/365*'Income Statement'!I8</f>
        <v>292794.82892800699</v>
      </c>
      <c r="J7" s="142">
        <f>J8/365*'Income Statement'!J8</f>
        <v>332322.13083328796</v>
      </c>
      <c r="K7" s="140">
        <f>K8/365*'Income Statement'!K8</f>
        <v>377185.61849578185</v>
      </c>
    </row>
    <row r="8" spans="1:11" ht="17.100000000000001" customHeight="1" x14ac:dyDescent="0.2">
      <c r="A8" s="138"/>
      <c r="B8" s="139"/>
      <c r="C8" s="140" t="s">
        <v>105</v>
      </c>
      <c r="D8" s="141"/>
      <c r="E8" s="142">
        <f>AVERAGE(E7,D7)/'Income Statement'!E8*365</f>
        <v>89.42771393246008</v>
      </c>
      <c r="F8" s="142">
        <f>AVERAGE(F7,E7)/'Income Statement'!F8*365</f>
        <v>87.835658912848672</v>
      </c>
      <c r="G8" s="29">
        <f>AVERAGE(E8:F8)</f>
        <v>88.631686422654383</v>
      </c>
      <c r="H8" s="29">
        <f>G8</f>
        <v>88.631686422654383</v>
      </c>
      <c r="I8" s="29">
        <f t="shared" si="0"/>
        <v>88.631686422654383</v>
      </c>
      <c r="J8" s="29">
        <f t="shared" si="0"/>
        <v>88.631686422654383</v>
      </c>
      <c r="K8" s="30">
        <f t="shared" si="0"/>
        <v>88.631686422654383</v>
      </c>
    </row>
    <row r="9" spans="1:11" ht="17.100000000000001" customHeight="1" x14ac:dyDescent="0.2">
      <c r="A9" s="138"/>
      <c r="B9" s="139" t="s">
        <v>64</v>
      </c>
      <c r="C9" s="140"/>
      <c r="D9" s="141">
        <f>'Balance Sheet'!D9</f>
        <v>35301</v>
      </c>
      <c r="E9" s="142">
        <f>'Balance Sheet'!E9</f>
        <v>46197</v>
      </c>
      <c r="F9" s="142">
        <f>'Balance Sheet'!F9</f>
        <v>64671</v>
      </c>
      <c r="G9" s="142">
        <f>G10/365*'Income Statement'!G14</f>
        <v>73401.584999999992</v>
      </c>
      <c r="H9" s="142">
        <f>H10/365*'Income Statement'!H14</f>
        <v>83310.798975000012</v>
      </c>
      <c r="I9" s="142">
        <f>I10/365*'Income Statement'!I14</f>
        <v>94557.756836624991</v>
      </c>
      <c r="J9" s="142">
        <f>J10/365*'Income Statement'!J14</f>
        <v>107323.05400956937</v>
      </c>
      <c r="K9" s="140">
        <f>K10/365*'Income Statement'!K14</f>
        <v>121811.66630086125</v>
      </c>
    </row>
    <row r="10" spans="1:11" ht="17.100000000000001" customHeight="1" x14ac:dyDescent="0.2">
      <c r="A10" s="138"/>
      <c r="B10" s="139"/>
      <c r="C10" s="140" t="s">
        <v>108</v>
      </c>
      <c r="D10" s="141"/>
      <c r="E10" s="142">
        <f>E9/'Income Statement'!E14*365</f>
        <v>37.577955419662239</v>
      </c>
      <c r="F10" s="142">
        <f>F9/'Income Statement'!F14*365</f>
        <v>43.863321731794471</v>
      </c>
      <c r="G10" s="29">
        <f>F10</f>
        <v>43.863321731794471</v>
      </c>
      <c r="H10" s="29">
        <f>G10</f>
        <v>43.863321731794471</v>
      </c>
      <c r="I10" s="29">
        <f t="shared" si="0"/>
        <v>43.863321731794471</v>
      </c>
      <c r="J10" s="29">
        <f t="shared" si="0"/>
        <v>43.863321731794471</v>
      </c>
      <c r="K10" s="30">
        <f t="shared" si="0"/>
        <v>43.863321731794471</v>
      </c>
    </row>
    <row r="11" spans="1:11" ht="17.100000000000001" customHeight="1" x14ac:dyDescent="0.2">
      <c r="A11" s="138" t="s">
        <v>71</v>
      </c>
      <c r="B11" s="139"/>
      <c r="C11" s="140"/>
      <c r="D11" s="141"/>
      <c r="E11" s="142"/>
      <c r="F11" s="142"/>
      <c r="G11" s="142"/>
      <c r="H11" s="142"/>
      <c r="I11" s="142"/>
      <c r="J11" s="142"/>
      <c r="K11" s="140"/>
    </row>
    <row r="12" spans="1:11" ht="17.100000000000001" customHeight="1" x14ac:dyDescent="0.2">
      <c r="A12" s="138"/>
      <c r="B12" s="139" t="s">
        <v>46</v>
      </c>
      <c r="C12" s="140"/>
      <c r="D12" s="141">
        <f>'Balance Sheet'!D19</f>
        <v>1045</v>
      </c>
      <c r="E12" s="142">
        <f>'Balance Sheet'!E19</f>
        <v>12647</v>
      </c>
      <c r="F12" s="142">
        <f>'Balance Sheet'!F19</f>
        <v>9339</v>
      </c>
      <c r="G12" s="142">
        <f>G13/365*'Income Statement'!G8</f>
        <v>12477.055</v>
      </c>
      <c r="H12" s="142">
        <f>H13/365*'Income Statement'!H8</f>
        <v>14161.457425000001</v>
      </c>
      <c r="I12" s="142">
        <f>I13/365*'Income Statement'!I8</f>
        <v>16073.254177375</v>
      </c>
      <c r="J12" s="142">
        <f>J13/365*'Income Statement'!J8</f>
        <v>18243.143491320625</v>
      </c>
      <c r="K12" s="140">
        <f>K13/365*'Income Statement'!K8</f>
        <v>20705.967862648911</v>
      </c>
    </row>
    <row r="13" spans="1:11" ht="17.100000000000001" customHeight="1" x14ac:dyDescent="0.2">
      <c r="A13" s="138"/>
      <c r="B13" s="139"/>
      <c r="C13" s="140" t="s">
        <v>106</v>
      </c>
      <c r="D13" s="141"/>
      <c r="E13" s="142">
        <f>AVERAGE(E12,D12)/('Income Statement'!E8)*365</f>
        <v>3.5593068240737047</v>
      </c>
      <c r="F13" s="142">
        <f>AVERAGE(F12,E12)/('Income Statement'!F8)*365</f>
        <v>4.8655218032932002</v>
      </c>
      <c r="G13" s="29">
        <f>F13</f>
        <v>4.8655218032932002</v>
      </c>
      <c r="H13" s="29">
        <f>G13</f>
        <v>4.8655218032932002</v>
      </c>
      <c r="I13" s="29">
        <f t="shared" ref="I13:K13" si="1">H13</f>
        <v>4.8655218032932002</v>
      </c>
      <c r="J13" s="29">
        <f t="shared" si="1"/>
        <v>4.8655218032932002</v>
      </c>
      <c r="K13" s="30">
        <f t="shared" si="1"/>
        <v>4.8655218032932002</v>
      </c>
    </row>
    <row r="14" spans="1:11" ht="17.100000000000001" customHeight="1" x14ac:dyDescent="0.2">
      <c r="A14" s="138"/>
      <c r="B14" s="139" t="s">
        <v>47</v>
      </c>
      <c r="C14" s="140"/>
      <c r="D14" s="141">
        <f>'Balance Sheet'!D20</f>
        <v>30032</v>
      </c>
      <c r="E14" s="142">
        <f>'Balance Sheet'!E20</f>
        <v>15415</v>
      </c>
      <c r="F14" s="142">
        <f>'Balance Sheet'!F20</f>
        <v>22296</v>
      </c>
      <c r="G14" s="142">
        <f>G15/365*'Income Statement'!G8</f>
        <v>30296.078927250288</v>
      </c>
      <c r="H14" s="142">
        <f>H15/365*'Income Statement'!H8</f>
        <v>34386.049582429077</v>
      </c>
      <c r="I14" s="142">
        <f>I15/365*'Income Statement'!I8</f>
        <v>39028.166276057003</v>
      </c>
      <c r="J14" s="142">
        <f>J15/365*'Income Statement'!J8</f>
        <v>44296.968723324695</v>
      </c>
      <c r="K14" s="140">
        <f>K15/365*'Income Statement'!K8</f>
        <v>50277.059500973533</v>
      </c>
    </row>
    <row r="15" spans="1:11" ht="17.100000000000001" customHeight="1" x14ac:dyDescent="0.2">
      <c r="A15" s="138"/>
      <c r="B15" s="139"/>
      <c r="C15" s="140" t="s">
        <v>106</v>
      </c>
      <c r="D15" s="141"/>
      <c r="E15" s="142">
        <f>AVERAGE(E14,D14)/'Income Statement'!E8*365</f>
        <v>11.814184723464626</v>
      </c>
      <c r="F15" s="142">
        <f>AVERAGE(F14,E14)/'Income Statement'!F8*365</f>
        <v>8.3454786102060332</v>
      </c>
      <c r="G15" s="29">
        <f>MAX(E15:F15)</f>
        <v>11.814184723464626</v>
      </c>
      <c r="H15" s="29">
        <f>G15</f>
        <v>11.814184723464626</v>
      </c>
      <c r="I15" s="29">
        <f t="shared" ref="I15:K15" si="2">H15</f>
        <v>11.814184723464626</v>
      </c>
      <c r="J15" s="29">
        <f t="shared" si="2"/>
        <v>11.814184723464626</v>
      </c>
      <c r="K15" s="30">
        <f t="shared" si="2"/>
        <v>11.814184723464626</v>
      </c>
    </row>
    <row r="16" spans="1:11" ht="17.100000000000001" customHeight="1" x14ac:dyDescent="0.2">
      <c r="A16" s="138"/>
      <c r="B16" s="139" t="s">
        <v>50</v>
      </c>
      <c r="C16" s="140"/>
      <c r="D16" s="141">
        <f>'Balance Sheet'!D21</f>
        <v>27530</v>
      </c>
      <c r="E16" s="142">
        <f>'Balance Sheet'!E21</f>
        <v>19445</v>
      </c>
      <c r="F16" s="142">
        <f>'Balance Sheet'!F21</f>
        <v>29932</v>
      </c>
      <c r="G16" s="142">
        <f>G17/365*'Income Statement'!G14</f>
        <v>31971.28463074247</v>
      </c>
      <c r="H16" s="142">
        <f>H17/365*'Income Statement'!H14</f>
        <v>36287.408055892709</v>
      </c>
      <c r="I16" s="142">
        <f>I17/365*'Income Statement'!I14</f>
        <v>41186.20814343822</v>
      </c>
      <c r="J16" s="142">
        <f>J17/365*'Income Statement'!J14</f>
        <v>46746.346242802378</v>
      </c>
      <c r="K16" s="140">
        <f>K17/365*'Income Statement'!K14</f>
        <v>53057.102985580706</v>
      </c>
    </row>
    <row r="17" spans="1:11" ht="17.100000000000001" customHeight="1" x14ac:dyDescent="0.2">
      <c r="A17" s="138"/>
      <c r="B17" s="139"/>
      <c r="C17" s="140" t="s">
        <v>106</v>
      </c>
      <c r="D17" s="141"/>
      <c r="E17" s="142">
        <f>AVERAGE(E16,D16)/'Income Statement'!E14*365</f>
        <v>19.105401387954128</v>
      </c>
      <c r="F17" s="142">
        <f>AVERAGE(F16,E16)/'Income Statement'!F14*365</f>
        <v>16.74505757720474</v>
      </c>
      <c r="G17" s="29">
        <f>E17</f>
        <v>19.105401387954128</v>
      </c>
      <c r="H17" s="29">
        <f>G17</f>
        <v>19.105401387954128</v>
      </c>
      <c r="I17" s="29">
        <f t="shared" ref="I17:K17" si="3">H17</f>
        <v>19.105401387954128</v>
      </c>
      <c r="J17" s="29">
        <f t="shared" si="3"/>
        <v>19.105401387954128</v>
      </c>
      <c r="K17" s="30">
        <f t="shared" si="3"/>
        <v>19.105401387954128</v>
      </c>
    </row>
    <row r="18" spans="1:11" ht="17.100000000000001" customHeight="1" x14ac:dyDescent="0.2">
      <c r="A18" s="138"/>
      <c r="B18" s="139" t="s">
        <v>49</v>
      </c>
      <c r="C18" s="140"/>
      <c r="D18" s="141">
        <f>'Balance Sheet'!D22</f>
        <v>39637</v>
      </c>
      <c r="E18" s="142">
        <f>'Balance Sheet'!E22</f>
        <v>769</v>
      </c>
      <c r="F18" s="142">
        <f>'Balance Sheet'!F22</f>
        <v>20073</v>
      </c>
      <c r="G18" s="142">
        <f>G19/365*'Income Statement'!G24</f>
        <v>15528.146235510125</v>
      </c>
      <c r="H18" s="142">
        <f>H19/365*'Income Statement'!H24</f>
        <v>17212.23018982655</v>
      </c>
      <c r="I18" s="142">
        <f>I19/365*'Income Statement'!I24</f>
        <v>19123.665477975701</v>
      </c>
      <c r="J18" s="142">
        <f>J19/365*'Income Statement'!J24</f>
        <v>21293.144530024972</v>
      </c>
      <c r="K18" s="140">
        <f>K19/365*'Income Statement'!K24</f>
        <v>24859.517381191337</v>
      </c>
    </row>
    <row r="19" spans="1:11" ht="17.100000000000001" customHeight="1" x14ac:dyDescent="0.2">
      <c r="A19" s="138"/>
      <c r="B19" s="139"/>
      <c r="C19" s="140" t="s">
        <v>107</v>
      </c>
      <c r="D19" s="141"/>
      <c r="E19" s="142">
        <f>AVERAGE(E18,D18)/'Income Statement'!E24*365</f>
        <v>62.716088757346128</v>
      </c>
      <c r="F19" s="142">
        <f>AVERAGE(F18,E18)/'Income Statement'!F24*365</f>
        <v>26.395643363728468</v>
      </c>
      <c r="G19" s="29">
        <f>AVERAGE(E19:F19)</f>
        <v>44.555866060537298</v>
      </c>
      <c r="H19" s="29">
        <f>G19</f>
        <v>44.555866060537298</v>
      </c>
      <c r="I19" s="29">
        <f t="shared" ref="I19:K19" si="4">H19</f>
        <v>44.555866060537298</v>
      </c>
      <c r="J19" s="29">
        <f t="shared" si="4"/>
        <v>44.555866060537298</v>
      </c>
      <c r="K19" s="30">
        <f t="shared" si="4"/>
        <v>44.555866060537298</v>
      </c>
    </row>
    <row r="20" spans="1:11" ht="17.100000000000001" customHeight="1" x14ac:dyDescent="0.2">
      <c r="A20" s="138"/>
      <c r="B20" s="139" t="s">
        <v>72</v>
      </c>
      <c r="C20" s="140"/>
      <c r="D20" s="141">
        <f>'Balance Sheet'!D23</f>
        <v>35113</v>
      </c>
      <c r="E20" s="142">
        <f>'Balance Sheet'!E23</f>
        <v>38343</v>
      </c>
      <c r="F20" s="142">
        <f>'Balance Sheet'!F23</f>
        <v>46252</v>
      </c>
      <c r="G20" s="142">
        <f>G21/365*'Income Statement'!F5</f>
        <v>42297.5</v>
      </c>
      <c r="H20" s="142">
        <f>H21/365*'Income Statement'!G5</f>
        <v>48007.662499999999</v>
      </c>
      <c r="I20" s="142">
        <f>I21/365*'Income Statement'!H5</f>
        <v>54488.696937500004</v>
      </c>
      <c r="J20" s="142">
        <f>J21/365*'Income Statement'!I5</f>
        <v>61844.671024062503</v>
      </c>
      <c r="K20" s="140">
        <f>K21/365*'Income Statement'!J5</f>
        <v>70193.701612310935</v>
      </c>
    </row>
    <row r="21" spans="1:11" ht="17.100000000000001" customHeight="1" x14ac:dyDescent="0.2">
      <c r="A21" s="138"/>
      <c r="B21" s="139"/>
      <c r="C21" s="140" t="s">
        <v>107</v>
      </c>
      <c r="D21" s="141"/>
      <c r="E21" s="142">
        <f>AVERAGE(E20,D20)/'Income Statement'!E5*365</f>
        <v>8.4249755528573615</v>
      </c>
      <c r="F21" s="142">
        <f>AVERAGE(F20,E20)/'Income Statement'!F5*365</f>
        <v>8.5902936936245169</v>
      </c>
      <c r="G21" s="29">
        <f>F21</f>
        <v>8.5902936936245169</v>
      </c>
      <c r="H21" s="29">
        <f>G21</f>
        <v>8.5902936936245169</v>
      </c>
      <c r="I21" s="29">
        <f t="shared" ref="I21:K21" si="5">H21</f>
        <v>8.5902936936245169</v>
      </c>
      <c r="J21" s="29">
        <f t="shared" si="5"/>
        <v>8.5902936936245169</v>
      </c>
      <c r="K21" s="30">
        <f t="shared" si="5"/>
        <v>8.5902936936245169</v>
      </c>
    </row>
    <row r="22" spans="1:11" ht="17.100000000000001" customHeight="1" x14ac:dyDescent="0.2">
      <c r="A22" s="138"/>
      <c r="B22" s="139" t="s">
        <v>48</v>
      </c>
      <c r="C22" s="140"/>
      <c r="D22" s="141">
        <f>'Balance Sheet'!D24</f>
        <v>0</v>
      </c>
      <c r="E22" s="142">
        <f>'Balance Sheet'!E24</f>
        <v>29595</v>
      </c>
      <c r="F22" s="142">
        <f>'Balance Sheet'!F24</f>
        <v>31989</v>
      </c>
      <c r="G22" s="142">
        <f>G23/365*'Income Statement'!G5</f>
        <v>34948.920000000006</v>
      </c>
      <c r="H22" s="142">
        <f>H23/365*'Income Statement'!H5</f>
        <v>39667.024200000007</v>
      </c>
      <c r="I22" s="142">
        <f>I23/365*'Income Statement'!I5</f>
        <v>45022.072467000005</v>
      </c>
      <c r="J22" s="142">
        <f>J23/365*'Income Statement'!J5</f>
        <v>51100.052250045002</v>
      </c>
      <c r="K22" s="140">
        <f>K23/365*'Income Statement'!K5</f>
        <v>57998.559303801077</v>
      </c>
    </row>
    <row r="23" spans="1:11" ht="17.100000000000001" customHeight="1" x14ac:dyDescent="0.2">
      <c r="A23" s="143"/>
      <c r="B23" s="144"/>
      <c r="C23" s="145" t="s">
        <v>107</v>
      </c>
      <c r="D23" s="143"/>
      <c r="E23" s="144">
        <f>AVERAGE(E22,D22)/'Income Statement'!E5*365</f>
        <v>3.394374203425365</v>
      </c>
      <c r="F23" s="144">
        <f>AVERAGE(F22,E22)/'Income Statement'!F5*365</f>
        <v>6.2536160154639431</v>
      </c>
      <c r="G23" s="31">
        <f>F23</f>
        <v>6.2536160154639431</v>
      </c>
      <c r="H23" s="31">
        <f>G23</f>
        <v>6.2536160154639431</v>
      </c>
      <c r="I23" s="31">
        <f t="shared" ref="I23:K23" si="6">H23</f>
        <v>6.2536160154639431</v>
      </c>
      <c r="J23" s="31">
        <f t="shared" si="6"/>
        <v>6.2536160154639431</v>
      </c>
      <c r="K23" s="32">
        <f t="shared" si="6"/>
        <v>6.2536160154639431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"/>
  <sheetViews>
    <sheetView zoomScaleNormal="100" workbookViewId="0">
      <selection activeCell="C34" sqref="C34"/>
    </sheetView>
  </sheetViews>
  <sheetFormatPr defaultRowHeight="12.75" x14ac:dyDescent="0.2"/>
  <cols>
    <col min="1" max="1" width="2.7109375" customWidth="1"/>
    <col min="2" max="2" width="4.7109375" customWidth="1"/>
    <col min="3" max="3" width="34" customWidth="1"/>
    <col min="4" max="4" width="9.5703125" customWidth="1"/>
    <col min="5" max="5" width="12.5703125" bestFit="1" customWidth="1"/>
    <col min="6" max="6" width="12.140625" customWidth="1"/>
    <col min="7" max="9" width="10" bestFit="1" customWidth="1"/>
    <col min="10" max="10" width="11.42578125" customWidth="1"/>
    <col min="11" max="11" width="10" bestFit="1" customWidth="1"/>
    <col min="12" max="12" width="10.7109375" bestFit="1" customWidth="1"/>
    <col min="15" max="15" width="14.42578125" bestFit="1" customWidth="1"/>
  </cols>
  <sheetData>
    <row r="1" spans="1:15" x14ac:dyDescent="0.2">
      <c r="A1" s="1" t="s">
        <v>114</v>
      </c>
      <c r="B1" s="55"/>
      <c r="C1" s="55"/>
      <c r="D1" s="55"/>
      <c r="E1" s="55"/>
      <c r="F1" s="56"/>
      <c r="G1" s="57"/>
      <c r="H1" s="57"/>
      <c r="I1" s="57"/>
      <c r="J1" s="57"/>
      <c r="K1" s="57"/>
      <c r="L1" s="58"/>
      <c r="M1" s="58"/>
      <c r="N1" s="58"/>
      <c r="O1" s="58"/>
    </row>
    <row r="2" spans="1:15" x14ac:dyDescent="0.2">
      <c r="A2" s="55" t="s">
        <v>1</v>
      </c>
      <c r="B2" s="55"/>
      <c r="C2" s="55"/>
      <c r="D2" s="55"/>
      <c r="E2" s="55"/>
      <c r="F2" s="56"/>
      <c r="G2" s="57"/>
      <c r="H2" s="57"/>
      <c r="I2" s="57"/>
      <c r="J2" s="57"/>
      <c r="K2" s="57"/>
      <c r="L2" s="58"/>
      <c r="M2" s="58"/>
      <c r="N2" s="58"/>
      <c r="O2" s="58"/>
    </row>
    <row r="3" spans="1:15" x14ac:dyDescent="0.2">
      <c r="A3" s="59" t="s">
        <v>3</v>
      </c>
      <c r="B3" s="59"/>
      <c r="C3" s="59"/>
      <c r="D3" s="2" t="s">
        <v>4</v>
      </c>
      <c r="E3" s="2" t="s">
        <v>5</v>
      </c>
      <c r="F3" s="3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58"/>
      <c r="M3" s="58"/>
      <c r="N3" s="58"/>
      <c r="O3" s="58"/>
    </row>
    <row r="4" spans="1:15" x14ac:dyDescent="0.2">
      <c r="A4" s="60" t="s">
        <v>115</v>
      </c>
      <c r="B4" s="61"/>
      <c r="C4" s="62"/>
      <c r="D4" s="63"/>
      <c r="E4" s="63"/>
      <c r="F4" s="63"/>
      <c r="G4" s="63"/>
      <c r="H4" s="63"/>
      <c r="I4" s="63"/>
      <c r="J4" s="63"/>
      <c r="K4" s="64"/>
      <c r="L4" s="58"/>
      <c r="M4" s="58"/>
      <c r="N4" s="65"/>
      <c r="O4" s="65"/>
    </row>
    <row r="5" spans="1:15" x14ac:dyDescent="0.2">
      <c r="A5" s="66"/>
      <c r="B5" s="67" t="s">
        <v>24</v>
      </c>
      <c r="C5" s="68"/>
      <c r="D5" s="69"/>
      <c r="E5" s="69"/>
      <c r="F5" s="69"/>
      <c r="G5" s="69">
        <f>'Income Statement'!G19</f>
        <v>416635.49919661245</v>
      </c>
      <c r="H5" s="69">
        <f>'Income Statement'!H19</f>
        <v>462591.37264191057</v>
      </c>
      <c r="I5" s="69">
        <f>'Income Statement'!I19</f>
        <v>514751.28900232399</v>
      </c>
      <c r="J5" s="69">
        <f>'Income Statement'!J19</f>
        <v>573952.79407139297</v>
      </c>
      <c r="K5" s="70">
        <f>'Income Statement'!K19</f>
        <v>671273.22693156695</v>
      </c>
      <c r="L5" s="58"/>
      <c r="M5" s="58"/>
      <c r="N5" s="65"/>
      <c r="O5" s="65"/>
    </row>
    <row r="6" spans="1:15" x14ac:dyDescent="0.2">
      <c r="A6" s="66"/>
      <c r="B6" s="67" t="s">
        <v>116</v>
      </c>
      <c r="C6" s="68"/>
      <c r="D6" s="69"/>
      <c r="E6" s="69"/>
      <c r="F6" s="69"/>
      <c r="G6" s="69">
        <f>'Income Statement'!G18</f>
        <v>76405.095803387521</v>
      </c>
      <c r="H6" s="69">
        <f>'Income Statement'!H18</f>
        <v>97009.702683089505</v>
      </c>
      <c r="I6" s="69">
        <f>'Income Statement'!I18</f>
        <v>120395.93149155125</v>
      </c>
      <c r="J6" s="69">
        <f>'Income Statement'!J18</f>
        <v>146939.30118915532</v>
      </c>
      <c r="K6" s="70">
        <f>'Income Statement'!K18</f>
        <v>146939.30118915532</v>
      </c>
      <c r="L6" s="58"/>
      <c r="M6" s="58"/>
      <c r="N6" s="65"/>
      <c r="O6" s="65"/>
    </row>
    <row r="7" spans="1:15" x14ac:dyDescent="0.2">
      <c r="A7" s="66"/>
      <c r="B7" s="67" t="s">
        <v>117</v>
      </c>
      <c r="C7" s="68"/>
      <c r="D7" s="69"/>
      <c r="E7" s="69"/>
      <c r="F7" s="69"/>
      <c r="G7" s="69">
        <f>+'Cash Flows'!G8</f>
        <v>13468.848754646986</v>
      </c>
      <c r="H7" s="69">
        <f>+'Cash Flows'!H8</f>
        <v>9345.3607297480703</v>
      </c>
      <c r="I7" s="69">
        <f>+'Cash Flows'!I8</f>
        <v>5479.5865288849154</v>
      </c>
      <c r="J7" s="69">
        <f>+'Cash Flows'!J8</f>
        <v>1687.8996531260389</v>
      </c>
      <c r="K7" s="70">
        <f>+'Cash Flows'!K8</f>
        <v>310.74148693689585</v>
      </c>
      <c r="L7" s="58"/>
      <c r="M7" s="58"/>
      <c r="N7" s="65"/>
      <c r="O7" s="65"/>
    </row>
    <row r="8" spans="1:15" x14ac:dyDescent="0.2">
      <c r="A8" s="66"/>
      <c r="B8" s="67" t="s">
        <v>74</v>
      </c>
      <c r="C8" s="68"/>
      <c r="D8" s="69"/>
      <c r="E8" s="69"/>
      <c r="F8" s="69"/>
      <c r="G8" s="69">
        <f>'Cash Flows'!G24</f>
        <v>11554.465407433236</v>
      </c>
      <c r="H8" s="69">
        <f>'Cash Flows'!H24</f>
        <v>8842.4847293518833</v>
      </c>
      <c r="I8" s="69">
        <f>'Cash Flows'!I24</f>
        <v>8454.4958718775451</v>
      </c>
      <c r="J8" s="69">
        <f>'Cash Flows'!J24</f>
        <v>8014.128518644211</v>
      </c>
      <c r="K8" s="70">
        <f>'Cash Flows'!K24</f>
        <v>12145.268581859345</v>
      </c>
      <c r="L8" s="58"/>
      <c r="M8" s="58"/>
      <c r="N8" s="65"/>
      <c r="O8" s="65"/>
    </row>
    <row r="9" spans="1:15" x14ac:dyDescent="0.2">
      <c r="A9" s="66"/>
      <c r="B9" s="67" t="s">
        <v>118</v>
      </c>
      <c r="C9" s="68"/>
      <c r="D9" s="69"/>
      <c r="E9" s="69"/>
      <c r="F9" s="69"/>
      <c r="G9" s="69">
        <f>SUM('Cash Flows'!G10:G18)</f>
        <v>-21071.881073344543</v>
      </c>
      <c r="H9" s="69">
        <f>SUM('Cash Flows'!H10:H18)</f>
        <v>-20354.939732378974</v>
      </c>
      <c r="I9" s="69">
        <f>SUM('Cash Flows'!I10:I18)</f>
        <v>-23102.856596250029</v>
      </c>
      <c r="J9" s="69">
        <f>SUM('Cash Flows'!J10:J18)</f>
        <v>-26221.742236743921</v>
      </c>
      <c r="K9" s="70">
        <f>SUM('Cash Flows'!K10:K18)</f>
        <v>-28657.663311613891</v>
      </c>
      <c r="L9" s="58"/>
      <c r="M9" s="58"/>
      <c r="N9" s="65"/>
      <c r="O9" s="65"/>
    </row>
    <row r="10" spans="1:15" x14ac:dyDescent="0.2">
      <c r="A10" s="66"/>
      <c r="B10" s="67" t="s">
        <v>119</v>
      </c>
      <c r="C10" s="68"/>
      <c r="D10" s="69"/>
      <c r="E10" s="69"/>
      <c r="F10" s="69"/>
      <c r="G10" s="69">
        <f>'Cash Flows'!G22</f>
        <v>-136153.7899539778</v>
      </c>
      <c r="H10" s="69">
        <f>'Cash Flows'!H22</f>
        <v>-154534.55159776483</v>
      </c>
      <c r="I10" s="69">
        <f>'Cash Flows'!I22</f>
        <v>-175396.71606346307</v>
      </c>
      <c r="J10" s="69">
        <f>'Cash Flows'!J22</f>
        <v>-199075.27273203057</v>
      </c>
      <c r="K10" s="70">
        <f>'Cash Flows'!K22</f>
        <v>-225950.4345508547</v>
      </c>
      <c r="L10" s="58"/>
      <c r="M10" s="58"/>
      <c r="N10" s="65"/>
      <c r="O10" s="65"/>
    </row>
    <row r="11" spans="1:15" x14ac:dyDescent="0.2">
      <c r="A11" s="66"/>
      <c r="B11" s="67" t="s">
        <v>120</v>
      </c>
      <c r="C11" s="68"/>
      <c r="D11" s="71"/>
      <c r="E11" s="71"/>
      <c r="F11" s="71"/>
      <c r="G11" s="71">
        <f>-'Income Statement'!G24</f>
        <v>-127205.99725882307</v>
      </c>
      <c r="H11" s="71">
        <f>-'Income Statement'!H24</f>
        <v>-141001.95046710156</v>
      </c>
      <c r="I11" s="71">
        <f>-'Income Statement'!I24</f>
        <v>-156660.35735849768</v>
      </c>
      <c r="J11" s="71">
        <f>-'Income Statement'!J24</f>
        <v>-174432.64918023217</v>
      </c>
      <c r="K11" s="72">
        <f>-'Income Statement'!K24</f>
        <v>-203648.24312485641</v>
      </c>
      <c r="L11" s="58"/>
      <c r="M11" s="58"/>
      <c r="N11" s="65"/>
      <c r="O11" s="65"/>
    </row>
    <row r="12" spans="1:15" x14ac:dyDescent="0.2">
      <c r="A12" s="66" t="s">
        <v>121</v>
      </c>
      <c r="B12" s="73"/>
      <c r="C12" s="74"/>
      <c r="D12" s="75"/>
      <c r="E12" s="75">
        <f>SUM(E5:E11)</f>
        <v>0</v>
      </c>
      <c r="F12" s="75">
        <f t="shared" ref="F12:K12" si="0">SUM(F5:F11)</f>
        <v>0</v>
      </c>
      <c r="G12" s="75">
        <f t="shared" si="0"/>
        <v>233632.24087593477</v>
      </c>
      <c r="H12" s="75">
        <f t="shared" si="0"/>
        <v>261897.47898685464</v>
      </c>
      <c r="I12" s="75">
        <f t="shared" si="0"/>
        <v>293921.37287642685</v>
      </c>
      <c r="J12" s="75">
        <f t="shared" si="0"/>
        <v>330864.45928331185</v>
      </c>
      <c r="K12" s="76">
        <f t="shared" si="0"/>
        <v>372412.19720219355</v>
      </c>
      <c r="L12" s="58"/>
      <c r="M12" s="58"/>
      <c r="N12" s="77"/>
      <c r="O12" s="77"/>
    </row>
    <row r="13" spans="1:15" x14ac:dyDescent="0.2">
      <c r="A13" s="66" t="s">
        <v>122</v>
      </c>
      <c r="B13" s="73"/>
      <c r="C13" s="68"/>
      <c r="D13" s="68"/>
      <c r="E13" s="68"/>
      <c r="F13" s="68"/>
      <c r="G13" s="69"/>
      <c r="H13" s="69"/>
      <c r="I13" s="69"/>
      <c r="J13" s="69"/>
      <c r="K13" s="70"/>
      <c r="L13" s="58"/>
      <c r="M13" s="58"/>
      <c r="N13" s="65"/>
      <c r="O13" s="65"/>
    </row>
    <row r="14" spans="1:15" x14ac:dyDescent="0.2">
      <c r="A14" s="66"/>
      <c r="B14" s="67" t="s">
        <v>123</v>
      </c>
      <c r="C14" s="68"/>
      <c r="D14" s="68"/>
      <c r="E14" s="68"/>
      <c r="F14" s="78"/>
      <c r="G14" s="69">
        <v>0.7</v>
      </c>
      <c r="H14" s="69">
        <v>0.7</v>
      </c>
      <c r="I14" s="69">
        <v>0.7</v>
      </c>
      <c r="J14" s="69">
        <v>0.7</v>
      </c>
      <c r="K14" s="70">
        <v>0.7</v>
      </c>
      <c r="L14" s="58"/>
      <c r="M14" s="58"/>
      <c r="N14" s="65"/>
      <c r="O14" s="65"/>
    </row>
    <row r="15" spans="1:15" x14ac:dyDescent="0.2">
      <c r="A15" s="66"/>
      <c r="B15" s="67" t="s">
        <v>124</v>
      </c>
      <c r="C15" s="68"/>
      <c r="D15" s="68"/>
      <c r="E15" s="68"/>
      <c r="F15" s="79"/>
      <c r="G15" s="69">
        <f>G12/(1+$L$25)^G14</f>
        <v>217978.22950480186</v>
      </c>
      <c r="H15" s="69">
        <f t="shared" ref="H15:K15" si="1">H12/(1+$L$25)^H14</f>
        <v>244349.61787504712</v>
      </c>
      <c r="I15" s="69">
        <f t="shared" si="1"/>
        <v>274227.82160980237</v>
      </c>
      <c r="J15" s="69">
        <f t="shared" si="1"/>
        <v>308695.61825132824</v>
      </c>
      <c r="K15" s="70">
        <f t="shared" si="1"/>
        <v>347459.54191842437</v>
      </c>
      <c r="L15" s="58"/>
      <c r="M15" s="58"/>
      <c r="N15" s="65"/>
      <c r="O15" s="65"/>
    </row>
    <row r="16" spans="1:15" x14ac:dyDescent="0.2">
      <c r="A16" s="66"/>
      <c r="B16" s="73" t="s">
        <v>125</v>
      </c>
      <c r="C16" s="68"/>
      <c r="D16" s="68"/>
      <c r="E16" s="68"/>
      <c r="F16" s="80">
        <f>SUM(G15:K15)</f>
        <v>1392710.8291594039</v>
      </c>
      <c r="G16" s="75"/>
      <c r="H16" s="69"/>
      <c r="I16" s="69"/>
      <c r="J16" s="69"/>
      <c r="K16" s="70"/>
      <c r="L16" s="58"/>
      <c r="M16" s="58"/>
      <c r="N16" s="65"/>
      <c r="O16" s="65"/>
    </row>
    <row r="17" spans="1:15" x14ac:dyDescent="0.2">
      <c r="A17" s="81"/>
      <c r="B17" s="82" t="s">
        <v>126</v>
      </c>
      <c r="C17" s="83"/>
      <c r="D17" s="83"/>
      <c r="E17" s="83"/>
      <c r="F17" s="84"/>
      <c r="G17" s="71"/>
      <c r="H17" s="71"/>
      <c r="I17" s="71"/>
      <c r="J17" s="71"/>
      <c r="K17" s="72"/>
      <c r="L17" s="58"/>
      <c r="M17" s="58"/>
      <c r="N17" s="65"/>
      <c r="O17" s="65"/>
    </row>
    <row r="18" spans="1:15" x14ac:dyDescent="0.2">
      <c r="A18" s="85"/>
      <c r="B18" s="86" t="s">
        <v>127</v>
      </c>
      <c r="C18" s="87"/>
      <c r="D18" s="87"/>
      <c r="E18" s="87"/>
      <c r="F18" s="88"/>
      <c r="G18" s="89"/>
      <c r="H18" s="89"/>
      <c r="I18" s="89"/>
      <c r="J18" s="86" t="s">
        <v>151</v>
      </c>
      <c r="K18" s="90"/>
      <c r="L18" s="91"/>
      <c r="M18" s="91"/>
      <c r="N18" s="91"/>
      <c r="O18" s="92"/>
    </row>
    <row r="19" spans="1:15" ht="13.5" thickBot="1" x14ac:dyDescent="0.25">
      <c r="A19" s="85"/>
      <c r="B19" s="93"/>
      <c r="C19" s="94" t="s">
        <v>128</v>
      </c>
      <c r="D19" s="68"/>
      <c r="E19" s="68"/>
      <c r="F19" s="70">
        <f>K5+K6</f>
        <v>818212.52812072227</v>
      </c>
      <c r="G19" s="95"/>
      <c r="H19" s="89"/>
      <c r="I19" s="95"/>
      <c r="J19" s="96" t="s">
        <v>129</v>
      </c>
      <c r="K19" s="68"/>
      <c r="L19" s="97">
        <v>1.7000000000000001E-2</v>
      </c>
      <c r="M19" s="98" t="s">
        <v>149</v>
      </c>
      <c r="N19" s="68"/>
      <c r="O19" s="99">
        <v>0</v>
      </c>
    </row>
    <row r="20" spans="1:15" ht="13.5" thickBot="1" x14ac:dyDescent="0.25">
      <c r="A20" s="85"/>
      <c r="B20" s="93"/>
      <c r="C20" s="94" t="s">
        <v>130</v>
      </c>
      <c r="D20" s="68"/>
      <c r="E20" s="68"/>
      <c r="F20" s="100">
        <f>O22/(F19*1000)</f>
        <v>10.906665069644744</v>
      </c>
      <c r="G20" s="89"/>
      <c r="H20" s="89"/>
      <c r="I20" s="95"/>
      <c r="J20" s="96" t="s">
        <v>131</v>
      </c>
      <c r="K20" s="68"/>
      <c r="L20" s="97">
        <v>5.8099999999999999E-2</v>
      </c>
      <c r="M20" s="96" t="s">
        <v>132</v>
      </c>
      <c r="N20" s="68"/>
      <c r="O20" s="101">
        <v>62</v>
      </c>
    </row>
    <row r="21" spans="1:15" x14ac:dyDescent="0.2">
      <c r="A21" s="85"/>
      <c r="B21" s="93"/>
      <c r="C21" s="94" t="s">
        <v>126</v>
      </c>
      <c r="D21" s="68"/>
      <c r="E21" s="68"/>
      <c r="F21" s="102">
        <f>F20*F19</f>
        <v>8923970</v>
      </c>
      <c r="G21" s="89"/>
      <c r="H21" s="89"/>
      <c r="I21" s="95"/>
      <c r="J21" s="96" t="s">
        <v>133</v>
      </c>
      <c r="K21" s="68"/>
      <c r="L21" s="103">
        <v>1.5</v>
      </c>
      <c r="M21" s="96" t="s">
        <v>134</v>
      </c>
      <c r="N21" s="68"/>
      <c r="O21" s="202">
        <f>'Income Statement'!F36*1000</f>
        <v>143935000</v>
      </c>
    </row>
    <row r="22" spans="1:15" x14ac:dyDescent="0.2">
      <c r="A22" s="85"/>
      <c r="B22" s="104"/>
      <c r="C22" s="105" t="s">
        <v>135</v>
      </c>
      <c r="D22" s="83"/>
      <c r="E22" s="83"/>
      <c r="F22" s="106">
        <f>F21/(1+L25)^K14</f>
        <v>8326039.1350992462</v>
      </c>
      <c r="G22" s="107"/>
      <c r="H22" s="89"/>
      <c r="I22" s="95"/>
      <c r="J22" s="98" t="s">
        <v>136</v>
      </c>
      <c r="K22" s="68"/>
      <c r="L22" s="97">
        <v>1</v>
      </c>
      <c r="M22" s="98" t="s">
        <v>137</v>
      </c>
      <c r="N22" s="68"/>
      <c r="O22" s="108">
        <f>O20*O21</f>
        <v>8923970000</v>
      </c>
    </row>
    <row r="23" spans="1:15" x14ac:dyDescent="0.2">
      <c r="A23" s="109"/>
      <c r="B23" s="110" t="s">
        <v>138</v>
      </c>
      <c r="C23" s="111"/>
      <c r="D23" s="111"/>
      <c r="E23" s="111"/>
      <c r="F23" s="112"/>
      <c r="G23" s="89"/>
      <c r="H23" s="89"/>
      <c r="I23" s="95"/>
      <c r="J23" s="98" t="s">
        <v>139</v>
      </c>
      <c r="K23" s="68"/>
      <c r="L23" s="113"/>
      <c r="M23" s="93"/>
      <c r="N23" s="68"/>
      <c r="O23" s="114"/>
    </row>
    <row r="24" spans="1:15" ht="13.5" thickBot="1" x14ac:dyDescent="0.25">
      <c r="A24" s="109"/>
      <c r="B24" s="115"/>
      <c r="C24" s="116" t="s">
        <v>115</v>
      </c>
      <c r="D24" s="62"/>
      <c r="E24" s="62"/>
      <c r="F24" s="64">
        <f>K12*(1+F25)</f>
        <v>398481.05100634712</v>
      </c>
      <c r="G24" s="95"/>
      <c r="H24" s="89"/>
      <c r="I24" s="95"/>
      <c r="J24" s="93"/>
      <c r="K24" s="95"/>
      <c r="L24" s="95"/>
      <c r="M24" s="93"/>
      <c r="N24" s="68"/>
      <c r="O24" s="114"/>
    </row>
    <row r="25" spans="1:15" ht="13.5" thickBot="1" x14ac:dyDescent="0.25">
      <c r="A25" s="109"/>
      <c r="B25" s="93"/>
      <c r="C25" s="94" t="s">
        <v>140</v>
      </c>
      <c r="D25" s="68"/>
      <c r="E25" s="68"/>
      <c r="F25" s="117">
        <v>7.0000000000000007E-2</v>
      </c>
      <c r="G25" s="89"/>
      <c r="H25" s="89"/>
      <c r="I25" s="95"/>
      <c r="J25" s="118" t="s">
        <v>141</v>
      </c>
      <c r="K25" s="83"/>
      <c r="L25" s="119">
        <f>L19+L21*L20</f>
        <v>0.10415000000000001</v>
      </c>
      <c r="M25" s="104"/>
      <c r="N25" s="83"/>
      <c r="O25" s="120"/>
    </row>
    <row r="26" spans="1:15" x14ac:dyDescent="0.2">
      <c r="A26" s="109"/>
      <c r="B26" s="93"/>
      <c r="C26" s="94" t="s">
        <v>126</v>
      </c>
      <c r="D26" s="68"/>
      <c r="E26" s="68"/>
      <c r="F26" s="121">
        <f>F24/(L25-F25)</f>
        <v>11668552.006042376</v>
      </c>
      <c r="G26" s="122"/>
      <c r="H26" s="89"/>
      <c r="I26" s="95"/>
      <c r="J26" s="123"/>
      <c r="K26" s="123"/>
      <c r="L26" s="123"/>
      <c r="M26" s="123"/>
      <c r="N26" s="123"/>
      <c r="O26" s="123"/>
    </row>
    <row r="27" spans="1:15" x14ac:dyDescent="0.2">
      <c r="A27" s="109"/>
      <c r="B27" s="104"/>
      <c r="C27" s="105" t="s">
        <v>135</v>
      </c>
      <c r="D27" s="83"/>
      <c r="E27" s="83"/>
      <c r="F27" s="124">
        <f>F26/(1+L25)^5</f>
        <v>7110114.2978280531</v>
      </c>
      <c r="G27" s="107"/>
      <c r="H27" s="89"/>
      <c r="I27" s="95"/>
      <c r="J27" s="123"/>
      <c r="K27" s="123"/>
      <c r="L27" s="123"/>
      <c r="M27" s="123"/>
      <c r="N27" s="123"/>
      <c r="O27" s="123"/>
    </row>
    <row r="28" spans="1:15" x14ac:dyDescent="0.2">
      <c r="A28" s="95"/>
      <c r="B28" s="110" t="s">
        <v>142</v>
      </c>
      <c r="C28" s="111"/>
      <c r="D28" s="111"/>
      <c r="E28" s="125" t="s">
        <v>143</v>
      </c>
      <c r="F28" s="126" t="s">
        <v>138</v>
      </c>
      <c r="G28" s="89"/>
      <c r="H28" s="89"/>
      <c r="I28" s="95"/>
      <c r="J28" s="123"/>
      <c r="K28" s="123"/>
      <c r="L28" s="123"/>
      <c r="M28" s="123"/>
      <c r="N28" s="123"/>
      <c r="O28" s="123"/>
    </row>
    <row r="29" spans="1:15" x14ac:dyDescent="0.2">
      <c r="A29" s="95"/>
      <c r="B29" s="127" t="s">
        <v>144</v>
      </c>
      <c r="C29" s="68"/>
      <c r="D29" s="68"/>
      <c r="E29" s="69">
        <f>F16</f>
        <v>1392710.8291594039</v>
      </c>
      <c r="F29" s="70">
        <f>F16</f>
        <v>1392710.8291594039</v>
      </c>
      <c r="G29" s="65"/>
      <c r="H29" s="65"/>
      <c r="I29" s="65"/>
      <c r="J29" s="65"/>
      <c r="K29" s="65"/>
      <c r="L29" s="65"/>
      <c r="M29" s="65"/>
      <c r="N29" s="65"/>
      <c r="O29" s="65"/>
    </row>
    <row r="30" spans="1:15" x14ac:dyDescent="0.2">
      <c r="A30" s="95"/>
      <c r="B30" s="127" t="s">
        <v>145</v>
      </c>
      <c r="C30" s="68"/>
      <c r="D30" s="68"/>
      <c r="E30" s="128">
        <f>F22</f>
        <v>8326039.1350992462</v>
      </c>
      <c r="F30" s="70">
        <f>F27</f>
        <v>7110114.2978280531</v>
      </c>
      <c r="G30" s="65"/>
      <c r="H30" s="65"/>
      <c r="I30" s="65"/>
      <c r="J30" s="65"/>
      <c r="K30" s="65"/>
      <c r="L30" s="65"/>
      <c r="M30" s="65"/>
      <c r="N30" s="129"/>
      <c r="O30" s="129"/>
    </row>
    <row r="31" spans="1:15" x14ac:dyDescent="0.2">
      <c r="A31" s="95"/>
      <c r="B31" s="66" t="s">
        <v>146</v>
      </c>
      <c r="C31" s="68"/>
      <c r="D31" s="68"/>
      <c r="E31" s="75">
        <f>SUM(E29:E30)</f>
        <v>9718749.9642586503</v>
      </c>
      <c r="F31" s="76">
        <f>SUM(F29:F30)</f>
        <v>8502825.1269874573</v>
      </c>
      <c r="G31" s="65"/>
      <c r="H31" s="65"/>
      <c r="I31" s="65"/>
      <c r="J31" s="65"/>
      <c r="K31" s="65"/>
      <c r="L31" s="65"/>
      <c r="M31" s="65"/>
      <c r="N31" s="65"/>
      <c r="O31" s="65"/>
    </row>
    <row r="32" spans="1:15" x14ac:dyDescent="0.2">
      <c r="A32" s="95"/>
      <c r="B32" s="127" t="s">
        <v>147</v>
      </c>
      <c r="C32" s="68"/>
      <c r="D32" s="68"/>
      <c r="E32" s="69">
        <v>0</v>
      </c>
      <c r="F32" s="70">
        <v>0</v>
      </c>
      <c r="G32" s="65"/>
      <c r="H32" s="65"/>
      <c r="I32" s="65"/>
      <c r="J32" s="65"/>
      <c r="K32" s="65"/>
      <c r="L32" s="65"/>
      <c r="M32" s="65"/>
      <c r="N32" s="65"/>
      <c r="O32" s="65"/>
    </row>
    <row r="33" spans="1:15" x14ac:dyDescent="0.2">
      <c r="A33" s="95"/>
      <c r="B33" s="66" t="s">
        <v>137</v>
      </c>
      <c r="C33" s="74"/>
      <c r="D33" s="74"/>
      <c r="E33" s="75">
        <f>E31-E32</f>
        <v>9718749.9642586503</v>
      </c>
      <c r="F33" s="76">
        <f>F31-F32</f>
        <v>8502825.1269874573</v>
      </c>
      <c r="G33" s="65"/>
      <c r="H33" s="65"/>
      <c r="I33" s="65"/>
      <c r="J33" s="65"/>
      <c r="K33" s="65"/>
      <c r="L33" s="65"/>
      <c r="M33" s="65"/>
      <c r="N33" s="65"/>
      <c r="O33" s="65"/>
    </row>
    <row r="34" spans="1:15" x14ac:dyDescent="0.2">
      <c r="A34" s="95"/>
      <c r="B34" s="127" t="s">
        <v>152</v>
      </c>
      <c r="C34" s="68"/>
      <c r="D34" s="68"/>
      <c r="E34" s="69">
        <f>O21</f>
        <v>143935000</v>
      </c>
      <c r="F34" s="70">
        <f>O21</f>
        <v>143935000</v>
      </c>
      <c r="G34" s="65"/>
      <c r="H34" s="65"/>
      <c r="I34" s="65"/>
      <c r="J34" s="65"/>
      <c r="K34" s="65"/>
      <c r="L34" s="65"/>
      <c r="M34" s="65"/>
      <c r="N34" s="130"/>
      <c r="O34" s="130"/>
    </row>
    <row r="35" spans="1:15" x14ac:dyDescent="0.2">
      <c r="A35" s="65"/>
      <c r="B35" s="81" t="s">
        <v>148</v>
      </c>
      <c r="C35" s="131"/>
      <c r="D35" s="131"/>
      <c r="E35" s="132">
        <f>(E33*1000)/E34</f>
        <v>67.521797785518814</v>
      </c>
      <c r="F35" s="133">
        <f>(F33*1000)/F34</f>
        <v>59.074062090439831</v>
      </c>
      <c r="G35" s="65"/>
      <c r="H35" s="65"/>
      <c r="I35" s="65"/>
      <c r="J35" s="65"/>
      <c r="K35" s="65"/>
      <c r="L35" s="65"/>
      <c r="M35" s="65"/>
      <c r="N35" s="65"/>
      <c r="O35" s="6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of Assumptions</vt:lpstr>
      <vt:lpstr>Income Statement</vt:lpstr>
      <vt:lpstr>Cash Flows</vt:lpstr>
      <vt:lpstr>Balance Sheet</vt:lpstr>
      <vt:lpstr>Depreciation</vt:lpstr>
      <vt:lpstr>Working Capital</vt:lpstr>
      <vt:lpstr>Valuation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 Fights</dc:creator>
  <cp:lastModifiedBy>Bro Fights</cp:lastModifiedBy>
  <dcterms:created xsi:type="dcterms:W3CDTF">2015-07-24T18:07:31Z</dcterms:created>
  <dcterms:modified xsi:type="dcterms:W3CDTF">2015-08-10T06:32:12Z</dcterms:modified>
</cp:coreProperties>
</file>