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491441\Desktop\Data Science Bootcamp\"/>
    </mc:Choice>
  </mc:AlternateContent>
  <xr:revisionPtr revIDLastSave="0" documentId="8_{9EC7493A-2073-4081-A9A4-4E5167E81E70}" xr6:coauthVersionLast="41" xr6:coauthVersionMax="41" xr10:uidLastSave="{00000000-0000-0000-0000-000000000000}"/>
  <bookViews>
    <workbookView xWindow="-120" yWindow="-120" windowWidth="24240" windowHeight="13140" firstSheet="2" activeTab="8" xr2:uid="{00000000-000D-0000-FFFF-FFFF00000000}"/>
  </bookViews>
  <sheets>
    <sheet name="Calculation" sheetId="1" r:id="rId1"/>
    <sheet name="Descriptive Stats" sheetId="5" r:id="rId2"/>
    <sheet name="Normality Test" sheetId="6" r:id="rId3"/>
    <sheet name="Test of Proportions" sheetId="7" r:id="rId4"/>
    <sheet name="Sample Size" sheetId="9" r:id="rId5"/>
    <sheet name="Sample_Size Calculator1" sheetId="8" r:id="rId6"/>
    <sheet name="T_Z Test" sheetId="10" r:id="rId7"/>
    <sheet name="ANOVA" sheetId="11" r:id="rId8"/>
    <sheet name="ChiSq" sheetId="14" r:id="rId9"/>
  </sheets>
  <calcPr calcId="191029"/>
  <pivotCaches>
    <pivotCache cacheId="2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4" l="1"/>
  <c r="E12" i="14" s="1"/>
  <c r="C82" i="11"/>
  <c r="C3" i="11"/>
  <c r="C63" i="11"/>
  <c r="C26" i="11"/>
  <c r="C4" i="11"/>
  <c r="C5" i="11"/>
  <c r="C83" i="11"/>
  <c r="C27" i="11"/>
  <c r="C6" i="11"/>
  <c r="C84" i="11"/>
  <c r="C28" i="11"/>
  <c r="C85" i="11"/>
  <c r="C29" i="11"/>
  <c r="C64" i="11"/>
  <c r="C30" i="11"/>
  <c r="C31" i="11"/>
  <c r="C86" i="11"/>
  <c r="C32" i="11"/>
  <c r="C33" i="11"/>
  <c r="C7" i="11"/>
  <c r="C87" i="11"/>
  <c r="C8" i="11"/>
  <c r="C34" i="11"/>
  <c r="C35" i="11"/>
  <c r="C9" i="11"/>
  <c r="C36" i="11"/>
  <c r="C37" i="11"/>
  <c r="C38" i="11"/>
  <c r="C39" i="11"/>
  <c r="C65" i="11"/>
  <c r="C66" i="11"/>
  <c r="C88" i="11"/>
  <c r="C40" i="11"/>
  <c r="C41" i="11"/>
  <c r="C89" i="11"/>
  <c r="C42" i="11"/>
  <c r="C67" i="11"/>
  <c r="C10" i="11"/>
  <c r="C11" i="11"/>
  <c r="C43" i="11"/>
  <c r="C68" i="11"/>
  <c r="C90" i="11"/>
  <c r="C44" i="11"/>
  <c r="C91" i="11"/>
  <c r="C69" i="11"/>
  <c r="C70" i="11"/>
  <c r="C92" i="11"/>
  <c r="C12" i="11"/>
  <c r="C13" i="11"/>
  <c r="C14" i="11"/>
  <c r="C45" i="11"/>
  <c r="C46" i="11"/>
  <c r="C15" i="11"/>
  <c r="C93" i="11"/>
  <c r="C47" i="11"/>
  <c r="C48" i="11"/>
  <c r="C49" i="11"/>
  <c r="C50" i="11"/>
  <c r="C16" i="11"/>
  <c r="C71" i="11"/>
  <c r="C72" i="11"/>
  <c r="C17" i="11"/>
  <c r="C73" i="11"/>
  <c r="C18" i="11"/>
  <c r="C94" i="11"/>
  <c r="C51" i="11"/>
  <c r="C52" i="11"/>
  <c r="C95" i="11"/>
  <c r="C96" i="11"/>
  <c r="C53" i="11"/>
  <c r="C74" i="11"/>
  <c r="C19" i="11"/>
  <c r="C54" i="11"/>
  <c r="C55" i="11"/>
  <c r="C56" i="11"/>
  <c r="C97" i="11"/>
  <c r="C20" i="11"/>
  <c r="C75" i="11"/>
  <c r="C57" i="11"/>
  <c r="C76" i="11"/>
  <c r="C58" i="11"/>
  <c r="C21" i="11"/>
  <c r="C59" i="11"/>
  <c r="C77" i="11"/>
  <c r="C22" i="11"/>
  <c r="C60" i="11"/>
  <c r="C98" i="11"/>
  <c r="C78" i="11"/>
  <c r="C79" i="11"/>
  <c r="C80" i="11"/>
  <c r="C23" i="11"/>
  <c r="C99" i="11"/>
  <c r="C24" i="11"/>
  <c r="C61" i="11"/>
  <c r="C62" i="11"/>
  <c r="C100" i="11"/>
  <c r="C81" i="11"/>
  <c r="C101" i="11"/>
  <c r="C25" i="11"/>
  <c r="C2" i="11"/>
  <c r="C102" i="11" s="1"/>
  <c r="L21" i="1"/>
  <c r="H6" i="11" l="1"/>
  <c r="H7" i="11"/>
  <c r="H8" i="11"/>
  <c r="H9" i="11"/>
  <c r="H5" i="11"/>
  <c r="E9" i="10" l="1"/>
  <c r="D6" i="10"/>
  <c r="D5" i="10"/>
  <c r="D4" i="10"/>
  <c r="D3" i="10"/>
  <c r="D8" i="10" l="1"/>
  <c r="F9" i="10" s="1"/>
  <c r="C3" i="9"/>
  <c r="C6" i="9"/>
  <c r="C5" i="9"/>
  <c r="J4" i="9"/>
  <c r="J5" i="9"/>
  <c r="C4" i="9" s="1"/>
  <c r="J3" i="9"/>
  <c r="P3" i="8"/>
  <c r="P4" i="8"/>
  <c r="B5" i="8"/>
  <c r="B6" i="8"/>
  <c r="P2" i="8" s="1"/>
  <c r="B7" i="8"/>
  <c r="P11" i="8" s="1"/>
  <c r="F6" i="7"/>
  <c r="G6" i="7" s="1"/>
  <c r="H6" i="7" s="1"/>
  <c r="J6" i="7"/>
  <c r="K6" i="7" s="1"/>
  <c r="F7" i="7"/>
  <c r="G7" i="7" s="1"/>
  <c r="H7" i="7" s="1"/>
  <c r="J7" i="7"/>
  <c r="L7" i="7" s="1"/>
  <c r="K7" i="7"/>
  <c r="F8" i="7"/>
  <c r="G8" i="7" s="1"/>
  <c r="H8" i="7" s="1"/>
  <c r="J8" i="7"/>
  <c r="M8" i="7" s="1"/>
  <c r="K8" i="7"/>
  <c r="L8" i="7"/>
  <c r="F9" i="7"/>
  <c r="G9" i="7"/>
  <c r="H9" i="7"/>
  <c r="J9" i="7"/>
  <c r="K9" i="7" s="1"/>
  <c r="F13" i="7"/>
  <c r="G13" i="7" s="1"/>
  <c r="H13" i="7" s="1"/>
  <c r="J13" i="7"/>
  <c r="K13" i="7" s="1"/>
  <c r="F14" i="7"/>
  <c r="G14" i="7" s="1"/>
  <c r="H14" i="7" s="1"/>
  <c r="J14" i="7"/>
  <c r="L14" i="7" s="1"/>
  <c r="K14" i="7"/>
  <c r="F15" i="7"/>
  <c r="G15" i="7"/>
  <c r="H15" i="7" s="1"/>
  <c r="J15" i="7"/>
  <c r="M15" i="7" s="1"/>
  <c r="L15" i="7"/>
  <c r="F16" i="7"/>
  <c r="G16" i="7" s="1"/>
  <c r="H16" i="7" s="1"/>
  <c r="J16" i="7"/>
  <c r="L16" i="7" s="1"/>
  <c r="K16" i="7"/>
  <c r="F20" i="7"/>
  <c r="G20" i="7"/>
  <c r="H20" i="7" s="1"/>
  <c r="J20" i="7"/>
  <c r="K20" i="7" s="1"/>
  <c r="F21" i="7"/>
  <c r="G21" i="7" s="1"/>
  <c r="H21" i="7" s="1"/>
  <c r="J21" i="7"/>
  <c r="L21" i="7" s="1"/>
  <c r="F22" i="7"/>
  <c r="G22" i="7"/>
  <c r="H22" i="7" s="1"/>
  <c r="J22" i="7"/>
  <c r="M22" i="7" s="1"/>
  <c r="F23" i="7"/>
  <c r="G23" i="7"/>
  <c r="H23" i="7" s="1"/>
  <c r="J23" i="7"/>
  <c r="M23" i="7" s="1"/>
  <c r="K23" i="7"/>
  <c r="L23" i="7"/>
  <c r="F27" i="7"/>
  <c r="G27" i="7"/>
  <c r="H27" i="7"/>
  <c r="J27" i="7"/>
  <c r="K27" i="7" s="1"/>
  <c r="F28" i="7"/>
  <c r="G28" i="7" s="1"/>
  <c r="H28" i="7" s="1"/>
  <c r="J28" i="7"/>
  <c r="L28" i="7" s="1"/>
  <c r="K28" i="7"/>
  <c r="F29" i="7"/>
  <c r="G29" i="7"/>
  <c r="H29" i="7" s="1"/>
  <c r="J29" i="7"/>
  <c r="M29" i="7" s="1"/>
  <c r="K29" i="7"/>
  <c r="F30" i="7"/>
  <c r="G30" i="7"/>
  <c r="H30" i="7"/>
  <c r="J30" i="7"/>
  <c r="K30" i="7"/>
  <c r="L30" i="7"/>
  <c r="M30" i="7"/>
  <c r="F34" i="7"/>
  <c r="G34" i="7"/>
  <c r="H34" i="7"/>
  <c r="J34" i="7"/>
  <c r="K34" i="7" s="1"/>
  <c r="F35" i="7"/>
  <c r="G35" i="7" s="1"/>
  <c r="H35" i="7" s="1"/>
  <c r="J35" i="7"/>
  <c r="L35" i="7" s="1"/>
  <c r="K35" i="7"/>
  <c r="F36" i="7"/>
  <c r="G36" i="7" s="1"/>
  <c r="H36" i="7" s="1"/>
  <c r="J36" i="7"/>
  <c r="M36" i="7" s="1"/>
  <c r="K36" i="7"/>
  <c r="L36" i="7"/>
  <c r="F37" i="7"/>
  <c r="G37" i="7"/>
  <c r="H37" i="7"/>
  <c r="J37" i="7"/>
  <c r="K37" i="7" s="1"/>
  <c r="F41" i="7"/>
  <c r="G41" i="7" s="1"/>
  <c r="H41" i="7" s="1"/>
  <c r="J41" i="7"/>
  <c r="K41" i="7" s="1"/>
  <c r="F42" i="7"/>
  <c r="G42" i="7" s="1"/>
  <c r="H42" i="7" s="1"/>
  <c r="J42" i="7"/>
  <c r="L42" i="7" s="1"/>
  <c r="K42" i="7"/>
  <c r="F43" i="7"/>
  <c r="G43" i="7"/>
  <c r="H43" i="7" s="1"/>
  <c r="J43" i="7"/>
  <c r="M43" i="7" s="1"/>
  <c r="K43" i="7"/>
  <c r="L43" i="7"/>
  <c r="F44" i="7"/>
  <c r="G44" i="7" s="1"/>
  <c r="H44" i="7" s="1"/>
  <c r="J44" i="7"/>
  <c r="L44" i="7" s="1"/>
  <c r="K44" i="7"/>
  <c r="F48" i="7"/>
  <c r="G48" i="7"/>
  <c r="H48" i="7" s="1"/>
  <c r="J48" i="7"/>
  <c r="K48" i="7" s="1"/>
  <c r="F49" i="7"/>
  <c r="G49" i="7" s="1"/>
  <c r="H49" i="7" s="1"/>
  <c r="J49" i="7"/>
  <c r="L49" i="7" s="1"/>
  <c r="F50" i="7"/>
  <c r="G50" i="7"/>
  <c r="H50" i="7" s="1"/>
  <c r="J50" i="7"/>
  <c r="M50" i="7" s="1"/>
  <c r="F51" i="7"/>
  <c r="G51" i="7"/>
  <c r="H51" i="7" s="1"/>
  <c r="J51" i="7"/>
  <c r="M51" i="7" s="1"/>
  <c r="K51" i="7"/>
  <c r="L51" i="7"/>
  <c r="M37" i="7" l="1"/>
  <c r="M9" i="7"/>
  <c r="L50" i="7"/>
  <c r="M44" i="7"/>
  <c r="L37" i="7"/>
  <c r="L22" i="7"/>
  <c r="M16" i="7"/>
  <c r="K15" i="7"/>
  <c r="L9" i="7"/>
  <c r="K50" i="7"/>
  <c r="K49" i="7"/>
  <c r="L29" i="7"/>
  <c r="K22" i="7"/>
  <c r="K21" i="7"/>
  <c r="P10" i="8"/>
  <c r="P12" i="8"/>
  <c r="B9" i="8" s="1"/>
  <c r="P5" i="8"/>
  <c r="P6" i="8" s="1"/>
  <c r="P8" i="8" s="1"/>
  <c r="B8" i="9"/>
  <c r="B11" i="9" s="1"/>
  <c r="B14" i="9" s="1"/>
  <c r="M48" i="7"/>
  <c r="M41" i="7"/>
  <c r="M34" i="7"/>
  <c r="M27" i="7"/>
  <c r="M20" i="7"/>
  <c r="M13" i="7"/>
  <c r="M6" i="7"/>
  <c r="M49" i="7"/>
  <c r="L48" i="7"/>
  <c r="M42" i="7"/>
  <c r="L41" i="7"/>
  <c r="M35" i="7"/>
  <c r="L34" i="7"/>
  <c r="M28" i="7"/>
  <c r="L27" i="7"/>
  <c r="M21" i="7"/>
  <c r="L20" i="7"/>
  <c r="M14" i="7"/>
  <c r="L13" i="7"/>
  <c r="M7" i="7"/>
  <c r="L6" i="7"/>
  <c r="F2" i="6"/>
  <c r="G2" i="6" s="1"/>
  <c r="B3" i="6"/>
  <c r="B4" i="6"/>
  <c r="B5" i="6"/>
  <c r="L2" i="6" s="1"/>
  <c r="F142" i="6"/>
  <c r="G142" i="6"/>
  <c r="F143" i="6"/>
  <c r="L143" i="6" s="1"/>
  <c r="G143" i="6"/>
  <c r="H143" i="6" s="1"/>
  <c r="F144" i="6"/>
  <c r="G144" i="6"/>
  <c r="H144" i="6"/>
  <c r="I144" i="6"/>
  <c r="J144" i="6"/>
  <c r="K144" i="6"/>
  <c r="L144" i="6"/>
  <c r="F145" i="6"/>
  <c r="G145" i="6"/>
  <c r="H145" i="6"/>
  <c r="I145" i="6"/>
  <c r="J145" i="6"/>
  <c r="K145" i="6"/>
  <c r="L145" i="6"/>
  <c r="F146" i="6"/>
  <c r="G146" i="6"/>
  <c r="H146" i="6"/>
  <c r="I146" i="6"/>
  <c r="J146" i="6"/>
  <c r="K146" i="6"/>
  <c r="L146" i="6"/>
  <c r="F147" i="6"/>
  <c r="G147" i="6"/>
  <c r="H147" i="6"/>
  <c r="I147" i="6"/>
  <c r="J147" i="6"/>
  <c r="K147" i="6"/>
  <c r="L147" i="6"/>
  <c r="F148" i="6"/>
  <c r="G148" i="6"/>
  <c r="H148" i="6"/>
  <c r="I148" i="6"/>
  <c r="J148" i="6"/>
  <c r="K148" i="6"/>
  <c r="L148" i="6"/>
  <c r="F149" i="6"/>
  <c r="G149" i="6"/>
  <c r="H149" i="6"/>
  <c r="I149" i="6"/>
  <c r="J149" i="6"/>
  <c r="K149" i="6"/>
  <c r="L149" i="6"/>
  <c r="F150" i="6"/>
  <c r="G150" i="6"/>
  <c r="H150" i="6"/>
  <c r="I150" i="6"/>
  <c r="J150" i="6"/>
  <c r="K150" i="6"/>
  <c r="L150" i="6"/>
  <c r="F151" i="6"/>
  <c r="G151" i="6"/>
  <c r="H151" i="6"/>
  <c r="I151" i="6"/>
  <c r="J151" i="6"/>
  <c r="K151" i="6"/>
  <c r="L151" i="6"/>
  <c r="F152" i="6"/>
  <c r="G152" i="6"/>
  <c r="H152" i="6"/>
  <c r="I152" i="6"/>
  <c r="J152" i="6"/>
  <c r="K152" i="6"/>
  <c r="L152" i="6"/>
  <c r="F153" i="6"/>
  <c r="G153" i="6"/>
  <c r="H153" i="6"/>
  <c r="I153" i="6"/>
  <c r="J153" i="6"/>
  <c r="K153" i="6"/>
  <c r="L153" i="6"/>
  <c r="F154" i="6"/>
  <c r="G154" i="6"/>
  <c r="H154" i="6"/>
  <c r="I154" i="6"/>
  <c r="J154" i="6"/>
  <c r="K154" i="6"/>
  <c r="L154" i="6"/>
  <c r="F155" i="6"/>
  <c r="G155" i="6"/>
  <c r="H155" i="6"/>
  <c r="I155" i="6"/>
  <c r="J155" i="6"/>
  <c r="K155" i="6"/>
  <c r="L155" i="6"/>
  <c r="F156" i="6"/>
  <c r="G156" i="6"/>
  <c r="H156" i="6"/>
  <c r="I156" i="6"/>
  <c r="J156" i="6"/>
  <c r="K156" i="6"/>
  <c r="L156" i="6"/>
  <c r="F157" i="6"/>
  <c r="G157" i="6"/>
  <c r="H157" i="6"/>
  <c r="I157" i="6"/>
  <c r="J157" i="6"/>
  <c r="K157" i="6"/>
  <c r="L157" i="6"/>
  <c r="F158" i="6"/>
  <c r="G158" i="6"/>
  <c r="H158" i="6"/>
  <c r="I158" i="6"/>
  <c r="J158" i="6"/>
  <c r="K158" i="6"/>
  <c r="L158" i="6"/>
  <c r="F159" i="6"/>
  <c r="G159" i="6"/>
  <c r="H159" i="6"/>
  <c r="I159" i="6"/>
  <c r="J159" i="6"/>
  <c r="K159" i="6"/>
  <c r="L159" i="6"/>
  <c r="F160" i="6"/>
  <c r="G160" i="6"/>
  <c r="H160" i="6"/>
  <c r="I160" i="6"/>
  <c r="J160" i="6"/>
  <c r="K160" i="6"/>
  <c r="L160" i="6"/>
  <c r="F161" i="6"/>
  <c r="G161" i="6"/>
  <c r="H161" i="6"/>
  <c r="I161" i="6"/>
  <c r="J161" i="6"/>
  <c r="K161" i="6"/>
  <c r="L161" i="6"/>
  <c r="F162" i="6"/>
  <c r="G162" i="6"/>
  <c r="H162" i="6"/>
  <c r="I162" i="6"/>
  <c r="J162" i="6"/>
  <c r="K162" i="6"/>
  <c r="L162" i="6"/>
  <c r="F163" i="6"/>
  <c r="G163" i="6"/>
  <c r="H163" i="6"/>
  <c r="I163" i="6"/>
  <c r="J163" i="6"/>
  <c r="K163" i="6"/>
  <c r="L163" i="6"/>
  <c r="F164" i="6"/>
  <c r="G164" i="6"/>
  <c r="H164" i="6"/>
  <c r="I164" i="6"/>
  <c r="J164" i="6"/>
  <c r="K164" i="6"/>
  <c r="L164" i="6"/>
  <c r="F165" i="6"/>
  <c r="G165" i="6"/>
  <c r="H165" i="6"/>
  <c r="I165" i="6"/>
  <c r="J165" i="6"/>
  <c r="K165" i="6"/>
  <c r="L165" i="6"/>
  <c r="F166" i="6"/>
  <c r="G166" i="6"/>
  <c r="H166" i="6"/>
  <c r="I166" i="6"/>
  <c r="J166" i="6"/>
  <c r="K166" i="6"/>
  <c r="L166" i="6"/>
  <c r="F167" i="6"/>
  <c r="G167" i="6"/>
  <c r="H167" i="6"/>
  <c r="I167" i="6"/>
  <c r="J167" i="6"/>
  <c r="K167" i="6"/>
  <c r="L167" i="6"/>
  <c r="F168" i="6"/>
  <c r="G168" i="6"/>
  <c r="H168" i="6"/>
  <c r="I168" i="6"/>
  <c r="J168" i="6"/>
  <c r="K168" i="6"/>
  <c r="L168" i="6"/>
  <c r="F169" i="6"/>
  <c r="G169" i="6"/>
  <c r="H169" i="6"/>
  <c r="I169" i="6"/>
  <c r="J169" i="6"/>
  <c r="K169" i="6"/>
  <c r="L169" i="6"/>
  <c r="F170" i="6"/>
  <c r="G170" i="6"/>
  <c r="H170" i="6"/>
  <c r="I170" i="6"/>
  <c r="J170" i="6"/>
  <c r="K170" i="6"/>
  <c r="L170" i="6"/>
  <c r="F171" i="6"/>
  <c r="G171" i="6"/>
  <c r="H171" i="6"/>
  <c r="I171" i="6"/>
  <c r="J171" i="6"/>
  <c r="K171" i="6"/>
  <c r="L171" i="6"/>
  <c r="F172" i="6"/>
  <c r="G172" i="6"/>
  <c r="H172" i="6"/>
  <c r="I172" i="6"/>
  <c r="J172" i="6"/>
  <c r="K172" i="6"/>
  <c r="L172" i="6"/>
  <c r="F173" i="6"/>
  <c r="G173" i="6"/>
  <c r="H173" i="6"/>
  <c r="I173" i="6"/>
  <c r="J173" i="6"/>
  <c r="K173" i="6"/>
  <c r="L173" i="6"/>
  <c r="F174" i="6"/>
  <c r="G174" i="6"/>
  <c r="H174" i="6"/>
  <c r="I174" i="6"/>
  <c r="J174" i="6"/>
  <c r="K174" i="6"/>
  <c r="L174" i="6"/>
  <c r="F175" i="6"/>
  <c r="G175" i="6"/>
  <c r="H175" i="6"/>
  <c r="I175" i="6"/>
  <c r="J175" i="6"/>
  <c r="K175" i="6"/>
  <c r="L175" i="6"/>
  <c r="F176" i="6"/>
  <c r="G176" i="6"/>
  <c r="H176" i="6"/>
  <c r="I176" i="6"/>
  <c r="J176" i="6"/>
  <c r="K176" i="6"/>
  <c r="L176" i="6"/>
  <c r="F177" i="6"/>
  <c r="G177" i="6"/>
  <c r="H177" i="6"/>
  <c r="I177" i="6"/>
  <c r="J177" i="6"/>
  <c r="K177" i="6"/>
  <c r="L177" i="6"/>
  <c r="F178" i="6"/>
  <c r="G178" i="6"/>
  <c r="H178" i="6"/>
  <c r="I178" i="6"/>
  <c r="J178" i="6"/>
  <c r="K178" i="6"/>
  <c r="L178" i="6"/>
  <c r="F179" i="6"/>
  <c r="G179" i="6"/>
  <c r="H179" i="6"/>
  <c r="I179" i="6"/>
  <c r="J179" i="6"/>
  <c r="K179" i="6"/>
  <c r="L179" i="6"/>
  <c r="F180" i="6"/>
  <c r="G180" i="6"/>
  <c r="H180" i="6"/>
  <c r="I180" i="6"/>
  <c r="J180" i="6"/>
  <c r="K180" i="6"/>
  <c r="L180" i="6"/>
  <c r="F181" i="6"/>
  <c r="G181" i="6"/>
  <c r="H181" i="6"/>
  <c r="I181" i="6"/>
  <c r="J181" i="6"/>
  <c r="K181" i="6"/>
  <c r="L181" i="6"/>
  <c r="F182" i="6"/>
  <c r="G182" i="6"/>
  <c r="H182" i="6"/>
  <c r="I182" i="6"/>
  <c r="J182" i="6"/>
  <c r="K182" i="6"/>
  <c r="L182" i="6"/>
  <c r="F183" i="6"/>
  <c r="G183" i="6"/>
  <c r="H183" i="6"/>
  <c r="I183" i="6"/>
  <c r="J183" i="6"/>
  <c r="K183" i="6"/>
  <c r="L183" i="6"/>
  <c r="F184" i="6"/>
  <c r="G184" i="6"/>
  <c r="H184" i="6"/>
  <c r="I184" i="6"/>
  <c r="J184" i="6"/>
  <c r="K184" i="6"/>
  <c r="L184" i="6"/>
  <c r="F185" i="6"/>
  <c r="G185" i="6"/>
  <c r="H185" i="6"/>
  <c r="I185" i="6"/>
  <c r="J185" i="6"/>
  <c r="K185" i="6"/>
  <c r="L185" i="6"/>
  <c r="F186" i="6"/>
  <c r="G186" i="6"/>
  <c r="H186" i="6"/>
  <c r="I186" i="6"/>
  <c r="J186" i="6"/>
  <c r="K186" i="6"/>
  <c r="L186" i="6"/>
  <c r="F187" i="6"/>
  <c r="G187" i="6"/>
  <c r="H187" i="6"/>
  <c r="I187" i="6"/>
  <c r="J187" i="6"/>
  <c r="K187" i="6"/>
  <c r="L187" i="6"/>
  <c r="F188" i="6"/>
  <c r="G188" i="6"/>
  <c r="H188" i="6"/>
  <c r="I188" i="6"/>
  <c r="J188" i="6"/>
  <c r="K188" i="6"/>
  <c r="L188" i="6"/>
  <c r="F189" i="6"/>
  <c r="G189" i="6"/>
  <c r="H189" i="6"/>
  <c r="I189" i="6"/>
  <c r="J189" i="6"/>
  <c r="K189" i="6"/>
  <c r="L189" i="6"/>
  <c r="F190" i="6"/>
  <c r="G190" i="6"/>
  <c r="H190" i="6"/>
  <c r="I190" i="6"/>
  <c r="J190" i="6"/>
  <c r="K190" i="6"/>
  <c r="L190" i="6"/>
  <c r="F191" i="6"/>
  <c r="G191" i="6"/>
  <c r="H191" i="6"/>
  <c r="I191" i="6"/>
  <c r="J191" i="6"/>
  <c r="K191" i="6"/>
  <c r="L191" i="6"/>
  <c r="F192" i="6"/>
  <c r="G192" i="6"/>
  <c r="H192" i="6"/>
  <c r="I192" i="6"/>
  <c r="J192" i="6"/>
  <c r="K192" i="6"/>
  <c r="L192" i="6"/>
  <c r="F193" i="6"/>
  <c r="G193" i="6"/>
  <c r="H193" i="6"/>
  <c r="I193" i="6"/>
  <c r="J193" i="6"/>
  <c r="K193" i="6"/>
  <c r="L193" i="6"/>
  <c r="F194" i="6"/>
  <c r="G194" i="6"/>
  <c r="H194" i="6"/>
  <c r="I194" i="6"/>
  <c r="J194" i="6"/>
  <c r="K194" i="6"/>
  <c r="L194" i="6"/>
  <c r="F195" i="6"/>
  <c r="G195" i="6"/>
  <c r="H195" i="6"/>
  <c r="I195" i="6"/>
  <c r="J195" i="6"/>
  <c r="K195" i="6"/>
  <c r="L195" i="6"/>
  <c r="F196" i="6"/>
  <c r="G196" i="6"/>
  <c r="H196" i="6"/>
  <c r="I196" i="6"/>
  <c r="J196" i="6"/>
  <c r="K196" i="6"/>
  <c r="L196" i="6"/>
  <c r="F197" i="6"/>
  <c r="G197" i="6"/>
  <c r="H197" i="6"/>
  <c r="I197" i="6"/>
  <c r="J197" i="6"/>
  <c r="K197" i="6"/>
  <c r="L197" i="6"/>
  <c r="F198" i="6"/>
  <c r="G198" i="6"/>
  <c r="H198" i="6"/>
  <c r="I198" i="6"/>
  <c r="J198" i="6"/>
  <c r="K198" i="6"/>
  <c r="L198" i="6"/>
  <c r="F199" i="6"/>
  <c r="G199" i="6"/>
  <c r="H199" i="6"/>
  <c r="I199" i="6"/>
  <c r="J199" i="6"/>
  <c r="K199" i="6"/>
  <c r="L199" i="6"/>
  <c r="F200" i="6"/>
  <c r="G200" i="6"/>
  <c r="H200" i="6"/>
  <c r="I200" i="6"/>
  <c r="J200" i="6"/>
  <c r="K200" i="6"/>
  <c r="L200" i="6"/>
  <c r="F201" i="6"/>
  <c r="G201" i="6"/>
  <c r="H201" i="6"/>
  <c r="I201" i="6"/>
  <c r="J201" i="6"/>
  <c r="K201" i="6"/>
  <c r="L201" i="6"/>
  <c r="M3" i="6" l="1"/>
  <c r="F3" i="6"/>
  <c r="L3" i="6" s="1"/>
  <c r="I143" i="6"/>
  <c r="H142" i="6"/>
  <c r="I142" i="6"/>
  <c r="L142" i="6"/>
  <c r="M4" i="6"/>
  <c r="M2" i="6"/>
  <c r="H2" i="6"/>
  <c r="I2" i="6" s="1"/>
  <c r="N18" i="5"/>
  <c r="N17" i="5"/>
  <c r="L18" i="5"/>
  <c r="L17" i="5"/>
  <c r="J18" i="5"/>
  <c r="J17" i="5"/>
  <c r="H18" i="5"/>
  <c r="H17" i="5"/>
  <c r="F18" i="5"/>
  <c r="F17" i="5"/>
  <c r="D18" i="5"/>
  <c r="D17" i="5"/>
  <c r="B18" i="5"/>
  <c r="B17" i="5"/>
  <c r="F4" i="6" l="1"/>
  <c r="G3" i="6"/>
  <c r="H3" i="6" s="1"/>
  <c r="I3" i="6" s="1"/>
  <c r="L19" i="1"/>
  <c r="L20" i="1" s="1"/>
  <c r="L18" i="1"/>
  <c r="L17" i="1"/>
  <c r="L16" i="1"/>
  <c r="L14" i="1"/>
  <c r="L12" i="1"/>
  <c r="L13" i="1" s="1"/>
  <c r="L10" i="1"/>
  <c r="L9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7" i="1"/>
  <c r="F5" i="6" l="1"/>
  <c r="L4" i="6"/>
  <c r="G4" i="6"/>
  <c r="H4" i="6" s="1"/>
  <c r="I4" i="6" s="1"/>
  <c r="L15" i="1"/>
  <c r="L11" i="1"/>
  <c r="L8" i="1"/>
  <c r="G5" i="6" l="1"/>
  <c r="H5" i="6" s="1"/>
  <c r="I5" i="6" s="1"/>
  <c r="L5" i="6"/>
  <c r="F6" i="6"/>
  <c r="L6" i="6" l="1"/>
  <c r="F7" i="6"/>
  <c r="G6" i="6"/>
  <c r="H6" i="6" s="1"/>
  <c r="I6" i="6" s="1"/>
  <c r="F8" i="6" l="1"/>
  <c r="G7" i="6"/>
  <c r="H7" i="6" s="1"/>
  <c r="I7" i="6" s="1"/>
  <c r="L7" i="6"/>
  <c r="F9" i="6" l="1"/>
  <c r="G8" i="6"/>
  <c r="H8" i="6" s="1"/>
  <c r="I8" i="6" s="1"/>
  <c r="L8" i="6"/>
  <c r="G9" i="6" l="1"/>
  <c r="H9" i="6" s="1"/>
  <c r="I9" i="6" s="1"/>
  <c r="L9" i="6"/>
  <c r="F10" i="6"/>
  <c r="F11" i="6" l="1"/>
  <c r="L10" i="6"/>
  <c r="G10" i="6"/>
  <c r="H10" i="6" s="1"/>
  <c r="I10" i="6" s="1"/>
  <c r="F12" i="6" l="1"/>
  <c r="L11" i="6"/>
  <c r="G11" i="6"/>
  <c r="H11" i="6" s="1"/>
  <c r="I11" i="6" s="1"/>
  <c r="F13" i="6" l="1"/>
  <c r="L12" i="6"/>
  <c r="G12" i="6"/>
  <c r="H12" i="6" s="1"/>
  <c r="I12" i="6" s="1"/>
  <c r="F14" i="6" l="1"/>
  <c r="G13" i="6"/>
  <c r="H13" i="6" s="1"/>
  <c r="I13" i="6" s="1"/>
  <c r="L13" i="6"/>
  <c r="G14" i="6" l="1"/>
  <c r="H14" i="6" s="1"/>
  <c r="I14" i="6" s="1"/>
  <c r="F15" i="6"/>
  <c r="L14" i="6"/>
  <c r="G15" i="6" l="1"/>
  <c r="H15" i="6" s="1"/>
  <c r="I15" i="6" s="1"/>
  <c r="F16" i="6"/>
  <c r="L15" i="6"/>
  <c r="L16" i="6" l="1"/>
  <c r="G16" i="6"/>
  <c r="H16" i="6" s="1"/>
  <c r="I16" i="6" s="1"/>
  <c r="F17" i="6"/>
  <c r="G17" i="6" l="1"/>
  <c r="H17" i="6" s="1"/>
  <c r="I17" i="6" s="1"/>
  <c r="F18" i="6"/>
  <c r="L17" i="6"/>
  <c r="G18" i="6" l="1"/>
  <c r="H18" i="6" s="1"/>
  <c r="I18" i="6" s="1"/>
  <c r="L18" i="6"/>
  <c r="F19" i="6"/>
  <c r="L19" i="6" l="1"/>
  <c r="F20" i="6"/>
  <c r="G19" i="6"/>
  <c r="H19" i="6" s="1"/>
  <c r="I19" i="6" s="1"/>
  <c r="F21" i="6" l="1"/>
  <c r="G20" i="6"/>
  <c r="H20" i="6" s="1"/>
  <c r="I20" i="6" s="1"/>
  <c r="L20" i="6"/>
  <c r="L21" i="6" l="1"/>
  <c r="F22" i="6"/>
  <c r="G21" i="6"/>
  <c r="H21" i="6" s="1"/>
  <c r="I21" i="6" s="1"/>
  <c r="G22" i="6" l="1"/>
  <c r="H22" i="6" s="1"/>
  <c r="I22" i="6" s="1"/>
  <c r="L22" i="6"/>
  <c r="F23" i="6"/>
  <c r="L23" i="6" l="1"/>
  <c r="G23" i="6"/>
  <c r="H23" i="6" s="1"/>
  <c r="I23" i="6" s="1"/>
  <c r="F24" i="6"/>
  <c r="F25" i="6" l="1"/>
  <c r="L24" i="6"/>
  <c r="G24" i="6"/>
  <c r="H24" i="6" s="1"/>
  <c r="I24" i="6" s="1"/>
  <c r="F26" i="6" l="1"/>
  <c r="L25" i="6"/>
  <c r="G25" i="6"/>
  <c r="H25" i="6" s="1"/>
  <c r="I25" i="6" s="1"/>
  <c r="G26" i="6" l="1"/>
  <c r="H26" i="6" s="1"/>
  <c r="I26" i="6" s="1"/>
  <c r="L26" i="6"/>
  <c r="F27" i="6"/>
  <c r="G27" i="6" l="1"/>
  <c r="H27" i="6" s="1"/>
  <c r="I27" i="6" s="1"/>
  <c r="F28" i="6"/>
  <c r="L27" i="6"/>
  <c r="L28" i="6" l="1"/>
  <c r="G28" i="6"/>
  <c r="H28" i="6" s="1"/>
  <c r="I28" i="6" s="1"/>
  <c r="F29" i="6"/>
  <c r="F30" i="6" l="1"/>
  <c r="L29" i="6"/>
  <c r="G29" i="6"/>
  <c r="H29" i="6" s="1"/>
  <c r="I29" i="6" s="1"/>
  <c r="F31" i="6" l="1"/>
  <c r="G30" i="6"/>
  <c r="H30" i="6" s="1"/>
  <c r="I30" i="6" s="1"/>
  <c r="L30" i="6"/>
  <c r="F32" i="6" l="1"/>
  <c r="L31" i="6"/>
  <c r="G31" i="6"/>
  <c r="H31" i="6" s="1"/>
  <c r="I31" i="6" s="1"/>
  <c r="G32" i="6" l="1"/>
  <c r="H32" i="6" s="1"/>
  <c r="I32" i="6" s="1"/>
  <c r="F33" i="6"/>
  <c r="L32" i="6"/>
  <c r="L33" i="6" l="1"/>
  <c r="F34" i="6"/>
  <c r="G33" i="6"/>
  <c r="H33" i="6" s="1"/>
  <c r="I33" i="6" s="1"/>
  <c r="F35" i="6" l="1"/>
  <c r="G34" i="6"/>
  <c r="H34" i="6" s="1"/>
  <c r="I34" i="6" s="1"/>
  <c r="L34" i="6"/>
  <c r="G35" i="6" l="1"/>
  <c r="H35" i="6" s="1"/>
  <c r="I35" i="6" s="1"/>
  <c r="L35" i="6"/>
  <c r="F36" i="6"/>
  <c r="L36" i="6" l="1"/>
  <c r="F37" i="6"/>
  <c r="G36" i="6"/>
  <c r="H36" i="6" s="1"/>
  <c r="I36" i="6" s="1"/>
  <c r="L37" i="6" l="1"/>
  <c r="F38" i="6"/>
  <c r="G37" i="6"/>
  <c r="H37" i="6" s="1"/>
  <c r="I37" i="6" s="1"/>
  <c r="F39" i="6" l="1"/>
  <c r="G38" i="6"/>
  <c r="H38" i="6" s="1"/>
  <c r="I38" i="6" s="1"/>
  <c r="L38" i="6"/>
  <c r="L39" i="6" l="1"/>
  <c r="F40" i="6"/>
  <c r="G39" i="6"/>
  <c r="H39" i="6" s="1"/>
  <c r="I39" i="6" s="1"/>
  <c r="L40" i="6" l="1"/>
  <c r="G40" i="6"/>
  <c r="H40" i="6" s="1"/>
  <c r="I40" i="6" s="1"/>
  <c r="F41" i="6"/>
  <c r="G41" i="6" l="1"/>
  <c r="H41" i="6" s="1"/>
  <c r="I41" i="6" s="1"/>
  <c r="L41" i="6"/>
  <c r="F42" i="6"/>
  <c r="G42" i="6" l="1"/>
  <c r="H42" i="6" s="1"/>
  <c r="I42" i="6" s="1"/>
  <c r="F43" i="6"/>
  <c r="L42" i="6"/>
  <c r="L43" i="6" l="1"/>
  <c r="G43" i="6"/>
  <c r="H43" i="6" s="1"/>
  <c r="I43" i="6" s="1"/>
  <c r="F44" i="6"/>
  <c r="L44" i="6" l="1"/>
  <c r="F45" i="6"/>
  <c r="G44" i="6"/>
  <c r="H44" i="6" s="1"/>
  <c r="I44" i="6" s="1"/>
  <c r="F46" i="6" l="1"/>
  <c r="G45" i="6"/>
  <c r="H45" i="6" s="1"/>
  <c r="I45" i="6" s="1"/>
  <c r="L45" i="6"/>
  <c r="F47" i="6" l="1"/>
  <c r="G46" i="6"/>
  <c r="H46" i="6" s="1"/>
  <c r="I46" i="6" s="1"/>
  <c r="L46" i="6"/>
  <c r="G47" i="6" l="1"/>
  <c r="H47" i="6" s="1"/>
  <c r="I47" i="6" s="1"/>
  <c r="L47" i="6"/>
  <c r="F48" i="6"/>
  <c r="L48" i="6" l="1"/>
  <c r="F49" i="6"/>
  <c r="G48" i="6"/>
  <c r="H48" i="6" s="1"/>
  <c r="I48" i="6" s="1"/>
  <c r="F50" i="6" l="1"/>
  <c r="L49" i="6"/>
  <c r="G49" i="6"/>
  <c r="H49" i="6" s="1"/>
  <c r="I49" i="6" s="1"/>
  <c r="F51" i="6" l="1"/>
  <c r="G50" i="6"/>
  <c r="H50" i="6" s="1"/>
  <c r="I50" i="6" s="1"/>
  <c r="L50" i="6"/>
  <c r="L51" i="6" l="1"/>
  <c r="G51" i="6"/>
  <c r="H51" i="6" s="1"/>
  <c r="I51" i="6" s="1"/>
  <c r="F52" i="6"/>
  <c r="F53" i="6" l="1"/>
  <c r="G52" i="6"/>
  <c r="H52" i="6" s="1"/>
  <c r="I52" i="6" s="1"/>
  <c r="L52" i="6"/>
  <c r="G53" i="6" l="1"/>
  <c r="H53" i="6" s="1"/>
  <c r="I53" i="6" s="1"/>
  <c r="L53" i="6"/>
  <c r="F54" i="6"/>
  <c r="F55" i="6" l="1"/>
  <c r="L54" i="6"/>
  <c r="G54" i="6"/>
  <c r="H54" i="6" s="1"/>
  <c r="I54" i="6" s="1"/>
  <c r="L55" i="6" l="1"/>
  <c r="F56" i="6"/>
  <c r="G55" i="6"/>
  <c r="H55" i="6" s="1"/>
  <c r="I55" i="6" s="1"/>
  <c r="G56" i="6" l="1"/>
  <c r="H56" i="6" s="1"/>
  <c r="I56" i="6" s="1"/>
  <c r="F57" i="6"/>
  <c r="L56" i="6"/>
  <c r="L57" i="6" l="1"/>
  <c r="F58" i="6"/>
  <c r="G57" i="6"/>
  <c r="H57" i="6" s="1"/>
  <c r="I57" i="6" s="1"/>
  <c r="L58" i="6" l="1"/>
  <c r="F59" i="6"/>
  <c r="G58" i="6"/>
  <c r="H58" i="6" s="1"/>
  <c r="I58" i="6" s="1"/>
  <c r="G59" i="6" l="1"/>
  <c r="H59" i="6" s="1"/>
  <c r="I59" i="6" s="1"/>
  <c r="L59" i="6"/>
  <c r="F60" i="6"/>
  <c r="G60" i="6" l="1"/>
  <c r="H60" i="6" s="1"/>
  <c r="I60" i="6" s="1"/>
  <c r="L60" i="6"/>
  <c r="F61" i="6"/>
  <c r="L61" i="6" l="1"/>
  <c r="G61" i="6"/>
  <c r="H61" i="6" s="1"/>
  <c r="I61" i="6" s="1"/>
  <c r="F62" i="6"/>
  <c r="L62" i="6" l="1"/>
  <c r="G62" i="6"/>
  <c r="H62" i="6" s="1"/>
  <c r="I62" i="6" s="1"/>
  <c r="F63" i="6"/>
  <c r="F64" i="6" l="1"/>
  <c r="L63" i="6"/>
  <c r="G63" i="6"/>
  <c r="H63" i="6" s="1"/>
  <c r="I63" i="6" s="1"/>
  <c r="G64" i="6" l="1"/>
  <c r="H64" i="6" s="1"/>
  <c r="I64" i="6" s="1"/>
  <c r="L64" i="6"/>
  <c r="F65" i="6"/>
  <c r="G65" i="6" l="1"/>
  <c r="H65" i="6" s="1"/>
  <c r="I65" i="6" s="1"/>
  <c r="L65" i="6"/>
  <c r="F66" i="6"/>
  <c r="F67" i="6" l="1"/>
  <c r="L66" i="6"/>
  <c r="G66" i="6"/>
  <c r="H66" i="6" s="1"/>
  <c r="I66" i="6" s="1"/>
  <c r="F68" i="6" l="1"/>
  <c r="G67" i="6"/>
  <c r="H67" i="6" s="1"/>
  <c r="I67" i="6" s="1"/>
  <c r="L67" i="6"/>
  <c r="L68" i="6" l="1"/>
  <c r="F69" i="6"/>
  <c r="G68" i="6"/>
  <c r="H68" i="6" s="1"/>
  <c r="I68" i="6" s="1"/>
  <c r="G69" i="6" l="1"/>
  <c r="H69" i="6" s="1"/>
  <c r="I69" i="6" s="1"/>
  <c r="L69" i="6"/>
  <c r="F70" i="6"/>
  <c r="L70" i="6" l="1"/>
  <c r="F71" i="6"/>
  <c r="G70" i="6"/>
  <c r="H70" i="6" s="1"/>
  <c r="I70" i="6" s="1"/>
  <c r="F72" i="6" l="1"/>
  <c r="L71" i="6"/>
  <c r="G71" i="6"/>
  <c r="H71" i="6" s="1"/>
  <c r="I71" i="6" s="1"/>
  <c r="L72" i="6" l="1"/>
  <c r="F73" i="6"/>
  <c r="G72" i="6"/>
  <c r="H72" i="6" s="1"/>
  <c r="I72" i="6" s="1"/>
  <c r="L73" i="6" l="1"/>
  <c r="F74" i="6"/>
  <c r="G73" i="6"/>
  <c r="H73" i="6" s="1"/>
  <c r="I73" i="6" s="1"/>
  <c r="L74" i="6" l="1"/>
  <c r="F75" i="6"/>
  <c r="G74" i="6"/>
  <c r="H74" i="6" s="1"/>
  <c r="I74" i="6" s="1"/>
  <c r="F76" i="6" l="1"/>
  <c r="G75" i="6"/>
  <c r="H75" i="6" s="1"/>
  <c r="I75" i="6" s="1"/>
  <c r="L75" i="6"/>
  <c r="L76" i="6" l="1"/>
  <c r="G76" i="6"/>
  <c r="H76" i="6" s="1"/>
  <c r="I76" i="6" s="1"/>
  <c r="F77" i="6"/>
  <c r="F78" i="6" l="1"/>
  <c r="L77" i="6"/>
  <c r="G77" i="6"/>
  <c r="H77" i="6" s="1"/>
  <c r="I77" i="6" s="1"/>
  <c r="L78" i="6" l="1"/>
  <c r="F79" i="6"/>
  <c r="G78" i="6"/>
  <c r="H78" i="6" s="1"/>
  <c r="I78" i="6" s="1"/>
  <c r="F80" i="6" l="1"/>
  <c r="G79" i="6"/>
  <c r="H79" i="6" s="1"/>
  <c r="I79" i="6" s="1"/>
  <c r="L79" i="6"/>
  <c r="G80" i="6" l="1"/>
  <c r="H80" i="6" s="1"/>
  <c r="I80" i="6" s="1"/>
  <c r="L80" i="6"/>
  <c r="F81" i="6"/>
  <c r="L81" i="6" l="1"/>
  <c r="G81" i="6"/>
  <c r="H81" i="6" s="1"/>
  <c r="I81" i="6" s="1"/>
  <c r="F82" i="6"/>
  <c r="L82" i="6" l="1"/>
  <c r="F83" i="6"/>
  <c r="G82" i="6"/>
  <c r="H82" i="6" s="1"/>
  <c r="I82" i="6" s="1"/>
  <c r="G83" i="6" l="1"/>
  <c r="H83" i="6" s="1"/>
  <c r="I83" i="6" s="1"/>
  <c r="F84" i="6"/>
  <c r="L83" i="6"/>
  <c r="L84" i="6" l="1"/>
  <c r="G84" i="6"/>
  <c r="H84" i="6" s="1"/>
  <c r="I84" i="6" s="1"/>
  <c r="F85" i="6"/>
  <c r="F86" i="6" l="1"/>
  <c r="L85" i="6"/>
  <c r="G85" i="6"/>
  <c r="H85" i="6" s="1"/>
  <c r="I85" i="6" s="1"/>
  <c r="F87" i="6" l="1"/>
  <c r="G86" i="6"/>
  <c r="H86" i="6" s="1"/>
  <c r="I86" i="6" s="1"/>
  <c r="L86" i="6"/>
  <c r="F88" i="6" l="1"/>
  <c r="G87" i="6"/>
  <c r="H87" i="6" s="1"/>
  <c r="I87" i="6" s="1"/>
  <c r="L87" i="6"/>
  <c r="L88" i="6" l="1"/>
  <c r="G88" i="6"/>
  <c r="H88" i="6" s="1"/>
  <c r="I88" i="6" s="1"/>
  <c r="F89" i="6"/>
  <c r="L89" i="6" l="1"/>
  <c r="F90" i="6"/>
  <c r="G89" i="6"/>
  <c r="H89" i="6" s="1"/>
  <c r="I89" i="6" s="1"/>
  <c r="L90" i="6" l="1"/>
  <c r="F91" i="6"/>
  <c r="G90" i="6"/>
  <c r="H90" i="6" s="1"/>
  <c r="I90" i="6" s="1"/>
  <c r="F92" i="6" l="1"/>
  <c r="G91" i="6"/>
  <c r="H91" i="6" s="1"/>
  <c r="I91" i="6" s="1"/>
  <c r="L91" i="6"/>
  <c r="L92" i="6" l="1"/>
  <c r="F93" i="6"/>
  <c r="G92" i="6"/>
  <c r="H92" i="6" s="1"/>
  <c r="I92" i="6" s="1"/>
  <c r="F94" i="6" l="1"/>
  <c r="L93" i="6"/>
  <c r="G93" i="6"/>
  <c r="H93" i="6" s="1"/>
  <c r="I93" i="6" s="1"/>
  <c r="L94" i="6" l="1"/>
  <c r="F95" i="6"/>
  <c r="G94" i="6"/>
  <c r="H94" i="6" s="1"/>
  <c r="I94" i="6" s="1"/>
  <c r="F96" i="6" l="1"/>
  <c r="G95" i="6"/>
  <c r="H95" i="6" s="1"/>
  <c r="I95" i="6" s="1"/>
  <c r="L95" i="6"/>
  <c r="G96" i="6" l="1"/>
  <c r="H96" i="6" s="1"/>
  <c r="I96" i="6" s="1"/>
  <c r="L96" i="6"/>
  <c r="F97" i="6"/>
  <c r="F98" i="6" l="1"/>
  <c r="L97" i="6"/>
  <c r="G97" i="6"/>
  <c r="H97" i="6" s="1"/>
  <c r="I97" i="6" s="1"/>
  <c r="L98" i="6" l="1"/>
  <c r="F99" i="6"/>
  <c r="G98" i="6"/>
  <c r="H98" i="6" s="1"/>
  <c r="I98" i="6" s="1"/>
  <c r="G99" i="6" l="1"/>
  <c r="H99" i="6" s="1"/>
  <c r="I99" i="6" s="1"/>
  <c r="L99" i="6"/>
  <c r="F100" i="6"/>
  <c r="L100" i="6" l="1"/>
  <c r="G100" i="6"/>
  <c r="H100" i="6" s="1"/>
  <c r="I100" i="6" s="1"/>
  <c r="F101" i="6"/>
  <c r="F102" i="6" l="1"/>
  <c r="G101" i="6"/>
  <c r="H101" i="6" s="1"/>
  <c r="I101" i="6" s="1"/>
  <c r="L101" i="6"/>
  <c r="F103" i="6" l="1"/>
  <c r="L102" i="6"/>
  <c r="G102" i="6"/>
  <c r="H102" i="6" s="1"/>
  <c r="I102" i="6" s="1"/>
  <c r="F104" i="6" l="1"/>
  <c r="G103" i="6"/>
  <c r="H103" i="6" s="1"/>
  <c r="I103" i="6" s="1"/>
  <c r="L103" i="6"/>
  <c r="G104" i="6" l="1"/>
  <c r="H104" i="6" s="1"/>
  <c r="I104" i="6" s="1"/>
  <c r="L104" i="6"/>
  <c r="F105" i="6"/>
  <c r="L105" i="6" l="1"/>
  <c r="F106" i="6"/>
  <c r="G105" i="6"/>
  <c r="H105" i="6" s="1"/>
  <c r="I105" i="6" s="1"/>
  <c r="L106" i="6" l="1"/>
  <c r="F107" i="6"/>
  <c r="G106" i="6"/>
  <c r="H106" i="6" s="1"/>
  <c r="I106" i="6" s="1"/>
  <c r="G107" i="6" l="1"/>
  <c r="H107" i="6" s="1"/>
  <c r="I107" i="6" s="1"/>
  <c r="L107" i="6"/>
  <c r="F108" i="6"/>
  <c r="L108" i="6" l="1"/>
  <c r="F109" i="6"/>
  <c r="G108" i="6"/>
  <c r="H108" i="6" s="1"/>
  <c r="I108" i="6" s="1"/>
  <c r="F110" i="6" l="1"/>
  <c r="G109" i="6"/>
  <c r="H109" i="6" s="1"/>
  <c r="I109" i="6" s="1"/>
  <c r="L109" i="6"/>
  <c r="F111" i="6" l="1"/>
  <c r="G110" i="6"/>
  <c r="H110" i="6" s="1"/>
  <c r="I110" i="6" s="1"/>
  <c r="L110" i="6"/>
  <c r="F112" i="6" l="1"/>
  <c r="L111" i="6"/>
  <c r="G111" i="6"/>
  <c r="H111" i="6" s="1"/>
  <c r="I111" i="6" s="1"/>
  <c r="L112" i="6" l="1"/>
  <c r="G112" i="6"/>
  <c r="H112" i="6" s="1"/>
  <c r="I112" i="6" s="1"/>
  <c r="F113" i="6"/>
  <c r="L113" i="6" l="1"/>
  <c r="F114" i="6"/>
  <c r="G113" i="6"/>
  <c r="H113" i="6" s="1"/>
  <c r="I113" i="6" s="1"/>
  <c r="L114" i="6" l="1"/>
  <c r="F115" i="6"/>
  <c r="G114" i="6"/>
  <c r="H114" i="6" s="1"/>
  <c r="I114" i="6" s="1"/>
  <c r="F116" i="6" l="1"/>
  <c r="G115" i="6"/>
  <c r="H115" i="6" s="1"/>
  <c r="I115" i="6" s="1"/>
  <c r="L115" i="6"/>
  <c r="L116" i="6" l="1"/>
  <c r="G116" i="6"/>
  <c r="H116" i="6" s="1"/>
  <c r="I116" i="6" s="1"/>
  <c r="F117" i="6"/>
  <c r="F118" i="6" l="1"/>
  <c r="L117" i="6"/>
  <c r="G117" i="6"/>
  <c r="H117" i="6" s="1"/>
  <c r="I117" i="6" s="1"/>
  <c r="L118" i="6" l="1"/>
  <c r="F119" i="6"/>
  <c r="G118" i="6"/>
  <c r="H118" i="6" s="1"/>
  <c r="I118" i="6" s="1"/>
  <c r="F120" i="6" l="1"/>
  <c r="G119" i="6"/>
  <c r="H119" i="6" s="1"/>
  <c r="I119" i="6" s="1"/>
  <c r="L119" i="6"/>
  <c r="L120" i="6" l="1"/>
  <c r="G120" i="6"/>
  <c r="H120" i="6" s="1"/>
  <c r="I120" i="6" s="1"/>
  <c r="F121" i="6"/>
  <c r="L121" i="6" l="1"/>
  <c r="F122" i="6"/>
  <c r="G121" i="6"/>
  <c r="H121" i="6" s="1"/>
  <c r="I121" i="6" s="1"/>
  <c r="L122" i="6" l="1"/>
  <c r="F123" i="6"/>
  <c r="G122" i="6"/>
  <c r="H122" i="6" s="1"/>
  <c r="I122" i="6" s="1"/>
  <c r="F124" i="6" l="1"/>
  <c r="G123" i="6"/>
  <c r="H123" i="6" s="1"/>
  <c r="I123" i="6" s="1"/>
  <c r="L123" i="6"/>
  <c r="L124" i="6" l="1"/>
  <c r="F125" i="6"/>
  <c r="G124" i="6"/>
  <c r="H124" i="6" s="1"/>
  <c r="I124" i="6" s="1"/>
  <c r="F126" i="6" l="1"/>
  <c r="L125" i="6"/>
  <c r="G125" i="6"/>
  <c r="H125" i="6" s="1"/>
  <c r="I125" i="6" s="1"/>
  <c r="L126" i="6" l="1"/>
  <c r="F127" i="6"/>
  <c r="G126" i="6"/>
  <c r="H126" i="6" s="1"/>
  <c r="I126" i="6" s="1"/>
  <c r="F128" i="6" l="1"/>
  <c r="G127" i="6"/>
  <c r="H127" i="6" s="1"/>
  <c r="I127" i="6" s="1"/>
  <c r="L127" i="6"/>
  <c r="L128" i="6" l="1"/>
  <c r="G128" i="6"/>
  <c r="H128" i="6" s="1"/>
  <c r="I128" i="6" s="1"/>
  <c r="F129" i="6"/>
  <c r="F130" i="6" l="1"/>
  <c r="G129" i="6"/>
  <c r="H129" i="6" s="1"/>
  <c r="I129" i="6" s="1"/>
  <c r="L129" i="6"/>
  <c r="L130" i="6" l="1"/>
  <c r="F131" i="6"/>
  <c r="G130" i="6"/>
  <c r="H130" i="6" s="1"/>
  <c r="I130" i="6" s="1"/>
  <c r="F132" i="6" l="1"/>
  <c r="L131" i="6"/>
  <c r="G131" i="6"/>
  <c r="H131" i="6" s="1"/>
  <c r="I131" i="6" s="1"/>
  <c r="L132" i="6" l="1"/>
  <c r="G132" i="6"/>
  <c r="H132" i="6" s="1"/>
  <c r="I132" i="6" s="1"/>
  <c r="F133" i="6"/>
  <c r="F134" i="6" l="1"/>
  <c r="G133" i="6"/>
  <c r="H133" i="6" s="1"/>
  <c r="I133" i="6" s="1"/>
  <c r="L133" i="6"/>
  <c r="L134" i="6" l="1"/>
  <c r="F135" i="6"/>
  <c r="G134" i="6"/>
  <c r="H134" i="6" s="1"/>
  <c r="I134" i="6" s="1"/>
  <c r="F136" i="6" l="1"/>
  <c r="G135" i="6"/>
  <c r="H135" i="6" s="1"/>
  <c r="I135" i="6" s="1"/>
  <c r="L135" i="6"/>
  <c r="G136" i="6" l="1"/>
  <c r="H136" i="6" s="1"/>
  <c r="I136" i="6" s="1"/>
  <c r="L136" i="6"/>
  <c r="F137" i="6"/>
  <c r="L137" i="6" l="1"/>
  <c r="G137" i="6"/>
  <c r="H137" i="6" s="1"/>
  <c r="I137" i="6" s="1"/>
  <c r="F138" i="6"/>
  <c r="L138" i="6" l="1"/>
  <c r="F139" i="6"/>
  <c r="G138" i="6"/>
  <c r="H138" i="6" s="1"/>
  <c r="I138" i="6" s="1"/>
  <c r="G139" i="6" l="1"/>
  <c r="H139" i="6" s="1"/>
  <c r="I139" i="6" s="1"/>
  <c r="L139" i="6"/>
  <c r="F140" i="6"/>
  <c r="J142" i="6"/>
  <c r="K142" i="6" s="1"/>
  <c r="J143" i="6"/>
  <c r="K143" i="6" s="1"/>
  <c r="F141" i="6" l="1"/>
  <c r="G140" i="6"/>
  <c r="H140" i="6" s="1"/>
  <c r="I140" i="6" s="1"/>
  <c r="L140" i="6"/>
  <c r="L141" i="6" l="1"/>
  <c r="G141" i="6"/>
  <c r="H141" i="6" s="1"/>
  <c r="I141" i="6" s="1"/>
  <c r="J2" i="6" s="1"/>
  <c r="K2" i="6" s="1"/>
  <c r="J6" i="6" l="1"/>
  <c r="K6" i="6" s="1"/>
  <c r="J119" i="6"/>
  <c r="K119" i="6" s="1"/>
  <c r="J16" i="6"/>
  <c r="K16" i="6" s="1"/>
  <c r="J93" i="6"/>
  <c r="K93" i="6" s="1"/>
  <c r="J3" i="6"/>
  <c r="K3" i="6" s="1"/>
  <c r="J91" i="6"/>
  <c r="K91" i="6" s="1"/>
  <c r="J139" i="6"/>
  <c r="K139" i="6" s="1"/>
  <c r="J42" i="6"/>
  <c r="K42" i="6" s="1"/>
  <c r="J48" i="6"/>
  <c r="K48" i="6" s="1"/>
  <c r="J123" i="6"/>
  <c r="K123" i="6" s="1"/>
  <c r="J28" i="6"/>
  <c r="K28" i="6" s="1"/>
  <c r="J4" i="6"/>
  <c r="K4" i="6" s="1"/>
  <c r="J32" i="6"/>
  <c r="K32" i="6" s="1"/>
  <c r="J108" i="6"/>
  <c r="K108" i="6" s="1"/>
  <c r="J125" i="6"/>
  <c r="K125" i="6" s="1"/>
  <c r="J63" i="6"/>
  <c r="K63" i="6" s="1"/>
  <c r="J74" i="6"/>
  <c r="K74" i="6" s="1"/>
  <c r="J61" i="6"/>
  <c r="K61" i="6" s="1"/>
  <c r="J79" i="6"/>
  <c r="K79" i="6" s="1"/>
  <c r="J127" i="6"/>
  <c r="K127" i="6" s="1"/>
  <c r="J112" i="6"/>
  <c r="K112" i="6" s="1"/>
  <c r="J95" i="6"/>
  <c r="K95" i="6" s="1"/>
  <c r="J80" i="6"/>
  <c r="K80" i="6" s="1"/>
  <c r="J64" i="6"/>
  <c r="K64" i="6" s="1"/>
  <c r="J45" i="6"/>
  <c r="K45" i="6" s="1"/>
  <c r="J29" i="6"/>
  <c r="K29" i="6" s="1"/>
  <c r="J14" i="6"/>
  <c r="K14" i="6" s="1"/>
  <c r="J111" i="6"/>
  <c r="K111" i="6" s="1"/>
  <c r="J128" i="6"/>
  <c r="K128" i="6" s="1"/>
  <c r="J114" i="6"/>
  <c r="K114" i="6" s="1"/>
  <c r="J97" i="6"/>
  <c r="K97" i="6" s="1"/>
  <c r="J81" i="6"/>
  <c r="K81" i="6" s="1"/>
  <c r="J66" i="6"/>
  <c r="K66" i="6" s="1"/>
  <c r="J50" i="6"/>
  <c r="K50" i="6" s="1"/>
  <c r="J35" i="6"/>
  <c r="K35" i="6" s="1"/>
  <c r="J18" i="6"/>
  <c r="K18" i="6" s="1"/>
  <c r="J15" i="6"/>
  <c r="K15" i="6" s="1"/>
  <c r="J7" i="6"/>
  <c r="K7" i="6" s="1"/>
  <c r="J115" i="6"/>
  <c r="K115" i="6" s="1"/>
  <c r="J83" i="6"/>
  <c r="K83" i="6" s="1"/>
  <c r="J59" i="6"/>
  <c r="K59" i="6" s="1"/>
  <c r="J46" i="6"/>
  <c r="K46" i="6" s="1"/>
  <c r="J27" i="6"/>
  <c r="K27" i="6" s="1"/>
  <c r="J13" i="6"/>
  <c r="K13" i="6" s="1"/>
  <c r="J137" i="6"/>
  <c r="K137" i="6" s="1"/>
  <c r="J118" i="6"/>
  <c r="K118" i="6" s="1"/>
  <c r="J103" i="6"/>
  <c r="K103" i="6" s="1"/>
  <c r="J89" i="6"/>
  <c r="K89" i="6" s="1"/>
  <c r="J72" i="6"/>
  <c r="K72" i="6" s="1"/>
  <c r="J54" i="6"/>
  <c r="K54" i="6" s="1"/>
  <c r="J40" i="6"/>
  <c r="K40" i="6" s="1"/>
  <c r="J23" i="6"/>
  <c r="K23" i="6" s="1"/>
  <c r="J107" i="6"/>
  <c r="K107" i="6" s="1"/>
  <c r="J67" i="6"/>
  <c r="K67" i="6" s="1"/>
  <c r="J122" i="6"/>
  <c r="K122" i="6" s="1"/>
  <c r="J105" i="6"/>
  <c r="K105" i="6" s="1"/>
  <c r="J90" i="6"/>
  <c r="K90" i="6" s="1"/>
  <c r="J76" i="6"/>
  <c r="K76" i="6" s="1"/>
  <c r="J57" i="6"/>
  <c r="K57" i="6" s="1"/>
  <c r="J41" i="6"/>
  <c r="K41" i="6" s="1"/>
  <c r="J25" i="6"/>
  <c r="K25" i="6" s="1"/>
  <c r="J9" i="6"/>
  <c r="K9" i="6" s="1"/>
  <c r="J140" i="6"/>
  <c r="K140" i="6" s="1"/>
  <c r="J124" i="6"/>
  <c r="K124" i="6" s="1"/>
  <c r="J109" i="6"/>
  <c r="K109" i="6" s="1"/>
  <c r="J92" i="6"/>
  <c r="K92" i="6" s="1"/>
  <c r="J77" i="6"/>
  <c r="K77" i="6" s="1"/>
  <c r="J60" i="6"/>
  <c r="K60" i="6" s="1"/>
  <c r="J44" i="6"/>
  <c r="K44" i="6" s="1"/>
  <c r="J31" i="6"/>
  <c r="K31" i="6" s="1"/>
  <c r="J12" i="6"/>
  <c r="K12" i="6" s="1"/>
  <c r="J141" i="6"/>
  <c r="K141" i="6" s="1"/>
  <c r="J10" i="6"/>
  <c r="K10" i="6" s="1"/>
  <c r="J106" i="6"/>
  <c r="K106" i="6" s="1"/>
  <c r="J75" i="6"/>
  <c r="K75" i="6" s="1"/>
  <c r="J58" i="6"/>
  <c r="K58" i="6" s="1"/>
  <c r="J39" i="6"/>
  <c r="K39" i="6" s="1"/>
  <c r="J26" i="6"/>
  <c r="K26" i="6" s="1"/>
  <c r="J8" i="6"/>
  <c r="K8" i="6" s="1"/>
  <c r="J131" i="6"/>
  <c r="K131" i="6" s="1"/>
  <c r="J116" i="6"/>
  <c r="K116" i="6" s="1"/>
  <c r="J98" i="6"/>
  <c r="K98" i="6" s="1"/>
  <c r="J82" i="6"/>
  <c r="K82" i="6" s="1"/>
  <c r="J68" i="6"/>
  <c r="K68" i="6" s="1"/>
  <c r="J52" i="6"/>
  <c r="K52" i="6" s="1"/>
  <c r="J34" i="6"/>
  <c r="K34" i="6" s="1"/>
  <c r="J19" i="6"/>
  <c r="K19" i="6" s="1"/>
  <c r="J99" i="6"/>
  <c r="K99" i="6" s="1"/>
  <c r="J133" i="6"/>
  <c r="K133" i="6" s="1"/>
  <c r="J120" i="6"/>
  <c r="K120" i="6" s="1"/>
  <c r="J101" i="6"/>
  <c r="K101" i="6" s="1"/>
  <c r="J86" i="6"/>
  <c r="K86" i="6" s="1"/>
  <c r="J69" i="6"/>
  <c r="K69" i="6" s="1"/>
  <c r="J55" i="6"/>
  <c r="K55" i="6" s="1"/>
  <c r="J38" i="6"/>
  <c r="K38" i="6" s="1"/>
  <c r="J21" i="6"/>
  <c r="K21" i="6" s="1"/>
  <c r="J138" i="6"/>
  <c r="K138" i="6" s="1"/>
  <c r="J136" i="6"/>
  <c r="K136" i="6" s="1"/>
  <c r="J121" i="6"/>
  <c r="K121" i="6" s="1"/>
  <c r="J104" i="6"/>
  <c r="K104" i="6" s="1"/>
  <c r="J88" i="6"/>
  <c r="K88" i="6" s="1"/>
  <c r="J73" i="6"/>
  <c r="K73" i="6" s="1"/>
  <c r="J56" i="6"/>
  <c r="K56" i="6" s="1"/>
  <c r="J43" i="6"/>
  <c r="K43" i="6" s="1"/>
  <c r="J24" i="6"/>
  <c r="K24" i="6" s="1"/>
  <c r="J11" i="6"/>
  <c r="K11" i="6" s="1"/>
  <c r="J134" i="6"/>
  <c r="K134" i="6" s="1"/>
  <c r="J96" i="6"/>
  <c r="K96" i="6" s="1"/>
  <c r="J71" i="6"/>
  <c r="K71" i="6" s="1"/>
  <c r="J51" i="6"/>
  <c r="K51" i="6" s="1"/>
  <c r="J37" i="6"/>
  <c r="K37" i="6" s="1"/>
  <c r="J22" i="6"/>
  <c r="K22" i="6" s="1"/>
  <c r="J5" i="6"/>
  <c r="K5" i="6" s="1"/>
  <c r="J126" i="6"/>
  <c r="K126" i="6" s="1"/>
  <c r="J110" i="6"/>
  <c r="K110" i="6" s="1"/>
  <c r="J94" i="6"/>
  <c r="K94" i="6" s="1"/>
  <c r="J78" i="6"/>
  <c r="K78" i="6" s="1"/>
  <c r="J62" i="6"/>
  <c r="K62" i="6" s="1"/>
  <c r="J47" i="6"/>
  <c r="K47" i="6" s="1"/>
  <c r="J30" i="6"/>
  <c r="K30" i="6" s="1"/>
  <c r="J135" i="6"/>
  <c r="K135" i="6" s="1"/>
  <c r="J87" i="6"/>
  <c r="K87" i="6" s="1"/>
  <c r="J129" i="6"/>
  <c r="K129" i="6" s="1"/>
  <c r="J113" i="6"/>
  <c r="K113" i="6" s="1"/>
  <c r="J100" i="6"/>
  <c r="K100" i="6" s="1"/>
  <c r="J84" i="6"/>
  <c r="K84" i="6" s="1"/>
  <c r="J65" i="6"/>
  <c r="K65" i="6" s="1"/>
  <c r="J49" i="6"/>
  <c r="K49" i="6" s="1"/>
  <c r="J33" i="6"/>
  <c r="K33" i="6" s="1"/>
  <c r="J17" i="6"/>
  <c r="K17" i="6" s="1"/>
  <c r="J130" i="6"/>
  <c r="K130" i="6" s="1"/>
  <c r="J132" i="6"/>
  <c r="K132" i="6" s="1"/>
  <c r="J117" i="6"/>
  <c r="K117" i="6" s="1"/>
  <c r="J102" i="6"/>
  <c r="K102" i="6" s="1"/>
  <c r="J85" i="6"/>
  <c r="K85" i="6" s="1"/>
  <c r="J70" i="6"/>
  <c r="K70" i="6" s="1"/>
  <c r="J53" i="6"/>
  <c r="K53" i="6" s="1"/>
  <c r="J36" i="6"/>
  <c r="K36" i="6" s="1"/>
  <c r="J20" i="6"/>
  <c r="K20" i="6" s="1"/>
  <c r="B7" i="6" l="1"/>
  <c r="B8" i="6" s="1"/>
  <c r="B9" i="6" s="1"/>
  <c r="B17" i="6" s="1"/>
  <c r="B16" i="6" l="1"/>
  <c r="B15" i="6"/>
  <c r="B18" i="6"/>
  <c r="B10" i="6" l="1"/>
</calcChain>
</file>

<file path=xl/sharedStrings.xml><?xml version="1.0" encoding="utf-8"?>
<sst xmlns="http://schemas.openxmlformats.org/spreadsheetml/2006/main" count="383" uniqueCount="173">
  <si>
    <t>Mean</t>
  </si>
  <si>
    <t>Median</t>
  </si>
  <si>
    <t>Mode</t>
  </si>
  <si>
    <t>ModeH1</t>
  </si>
  <si>
    <t>ModeH2</t>
  </si>
  <si>
    <t>IQR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</si>
  <si>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</si>
  <si>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</si>
  <si>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</si>
  <si>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</si>
  <si>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</si>
  <si>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</si>
  <si>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</si>
  <si>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</si>
  <si>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</si>
  <si>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</si>
  <si>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</si>
  <si>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CI_Mean_Upper</t>
  </si>
  <si>
    <t>CI_Mean_Lower</t>
  </si>
  <si>
    <t>p</t>
  </si>
  <si>
    <t>p Value  Calculations</t>
  </si>
  <si>
    <t>p Value</t>
  </si>
  <si>
    <t>AD*</t>
  </si>
  <si>
    <t>AD</t>
  </si>
  <si>
    <t>S</t>
  </si>
  <si>
    <t>n</t>
  </si>
  <si>
    <t>Sigma</t>
  </si>
  <si>
    <t>Average</t>
  </si>
  <si>
    <t>z</t>
  </si>
  <si>
    <r>
      <t>1-F(X</t>
    </r>
    <r>
      <rPr>
        <vertAlign val="subscript"/>
        <sz val="11"/>
        <color indexed="8"/>
        <rFont val="Calibri"/>
        <family val="2"/>
      </rPr>
      <t>n-i+1</t>
    </r>
    <r>
      <rPr>
        <sz val="11"/>
        <color theme="1"/>
        <rFont val="Calibri"/>
        <family val="2"/>
        <scheme val="minor"/>
      </rPr>
      <t>)</t>
    </r>
  </si>
  <si>
    <r>
      <t>1-F(X</t>
    </r>
    <r>
      <rPr>
        <vertAlign val="subscript"/>
        <sz val="11"/>
        <color indexed="8"/>
        <rFont val="Calibri"/>
        <family val="2"/>
      </rPr>
      <t>i</t>
    </r>
    <r>
      <rPr>
        <sz val="11"/>
        <color theme="1"/>
        <rFont val="Calibri"/>
        <family val="2"/>
        <scheme val="minor"/>
      </rPr>
      <t>)</t>
    </r>
  </si>
  <si>
    <r>
      <t>F(X</t>
    </r>
    <r>
      <rPr>
        <vertAlign val="subscript"/>
        <sz val="11"/>
        <color indexed="8"/>
        <rFont val="Calibri"/>
        <family val="2"/>
      </rPr>
      <t>i</t>
    </r>
    <r>
      <rPr>
        <sz val="11"/>
        <color theme="1"/>
        <rFont val="Calibri"/>
        <family val="2"/>
        <scheme val="minor"/>
      </rPr>
      <t>)</t>
    </r>
  </si>
  <si>
    <t>Sorted</t>
  </si>
  <si>
    <t>i</t>
  </si>
  <si>
    <t>Weight</t>
  </si>
  <si>
    <t>Enter the data into column E</t>
  </si>
  <si>
    <t>http://world-class-manufacturing.com/Sigma/score.php</t>
  </si>
  <si>
    <r>
      <t xml:space="preserve">*** Cumulative Probability P(Z &lt; z) source : Z table - </t>
    </r>
    <r>
      <rPr>
        <b/>
        <i/>
        <sz val="11"/>
        <color indexed="8"/>
        <rFont val="Calibri"/>
        <family val="2"/>
      </rPr>
      <t>http://stattrek.com/Tables/Normal.aspx</t>
    </r>
  </si>
  <si>
    <t>L4</t>
  </si>
  <si>
    <t>L3</t>
  </si>
  <si>
    <t>L2</t>
  </si>
  <si>
    <t>L1</t>
  </si>
  <si>
    <t>Decision - 90% CI</t>
  </si>
  <si>
    <t>Decision - 95% CI</t>
  </si>
  <si>
    <t>Decision - 99% CI</t>
  </si>
  <si>
    <t>P Value</t>
  </si>
  <si>
    <t>Cumulative probability: P(Z &lt; z)</t>
  </si>
  <si>
    <t>Abs Z  Score</t>
  </si>
  <si>
    <t>S (Standard Error)</t>
  </si>
  <si>
    <t>H (Average)</t>
  </si>
  <si>
    <t>Total Population - Group 2</t>
  </si>
  <si>
    <t>Total Population - Group 1</t>
  </si>
  <si>
    <t>Group 2 Cat 1</t>
  </si>
  <si>
    <t>Group 1 Cat 1</t>
  </si>
  <si>
    <t>Level</t>
  </si>
  <si>
    <t>Test1</t>
  </si>
  <si>
    <t>C (Group 2 Cat 1)</t>
  </si>
  <si>
    <t>B (Group 1 Cat 1)</t>
  </si>
  <si>
    <r>
      <t>Alternative Hypothesis</t>
    </r>
    <r>
      <rPr>
        <sz val="11"/>
        <color theme="1"/>
        <rFont val="Calibri"/>
        <family val="2"/>
        <scheme val="minor"/>
      </rPr>
      <t xml:space="preserve"> - B (Group 1 Cat 1) ne C (Group 2 Cat 1)</t>
    </r>
  </si>
  <si>
    <r>
      <t>Null Hypothesis</t>
    </r>
    <r>
      <rPr>
        <sz val="11"/>
        <color theme="1"/>
        <rFont val="Calibri"/>
        <family val="2"/>
        <scheme val="minor"/>
      </rPr>
      <t xml:space="preserve"> -  B (Group 1 Cat 1) = C (Group 2 Cat 1)</t>
    </r>
  </si>
  <si>
    <t>n=</t>
  </si>
  <si>
    <t>num2=</t>
  </si>
  <si>
    <t>Please change only the Green Cells</t>
  </si>
  <si>
    <t>num1=</t>
  </si>
  <si>
    <t>(rounded off to next integer)</t>
  </si>
  <si>
    <t>n =</t>
  </si>
  <si>
    <t>Root(n)=</t>
  </si>
  <si>
    <r>
      <t xml:space="preserve">Z </t>
    </r>
    <r>
      <rPr>
        <vertAlign val="subscript"/>
        <sz val="10"/>
        <color theme="1"/>
        <rFont val="Calibri"/>
        <family val="2"/>
        <scheme val="minor"/>
      </rPr>
      <t>1-</t>
    </r>
    <r>
      <rPr>
        <vertAlign val="subscript"/>
        <sz val="10"/>
        <color theme="1"/>
        <rFont val="Calibri"/>
        <family val="2"/>
      </rPr>
      <t>β</t>
    </r>
  </si>
  <si>
    <t>Root(D1+D2)=</t>
  </si>
  <si>
    <t>One-sided</t>
  </si>
  <si>
    <r>
      <t>Z</t>
    </r>
    <r>
      <rPr>
        <vertAlign val="subscript"/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=</t>
    </r>
  </si>
  <si>
    <t>D1+D2=</t>
  </si>
  <si>
    <r>
      <t>1-</t>
    </r>
    <r>
      <rPr>
        <sz val="10"/>
        <color theme="1"/>
        <rFont val="Calibri"/>
        <family val="2"/>
      </rPr>
      <t>β</t>
    </r>
  </si>
  <si>
    <t>D2=</t>
  </si>
  <si>
    <t>*** Precision</t>
  </si>
  <si>
    <t xml:space="preserve">β = </t>
  </si>
  <si>
    <t>D1=</t>
  </si>
  <si>
    <t>α =</t>
  </si>
  <si>
    <t>Num=</t>
  </si>
  <si>
    <t>*** Expected Lift from the Campaign</t>
  </si>
  <si>
    <t>δ =</t>
  </si>
  <si>
    <t>*** Ideal Response Rate/ Can be Guess or Expected Value</t>
  </si>
  <si>
    <t>π =</t>
  </si>
  <si>
    <t>Population Greater than 50K</t>
  </si>
  <si>
    <t>Confidence Level (Percent)</t>
  </si>
  <si>
    <t>Percentage of population picking a choice, expressed as decimal</t>
  </si>
  <si>
    <t>Confidence interval, expressed as decimal</t>
  </si>
  <si>
    <t>Sample Size</t>
  </si>
  <si>
    <t>Population less than 50K</t>
  </si>
  <si>
    <t>Population</t>
  </si>
  <si>
    <t>Optimal Sample Size</t>
  </si>
  <si>
    <t>Sample Mean</t>
  </si>
  <si>
    <t>Population Mean</t>
  </si>
  <si>
    <t>Sample SD</t>
  </si>
  <si>
    <t>Z</t>
  </si>
  <si>
    <t>http://www.danielsoper.com/statcalc3/calc.aspx?id=98</t>
  </si>
  <si>
    <t>Z Test</t>
  </si>
  <si>
    <t>If the Sample size is less than 30 then use t test. Else go for Z test</t>
  </si>
  <si>
    <t>Rule -</t>
  </si>
  <si>
    <t>T Test Calculator</t>
  </si>
  <si>
    <t>Y</t>
  </si>
  <si>
    <t>X</t>
  </si>
  <si>
    <t>ANOVA</t>
  </si>
  <si>
    <t>Total</t>
  </si>
  <si>
    <t>df</t>
  </si>
  <si>
    <t>SS</t>
  </si>
  <si>
    <t>MS</t>
  </si>
  <si>
    <t>F</t>
  </si>
  <si>
    <t>P-value</t>
  </si>
  <si>
    <t>Row Labels</t>
  </si>
  <si>
    <t>Grand Total</t>
  </si>
  <si>
    <t>Sum of Y</t>
  </si>
  <si>
    <t>Count of Y2</t>
  </si>
  <si>
    <t>SST</t>
  </si>
  <si>
    <t>Anova: Single Factor</t>
  </si>
  <si>
    <t>SUMMARY</t>
  </si>
  <si>
    <t>Groups</t>
  </si>
  <si>
    <t>Variance</t>
  </si>
  <si>
    <t>Source of Variation</t>
  </si>
  <si>
    <t>F crit</t>
  </si>
  <si>
    <t>Between Groups</t>
  </si>
  <si>
    <t>Within Groups</t>
  </si>
  <si>
    <t>A</t>
  </si>
  <si>
    <t>B</t>
  </si>
  <si>
    <t>C</t>
  </si>
  <si>
    <t>Men (Actual)</t>
  </si>
  <si>
    <t>Women (Actual)</t>
  </si>
  <si>
    <t>Description</t>
  </si>
  <si>
    <t>Men (Expected)</t>
  </si>
  <si>
    <t>Women (Expected)</t>
  </si>
  <si>
    <t>P-Vaue</t>
  </si>
  <si>
    <t>http://graphpad.com/quickcalcs/chisquared1.cfm</t>
  </si>
  <si>
    <t>Left</t>
  </si>
  <si>
    <t>Right</t>
  </si>
  <si>
    <t>Centre</t>
  </si>
  <si>
    <t>Instruction</t>
  </si>
  <si>
    <t>Go to Data Analysis Tab and Select Descriptive Statistics</t>
  </si>
  <si>
    <t>*** Confidence Level</t>
  </si>
  <si>
    <t>Go to data analysis and select ANOVA - Single Factor</t>
  </si>
  <si>
    <t>You need to convert the data as shown in column J till M</t>
  </si>
  <si>
    <t>Ind</t>
  </si>
  <si>
    <t>Var1</t>
  </si>
  <si>
    <t>Var2</t>
  </si>
  <si>
    <t>Var3</t>
  </si>
  <si>
    <t>Var4</t>
  </si>
  <si>
    <t>Var5</t>
  </si>
  <si>
    <t>Var6</t>
  </si>
  <si>
    <t>Var7</t>
  </si>
  <si>
    <t xml:space="preserve">Mean </t>
  </si>
  <si>
    <t>Wmean (H1)</t>
  </si>
  <si>
    <t>Coeff_Var_H1</t>
  </si>
  <si>
    <t>Coeff_Var_H2</t>
  </si>
  <si>
    <t>Standev_</t>
  </si>
  <si>
    <t>Variance_</t>
  </si>
  <si>
    <t>Range_</t>
  </si>
  <si>
    <t xml:space="preserve">Q1 </t>
  </si>
  <si>
    <t xml:space="preserve">Q2 </t>
  </si>
  <si>
    <t xml:space="preserve">Q3 </t>
  </si>
  <si>
    <t>Correl(V1,V2)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</si>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</sst>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0"/>
    <numFmt numFmtId="166" formatCode="0.000"/>
    <numFmt numFmtId="167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12"/>
      <name val="Arial"/>
      <family val="2"/>
    </font>
    <font>
      <i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5" fillId="0" borderId="4" quotePrefix="1">
      <alignment horizontal="justify" vertical="justify" textRotation="127" wrapText="1" justifyLastLine="1"/>
      <protection hidden="1"/>
    </xf>
  </cellStyleXfs>
  <cellXfs count="83">
    <xf numFmtId="0" fontId="0" fillId="0" borderId="0" xfId="0"/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37" fontId="4" fillId="0" borderId="1" xfId="1" applyNumberFormat="1" applyFont="1" applyBorder="1" applyAlignment="1">
      <alignment horizontal="center"/>
    </xf>
    <xf numFmtId="164" fontId="0" fillId="0" borderId="0" xfId="0" applyNumberFormat="1"/>
    <xf numFmtId="0" fontId="5" fillId="2" borderId="2" xfId="0" applyFont="1" applyFill="1" applyBorder="1" applyAlignment="1">
      <alignment horizontal="center"/>
    </xf>
    <xf numFmtId="37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Fill="1" applyBorder="1" applyAlignment="1"/>
    <xf numFmtId="0" fontId="6" fillId="0" borderId="3" xfId="0" applyFont="1" applyFill="1" applyBorder="1" applyAlignment="1">
      <alignment horizontal="center"/>
    </xf>
    <xf numFmtId="165" fontId="0" fillId="0" borderId="0" xfId="0" applyNumberFormat="1"/>
    <xf numFmtId="0" fontId="7" fillId="0" borderId="0" xfId="2"/>
    <xf numFmtId="0" fontId="8" fillId="0" borderId="0" xfId="0" applyFont="1" applyAlignment="1">
      <alignment vertical="center"/>
    </xf>
    <xf numFmtId="0" fontId="9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Border="1"/>
    <xf numFmtId="0" fontId="11" fillId="0" borderId="0" xfId="4" applyBorder="1" applyAlignment="1" applyProtection="1"/>
    <xf numFmtId="0" fontId="0" fillId="4" borderId="1" xfId="0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0" fontId="0" fillId="4" borderId="1" xfId="5" applyNumberFormat="1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0" fontId="0" fillId="0" borderId="1" xfId="5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14" fillId="5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9" fontId="12" fillId="4" borderId="1" xfId="5" applyFont="1" applyFill="1" applyBorder="1" applyAlignment="1">
      <alignment horizontal="center" wrapText="1"/>
    </xf>
    <xf numFmtId="9" fontId="12" fillId="0" borderId="1" xfId="5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/>
    </xf>
    <xf numFmtId="9" fontId="12" fillId="4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0" fontId="14" fillId="0" borderId="0" xfId="0" applyFont="1" applyBorder="1"/>
    <xf numFmtId="0" fontId="16" fillId="3" borderId="0" xfId="0" applyFont="1" applyFill="1"/>
    <xf numFmtId="0" fontId="17" fillId="0" borderId="0" xfId="0" applyFont="1"/>
    <xf numFmtId="0" fontId="0" fillId="6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10" fontId="4" fillId="6" borderId="0" xfId="0" applyNumberFormat="1" applyFont="1" applyFill="1" applyAlignment="1">
      <alignment vertical="center"/>
    </xf>
    <xf numFmtId="0" fontId="2" fillId="3" borderId="0" xfId="0" applyFont="1" applyFill="1"/>
    <xf numFmtId="9" fontId="0" fillId="0" borderId="0" xfId="3" applyFont="1"/>
    <xf numFmtId="0" fontId="14" fillId="7" borderId="1" xfId="0" applyFont="1" applyFill="1" applyBorder="1" applyAlignment="1">
      <alignment horizontal="center" wrapText="1"/>
    </xf>
    <xf numFmtId="9" fontId="0" fillId="0" borderId="0" xfId="0" applyNumberFormat="1"/>
    <xf numFmtId="0" fontId="0" fillId="0" borderId="1" xfId="0" applyBorder="1" applyAlignment="1">
      <alignment horizontal="left"/>
    </xf>
    <xf numFmtId="9" fontId="0" fillId="0" borderId="1" xfId="3" applyFont="1" applyBorder="1" applyAlignment="1">
      <alignment horizontal="center"/>
    </xf>
    <xf numFmtId="0" fontId="0" fillId="0" borderId="5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8" borderId="0" xfId="0" applyFont="1" applyFill="1" applyBorder="1"/>
    <xf numFmtId="0" fontId="0" fillId="3" borderId="0" xfId="0" applyFill="1" applyBorder="1" applyAlignment="1"/>
    <xf numFmtId="0" fontId="2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9" borderId="0" xfId="0" applyFill="1"/>
    <xf numFmtId="0" fontId="2" fillId="9" borderId="0" xfId="0" applyFont="1" applyFill="1"/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9" fontId="12" fillId="10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</cellXfs>
  <cellStyles count="7">
    <cellStyle name="C:\WINNT\Profiles\backup\Personal" xfId="6" xr:uid="{00000000-0005-0000-0000-000000000000}"/>
    <cellStyle name="Currency" xfId="1" builtinId="4"/>
    <cellStyle name="Hyperlink" xfId="2" builtinId="8"/>
    <cellStyle name="Hyperlink 2" xfId="4" xr:uid="{00000000-0005-0000-0000-000003000000}"/>
    <cellStyle name="Normal" xfId="0" builtinId="0"/>
    <cellStyle name="Percent" xfId="3" builtinId="5"/>
    <cellStyle name="Percent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32709405074365705"/>
          <c:y val="3.3150331346703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50448188555273"/>
          <c:y val="0.19061374470752027"/>
          <c:w val="0.66877179826155186"/>
          <c:h val="0.676816919613658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'Normality Test'!$G$2:$G$201</c:f>
              <c:numCache>
                <c:formatCode>General</c:formatCode>
                <c:ptCount val="200"/>
                <c:pt idx="0">
                  <c:v>16.100000000000001</c:v>
                </c:pt>
                <c:pt idx="1">
                  <c:v>16.3</c:v>
                </c:pt>
                <c:pt idx="2">
                  <c:v>16.3</c:v>
                </c:pt>
                <c:pt idx="3">
                  <c:v>16.399999999999999</c:v>
                </c:pt>
                <c:pt idx="4">
                  <c:v>16.600000000000001</c:v>
                </c:pt>
                <c:pt idx="5">
                  <c:v>16.8</c:v>
                </c:pt>
                <c:pt idx="6">
                  <c:v>16.899999999999999</c:v>
                </c:pt>
                <c:pt idx="7">
                  <c:v>17.100000000000001</c:v>
                </c:pt>
                <c:pt idx="8">
                  <c:v>17.100000000000001</c:v>
                </c:pt>
                <c:pt idx="9">
                  <c:v>17.100000000000001</c:v>
                </c:pt>
                <c:pt idx="10">
                  <c:v>17.100000000000001</c:v>
                </c:pt>
                <c:pt idx="11">
                  <c:v>17.2</c:v>
                </c:pt>
                <c:pt idx="12">
                  <c:v>17.2</c:v>
                </c:pt>
                <c:pt idx="13">
                  <c:v>17.3</c:v>
                </c:pt>
                <c:pt idx="14">
                  <c:v>17.3</c:v>
                </c:pt>
                <c:pt idx="15">
                  <c:v>17.3</c:v>
                </c:pt>
                <c:pt idx="16">
                  <c:v>17.3</c:v>
                </c:pt>
                <c:pt idx="17">
                  <c:v>17.399999999999999</c:v>
                </c:pt>
                <c:pt idx="18">
                  <c:v>17.399999999999999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17.600000000000001</c:v>
                </c:pt>
                <c:pt idx="23">
                  <c:v>17.7</c:v>
                </c:pt>
                <c:pt idx="24">
                  <c:v>17.7</c:v>
                </c:pt>
                <c:pt idx="25">
                  <c:v>17.7</c:v>
                </c:pt>
                <c:pt idx="26">
                  <c:v>17.8</c:v>
                </c:pt>
                <c:pt idx="27">
                  <c:v>17.899999999999999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18.2</c:v>
                </c:pt>
                <c:pt idx="38">
                  <c:v>18.2</c:v>
                </c:pt>
                <c:pt idx="39">
                  <c:v>18.3</c:v>
                </c:pt>
                <c:pt idx="40">
                  <c:v>18.3</c:v>
                </c:pt>
                <c:pt idx="41">
                  <c:v>18.3</c:v>
                </c:pt>
                <c:pt idx="42">
                  <c:v>18.3</c:v>
                </c:pt>
                <c:pt idx="43">
                  <c:v>18.3</c:v>
                </c:pt>
                <c:pt idx="44">
                  <c:v>18.3</c:v>
                </c:pt>
                <c:pt idx="45">
                  <c:v>18.3</c:v>
                </c:pt>
                <c:pt idx="46">
                  <c:v>18.3</c:v>
                </c:pt>
                <c:pt idx="47">
                  <c:v>18.399999999999999</c:v>
                </c:pt>
                <c:pt idx="48">
                  <c:v>18.399999999999999</c:v>
                </c:pt>
                <c:pt idx="49">
                  <c:v>18.399999999999999</c:v>
                </c:pt>
                <c:pt idx="50">
                  <c:v>18.399999999999999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18.600000000000001</c:v>
                </c:pt>
                <c:pt idx="61">
                  <c:v>18.600000000000001</c:v>
                </c:pt>
                <c:pt idx="62">
                  <c:v>18.600000000000001</c:v>
                </c:pt>
                <c:pt idx="63">
                  <c:v>18.600000000000001</c:v>
                </c:pt>
                <c:pt idx="64">
                  <c:v>18.7</c:v>
                </c:pt>
                <c:pt idx="65">
                  <c:v>18.7</c:v>
                </c:pt>
                <c:pt idx="66">
                  <c:v>18.7</c:v>
                </c:pt>
                <c:pt idx="67">
                  <c:v>18.7</c:v>
                </c:pt>
                <c:pt idx="68">
                  <c:v>18.8</c:v>
                </c:pt>
                <c:pt idx="69">
                  <c:v>18.8</c:v>
                </c:pt>
                <c:pt idx="70">
                  <c:v>18.8</c:v>
                </c:pt>
                <c:pt idx="71">
                  <c:v>18.8</c:v>
                </c:pt>
                <c:pt idx="72">
                  <c:v>18.8</c:v>
                </c:pt>
                <c:pt idx="73">
                  <c:v>18.899999999999999</c:v>
                </c:pt>
                <c:pt idx="74">
                  <c:v>18.899999999999999</c:v>
                </c:pt>
                <c:pt idx="75">
                  <c:v>18.899999999999999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19.100000000000001</c:v>
                </c:pt>
                <c:pt idx="85">
                  <c:v>19.100000000000001</c:v>
                </c:pt>
                <c:pt idx="86">
                  <c:v>19.100000000000001</c:v>
                </c:pt>
                <c:pt idx="87">
                  <c:v>19.2</c:v>
                </c:pt>
                <c:pt idx="88">
                  <c:v>19.2</c:v>
                </c:pt>
                <c:pt idx="89">
                  <c:v>19.2</c:v>
                </c:pt>
                <c:pt idx="90">
                  <c:v>19.3</c:v>
                </c:pt>
                <c:pt idx="91">
                  <c:v>19.3</c:v>
                </c:pt>
                <c:pt idx="92">
                  <c:v>19.3</c:v>
                </c:pt>
                <c:pt idx="93">
                  <c:v>19.3</c:v>
                </c:pt>
                <c:pt idx="94">
                  <c:v>19.399999999999999</c:v>
                </c:pt>
                <c:pt idx="95">
                  <c:v>19.399999999999999</c:v>
                </c:pt>
                <c:pt idx="96">
                  <c:v>19.399999999999999</c:v>
                </c:pt>
                <c:pt idx="97">
                  <c:v>19.399999999999999</c:v>
                </c:pt>
                <c:pt idx="98">
                  <c:v>19.399999999999999</c:v>
                </c:pt>
                <c:pt idx="99">
                  <c:v>19.5</c:v>
                </c:pt>
                <c:pt idx="100">
                  <c:v>19.5</c:v>
                </c:pt>
                <c:pt idx="101">
                  <c:v>19.5</c:v>
                </c:pt>
                <c:pt idx="102">
                  <c:v>19.5</c:v>
                </c:pt>
                <c:pt idx="103">
                  <c:v>19.600000000000001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19.7</c:v>
                </c:pt>
                <c:pt idx="109">
                  <c:v>19.7</c:v>
                </c:pt>
                <c:pt idx="110">
                  <c:v>19.7</c:v>
                </c:pt>
                <c:pt idx="111">
                  <c:v>19.8</c:v>
                </c:pt>
                <c:pt idx="112">
                  <c:v>19.8</c:v>
                </c:pt>
                <c:pt idx="113">
                  <c:v>19.8</c:v>
                </c:pt>
                <c:pt idx="114">
                  <c:v>19.899999999999999</c:v>
                </c:pt>
                <c:pt idx="115">
                  <c:v>19.899999999999999</c:v>
                </c:pt>
                <c:pt idx="116">
                  <c:v>19.899999999999999</c:v>
                </c:pt>
                <c:pt idx="117">
                  <c:v>19.899999999999999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20.100000000000001</c:v>
                </c:pt>
                <c:pt idx="122">
                  <c:v>20.100000000000001</c:v>
                </c:pt>
                <c:pt idx="123">
                  <c:v>20.2</c:v>
                </c:pt>
                <c:pt idx="124">
                  <c:v>20.3</c:v>
                </c:pt>
                <c:pt idx="125">
                  <c:v>20.399999999999999</c:v>
                </c:pt>
                <c:pt idx="126">
                  <c:v>20.399999999999999</c:v>
                </c:pt>
                <c:pt idx="127">
                  <c:v>20.399999999999999</c:v>
                </c:pt>
                <c:pt idx="128">
                  <c:v>20.5</c:v>
                </c:pt>
                <c:pt idx="129">
                  <c:v>20.5</c:v>
                </c:pt>
                <c:pt idx="130">
                  <c:v>20.5</c:v>
                </c:pt>
                <c:pt idx="131">
                  <c:v>20.5</c:v>
                </c:pt>
                <c:pt idx="132">
                  <c:v>20.6</c:v>
                </c:pt>
                <c:pt idx="133">
                  <c:v>20.6</c:v>
                </c:pt>
                <c:pt idx="134">
                  <c:v>20.7</c:v>
                </c:pt>
                <c:pt idx="135">
                  <c:v>20.8</c:v>
                </c:pt>
                <c:pt idx="136">
                  <c:v>20.9</c:v>
                </c:pt>
                <c:pt idx="137">
                  <c:v>20.9</c:v>
                </c:pt>
                <c:pt idx="138">
                  <c:v>21</c:v>
                </c:pt>
                <c:pt idx="139">
                  <c:v>21.4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'Normality Test'!$L$2:$L$201</c:f>
              <c:numCache>
                <c:formatCode>General</c:formatCode>
                <c:ptCount val="200"/>
                <c:pt idx="0">
                  <c:v>-2.5768157056643637</c:v>
                </c:pt>
                <c:pt idx="1">
                  <c:v>-2.253676540998629</c:v>
                </c:pt>
                <c:pt idx="2">
                  <c:v>-2.0699018308950512</c:v>
                </c:pt>
                <c:pt idx="3">
                  <c:v>-1.9373174317326844</c:v>
                </c:pt>
                <c:pt idx="4">
                  <c:v>-1.8319990177530494</c:v>
                </c:pt>
                <c:pt idx="5">
                  <c:v>-1.7437850334621019</c:v>
                </c:pt>
                <c:pt idx="6">
                  <c:v>-1.6673662758155805</c:v>
                </c:pt>
                <c:pt idx="7">
                  <c:v>-1.5996033280899549</c:v>
                </c:pt>
                <c:pt idx="8">
                  <c:v>-1.5384786536137631</c:v>
                </c:pt>
                <c:pt idx="9">
                  <c:v>-1.4826153436092895</c:v>
                </c:pt>
                <c:pt idx="10">
                  <c:v>-1.43102987763545</c:v>
                </c:pt>
                <c:pt idx="11">
                  <c:v>-1.3829941271006392</c:v>
                </c:pt>
                <c:pt idx="12">
                  <c:v>-1.3379532377585106</c:v>
                </c:pt>
                <c:pt idx="13">
                  <c:v>-1.2954742022093346</c:v>
                </c:pt>
                <c:pt idx="14">
                  <c:v>-1.2552122784689139</c:v>
                </c:pt>
                <c:pt idx="15">
                  <c:v>-1.2168882845316809</c:v>
                </c:pt>
                <c:pt idx="16">
                  <c:v>-1.1802727868295286</c:v>
                </c:pt>
                <c:pt idx="17">
                  <c:v>-1.1451748070146457</c:v>
                </c:pt>
                <c:pt idx="18">
                  <c:v>-1.1114335766029091</c:v>
                </c:pt>
                <c:pt idx="19">
                  <c:v>-1.0789123997706274</c:v>
                </c:pt>
                <c:pt idx="20">
                  <c:v>-1.0474940068175931</c:v>
                </c:pt>
                <c:pt idx="21">
                  <c:v>-1.0170769824594872</c:v>
                </c:pt>
                <c:pt idx="22">
                  <c:v>-0.98757298273868099</c:v>
                </c:pt>
                <c:pt idx="23">
                  <c:v>-0.95890453968260392</c:v>
                </c:pt>
                <c:pt idx="24">
                  <c:v>-0.93100331023794303</c:v>
                </c:pt>
                <c:pt idx="25">
                  <c:v>-0.90380866536633708</c:v>
                </c:pt>
                <c:pt idx="26">
                  <c:v>-0.87726654265007264</c:v>
                </c:pt>
                <c:pt idx="27">
                  <c:v>-0.8513285052261178</c:v>
                </c:pt>
                <c:pt idx="28">
                  <c:v>-0.8259509638725272</c:v>
                </c:pt>
                <c:pt idx="29">
                  <c:v>-0.80109452928194935</c:v>
                </c:pt>
                <c:pt idx="30">
                  <c:v>-0.77672346909285528</c:v>
                </c:pt>
                <c:pt idx="31">
                  <c:v>-0.7528052498747434</c:v>
                </c:pt>
                <c:pt idx="32">
                  <c:v>-0.72931014850769149</c:v>
                </c:pt>
                <c:pt idx="33">
                  <c:v>-0.70621092062998536</c:v>
                </c:pt>
                <c:pt idx="34">
                  <c:v>-0.68348251631360402</c:v>
                </c:pt>
                <c:pt idx="35">
                  <c:v>-0.66110183505512932</c:v>
                </c:pt>
                <c:pt idx="36">
                  <c:v>-0.63904751367660539</c:v>
                </c:pt>
                <c:pt idx="37">
                  <c:v>-0.61729974191771353</c:v>
                </c:pt>
                <c:pt idx="38">
                  <c:v>-0.59584010144197597</c:v>
                </c:pt>
                <c:pt idx="39">
                  <c:v>-0.57465142473135722</c:v>
                </c:pt>
                <c:pt idx="40">
                  <c:v>-0.553717670947528</c:v>
                </c:pt>
                <c:pt idx="41">
                  <c:v>-0.53302381632619555</c:v>
                </c:pt>
                <c:pt idx="42">
                  <c:v>-0.51255575706762879</c:v>
                </c:pt>
                <c:pt idx="43">
                  <c:v>-0.49230022301069837</c:v>
                </c:pt>
                <c:pt idx="44">
                  <c:v>-0.472244700643972</c:v>
                </c:pt>
                <c:pt idx="45">
                  <c:v>-0.4523773642270823</c:v>
                </c:pt>
                <c:pt idx="46">
                  <c:v>-0.43268701397766468</c:v>
                </c:pt>
                <c:pt idx="47">
                  <c:v>-0.41316302043074504</c:v>
                </c:pt>
                <c:pt idx="48">
                  <c:v>-0.39379527420412674</c:v>
                </c:pt>
                <c:pt idx="49">
                  <c:v>-0.37457414050962989</c:v>
                </c:pt>
                <c:pt idx="50">
                  <c:v>-0.35549041783953095</c:v>
                </c:pt>
                <c:pt idx="51">
                  <c:v>-0.33653530033316909</c:v>
                </c:pt>
                <c:pt idx="52">
                  <c:v>-0.31770034339279085</c:v>
                </c:pt>
                <c:pt idx="53">
                  <c:v>-0.29897743217218081</c:v>
                </c:pt>
                <c:pt idx="54">
                  <c:v>-0.28035875260808046</c:v>
                </c:pt>
                <c:pt idx="55">
                  <c:v>-0.2618367647040768</c:v>
                </c:pt>
                <c:pt idx="56">
                  <c:v>-0.24340417781063114</c:v>
                </c:pt>
                <c:pt idx="57">
                  <c:v>-0.22505392767406832</c:v>
                </c:pt>
                <c:pt idx="58">
                  <c:v>-0.20677915505239405</c:v>
                </c:pt>
                <c:pt idx="59">
                  <c:v>-0.18857318571734494</c:v>
                </c:pt>
                <c:pt idx="60">
                  <c:v>-0.17042951168060555</c:v>
                </c:pt>
                <c:pt idx="61">
                  <c:v>-0.15234177349806091</c:v>
                </c:pt>
                <c:pt idx="62">
                  <c:v>-0.13430374351964616</c:v>
                </c:pt>
                <c:pt idx="63">
                  <c:v>-0.11630930996408784</c:v>
                </c:pt>
                <c:pt idx="64">
                  <c:v>-9.8352461707857775E-2</c:v>
                </c:pt>
                <c:pt idx="65">
                  <c:v>-8.0427273686169864E-2</c:v>
                </c:pt>
                <c:pt idx="66">
                  <c:v>-6.2527892811020142E-2</c:v>
                </c:pt>
                <c:pt idx="67">
                  <c:v>-4.464852431723397E-2</c:v>
                </c:pt>
                <c:pt idx="68">
                  <c:v>-2.6783418452355736E-2</c:v>
                </c:pt>
                <c:pt idx="69">
                  <c:v>-8.9268574300863518E-3</c:v>
                </c:pt>
                <c:pt idx="70">
                  <c:v>8.9268574300863518E-3</c:v>
                </c:pt>
                <c:pt idx="71">
                  <c:v>2.6783418452355601E-2</c:v>
                </c:pt>
                <c:pt idx="72">
                  <c:v>4.464852431723397E-2</c:v>
                </c:pt>
                <c:pt idx="73">
                  <c:v>6.2527892811020003E-2</c:v>
                </c:pt>
                <c:pt idx="74">
                  <c:v>8.0427273686169864E-2</c:v>
                </c:pt>
                <c:pt idx="75">
                  <c:v>9.8352461707857913E-2</c:v>
                </c:pt>
                <c:pt idx="76">
                  <c:v>0.11630930996408784</c:v>
                </c:pt>
                <c:pt idx="77">
                  <c:v>0.1343037435196463</c:v>
                </c:pt>
                <c:pt idx="78">
                  <c:v>0.15234177349806091</c:v>
                </c:pt>
                <c:pt idx="79">
                  <c:v>0.17042951168060555</c:v>
                </c:pt>
                <c:pt idx="80">
                  <c:v>0.1885731857173448</c:v>
                </c:pt>
                <c:pt idx="81">
                  <c:v>0.20677915505239405</c:v>
                </c:pt>
                <c:pt idx="82">
                  <c:v>0.2250539276740682</c:v>
                </c:pt>
                <c:pt idx="83">
                  <c:v>0.24340417781063114</c:v>
                </c:pt>
                <c:pt idx="84">
                  <c:v>0.26183676470407691</c:v>
                </c:pt>
                <c:pt idx="85">
                  <c:v>0.28035875260808046</c:v>
                </c:pt>
                <c:pt idx="86">
                  <c:v>0.29897743217218092</c:v>
                </c:pt>
                <c:pt idx="87">
                  <c:v>0.31770034339279069</c:v>
                </c:pt>
                <c:pt idx="88">
                  <c:v>0.33653530033316909</c:v>
                </c:pt>
                <c:pt idx="89">
                  <c:v>0.35549041783953067</c:v>
                </c:pt>
                <c:pt idx="90">
                  <c:v>0.37457414050962989</c:v>
                </c:pt>
                <c:pt idx="91">
                  <c:v>0.3937952742041268</c:v>
                </c:pt>
                <c:pt idx="92">
                  <c:v>0.41316302043074504</c:v>
                </c:pt>
                <c:pt idx="93">
                  <c:v>0.43268701397766485</c:v>
                </c:pt>
                <c:pt idx="94">
                  <c:v>0.4523773642270823</c:v>
                </c:pt>
                <c:pt idx="95">
                  <c:v>0.47224470064397234</c:v>
                </c:pt>
                <c:pt idx="96">
                  <c:v>0.4923002230106982</c:v>
                </c:pt>
                <c:pt idx="97">
                  <c:v>0.51255575706762879</c:v>
                </c:pt>
                <c:pt idx="98">
                  <c:v>0.53302381632619555</c:v>
                </c:pt>
                <c:pt idx="99">
                  <c:v>0.553717670947528</c:v>
                </c:pt>
                <c:pt idx="100">
                  <c:v>0.57465142473135711</c:v>
                </c:pt>
                <c:pt idx="101">
                  <c:v>0.59584010144197597</c:v>
                </c:pt>
                <c:pt idx="102">
                  <c:v>0.61729974191771353</c:v>
                </c:pt>
                <c:pt idx="103">
                  <c:v>0.63904751367660539</c:v>
                </c:pt>
                <c:pt idx="104">
                  <c:v>0.66110183505512932</c:v>
                </c:pt>
                <c:pt idx="105">
                  <c:v>0.68348251631360402</c:v>
                </c:pt>
                <c:pt idx="106">
                  <c:v>0.70621092062998536</c:v>
                </c:pt>
                <c:pt idx="107">
                  <c:v>0.72931014850769149</c:v>
                </c:pt>
                <c:pt idx="108">
                  <c:v>0.7528052498747434</c:v>
                </c:pt>
                <c:pt idx="109">
                  <c:v>0.77672346909285528</c:v>
                </c:pt>
                <c:pt idx="110">
                  <c:v>0.80109452928194935</c:v>
                </c:pt>
                <c:pt idx="111">
                  <c:v>0.8259509638725272</c:v>
                </c:pt>
                <c:pt idx="112">
                  <c:v>0.85132850522611758</c:v>
                </c:pt>
                <c:pt idx="113">
                  <c:v>0.87726654265007264</c:v>
                </c:pt>
                <c:pt idx="114">
                  <c:v>0.90380866536633531</c:v>
                </c:pt>
                <c:pt idx="115">
                  <c:v>0.93100331023794303</c:v>
                </c:pt>
                <c:pt idx="116">
                  <c:v>0.95890453968260358</c:v>
                </c:pt>
                <c:pt idx="117">
                  <c:v>0.98757298273868099</c:v>
                </c:pt>
                <c:pt idx="118">
                  <c:v>1.0170769824594872</c:v>
                </c:pt>
                <c:pt idx="119">
                  <c:v>1.0474940068175926</c:v>
                </c:pt>
                <c:pt idx="120">
                  <c:v>1.0789123997706274</c:v>
                </c:pt>
                <c:pt idx="121">
                  <c:v>1.1114335766029086</c:v>
                </c:pt>
                <c:pt idx="122">
                  <c:v>1.1451748070146457</c:v>
                </c:pt>
                <c:pt idx="123">
                  <c:v>1.1802727868295286</c:v>
                </c:pt>
                <c:pt idx="124">
                  <c:v>1.2168882845316809</c:v>
                </c:pt>
                <c:pt idx="125">
                  <c:v>1.2552122784689139</c:v>
                </c:pt>
                <c:pt idx="126">
                  <c:v>1.2954742022093346</c:v>
                </c:pt>
                <c:pt idx="127">
                  <c:v>1.3379532377585106</c:v>
                </c:pt>
                <c:pt idx="128">
                  <c:v>1.3829941271006378</c:v>
                </c:pt>
                <c:pt idx="129">
                  <c:v>1.4310298776354489</c:v>
                </c:pt>
                <c:pt idx="130">
                  <c:v>1.4826153436092886</c:v>
                </c:pt>
                <c:pt idx="131">
                  <c:v>1.5384786536137618</c:v>
                </c:pt>
                <c:pt idx="132">
                  <c:v>1.599603328089954</c:v>
                </c:pt>
                <c:pt idx="133">
                  <c:v>1.6673662758155794</c:v>
                </c:pt>
                <c:pt idx="134">
                  <c:v>1.7437850334621006</c:v>
                </c:pt>
                <c:pt idx="135">
                  <c:v>1.8319990177530474</c:v>
                </c:pt>
                <c:pt idx="136">
                  <c:v>1.9373174317326829</c:v>
                </c:pt>
                <c:pt idx="137">
                  <c:v>2.0699018308950485</c:v>
                </c:pt>
                <c:pt idx="138">
                  <c:v>2.2536765409986268</c:v>
                </c:pt>
                <c:pt idx="139">
                  <c:v>2.5768157056643521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E-400E-A530-528F9F623186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'Normality Test'!$M$2:$M$4</c:f>
              <c:numCache>
                <c:formatCode>General</c:formatCode>
                <c:ptCount val="3"/>
                <c:pt idx="0">
                  <c:v>15.440719496533584</c:v>
                </c:pt>
                <c:pt idx="1">
                  <c:v>18.802142857142858</c:v>
                </c:pt>
                <c:pt idx="2">
                  <c:v>22.163566217752134</c:v>
                </c:pt>
              </c:numCache>
            </c:numRef>
          </c:xVal>
          <c:yVal>
            <c:numRef>
              <c:f>'Normality Test'!$N$2:$N$4</c:f>
              <c:numCache>
                <c:formatCode>General</c:formatCode>
                <c:ptCount val="3"/>
                <c:pt idx="0">
                  <c:v>-3</c:v>
                </c:pt>
                <c:pt idx="1">
                  <c:v>0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E-400E-A530-528F9F62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0944"/>
        <c:axId val="180613120"/>
      </c:scatterChart>
      <c:valAx>
        <c:axId val="1806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604317585301837"/>
              <c:y val="0.89781847711025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0613120"/>
        <c:crosses val="autoZero"/>
        <c:crossBetween val="midCat"/>
      </c:valAx>
      <c:valAx>
        <c:axId val="18061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4.1667979002624672E-2"/>
              <c:y val="0.5165908266991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8061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314324</xdr:colOff>
      <xdr:row>5</xdr:row>
      <xdr:rowOff>0</xdr:rowOff>
    </xdr:from>
    <xdr:to>
      <xdr:col>23</xdr:col>
      <xdr:colOff>119062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tra, Anindya" refreshedDate="41753.961084259259" createdVersion="4" refreshedVersion="4" minRefreshableVersion="3" recordCount="100" xr:uid="{00000000-000A-0000-FFFF-FFFF00000000}">
  <cacheSource type="worksheet">
    <worksheetSource ref="A1:B101" sheet="ANOVA"/>
  </cacheSource>
  <cacheFields count="2">
    <cacheField name="Y" numFmtId="0">
      <sharedItems containsSemiMixedTypes="0" containsString="0" containsNumber="1" minValue="16.100000000000001" maxValue="20.9"/>
    </cacheField>
    <cacheField name="X" numFmtId="0">
      <sharedItems containsSemiMixedTypes="0" containsString="0" containsNumber="1" containsInteger="1" minValue="1" maxValue="4" count="4">
        <n v="1"/>
        <n v="4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7.3"/>
    <x v="0"/>
  </r>
  <r>
    <n v="19"/>
    <x v="1"/>
  </r>
  <r>
    <n v="18.2"/>
    <x v="0"/>
  </r>
  <r>
    <n v="19"/>
    <x v="2"/>
  </r>
  <r>
    <n v="19"/>
    <x v="3"/>
  </r>
  <r>
    <n v="20.399999999999999"/>
    <x v="0"/>
  </r>
  <r>
    <n v="18.3"/>
    <x v="0"/>
  </r>
  <r>
    <n v="19.899999999999999"/>
    <x v="1"/>
  </r>
  <r>
    <n v="18.7"/>
    <x v="3"/>
  </r>
  <r>
    <n v="20.9"/>
    <x v="0"/>
  </r>
  <r>
    <n v="17.7"/>
    <x v="1"/>
  </r>
  <r>
    <n v="19.100000000000001"/>
    <x v="3"/>
  </r>
  <r>
    <n v="19.7"/>
    <x v="1"/>
  </r>
  <r>
    <n v="18.100000000000001"/>
    <x v="3"/>
  </r>
  <r>
    <n v="18.399999999999999"/>
    <x v="2"/>
  </r>
  <r>
    <n v="17.5"/>
    <x v="3"/>
  </r>
  <r>
    <n v="18.899999999999999"/>
    <x v="3"/>
  </r>
  <r>
    <n v="19"/>
    <x v="1"/>
  </r>
  <r>
    <n v="20.5"/>
    <x v="3"/>
  </r>
  <r>
    <n v="17.3"/>
    <x v="3"/>
  </r>
  <r>
    <n v="18.3"/>
    <x v="0"/>
  </r>
  <r>
    <n v="18.399999999999999"/>
    <x v="1"/>
  </r>
  <r>
    <n v="18.600000000000001"/>
    <x v="0"/>
  </r>
  <r>
    <n v="19.8"/>
    <x v="3"/>
  </r>
  <r>
    <n v="20.2"/>
    <x v="3"/>
  </r>
  <r>
    <n v="18.5"/>
    <x v="0"/>
  </r>
  <r>
    <n v="18.5"/>
    <x v="3"/>
  </r>
  <r>
    <n v="18"/>
    <x v="3"/>
  </r>
  <r>
    <n v="20.9"/>
    <x v="3"/>
  </r>
  <r>
    <n v="18.100000000000001"/>
    <x v="3"/>
  </r>
  <r>
    <n v="19.399999999999999"/>
    <x v="2"/>
  </r>
  <r>
    <n v="20.5"/>
    <x v="2"/>
  </r>
  <r>
    <n v="20.399999999999999"/>
    <x v="1"/>
  </r>
  <r>
    <n v="16.100000000000001"/>
    <x v="3"/>
  </r>
  <r>
    <n v="18.7"/>
    <x v="3"/>
  </r>
  <r>
    <n v="18.8"/>
    <x v="1"/>
  </r>
  <r>
    <n v="17.3"/>
    <x v="3"/>
  </r>
  <r>
    <n v="18.100000000000001"/>
    <x v="2"/>
  </r>
  <r>
    <n v="19.899999999999999"/>
    <x v="0"/>
  </r>
  <r>
    <n v="19.600000000000001"/>
    <x v="0"/>
  </r>
  <r>
    <n v="18.399999999999999"/>
    <x v="3"/>
  </r>
  <r>
    <n v="19.5"/>
    <x v="2"/>
  </r>
  <r>
    <n v="16.8"/>
    <x v="1"/>
  </r>
  <r>
    <n v="17.100000000000001"/>
    <x v="3"/>
  </r>
  <r>
    <n v="18.899999999999999"/>
    <x v="1"/>
  </r>
  <r>
    <n v="19.7"/>
    <x v="2"/>
  </r>
  <r>
    <n v="19.7"/>
    <x v="2"/>
  </r>
  <r>
    <n v="19.2"/>
    <x v="1"/>
  </r>
  <r>
    <n v="20.6"/>
    <x v="0"/>
  </r>
  <r>
    <n v="20.100000000000001"/>
    <x v="0"/>
  </r>
  <r>
    <n v="18.8"/>
    <x v="0"/>
  </r>
  <r>
    <n v="17.100000000000001"/>
    <x v="3"/>
  </r>
  <r>
    <n v="18.600000000000001"/>
    <x v="3"/>
  </r>
  <r>
    <n v="18"/>
    <x v="0"/>
  </r>
  <r>
    <n v="18.7"/>
    <x v="1"/>
  </r>
  <r>
    <n v="20.3"/>
    <x v="3"/>
  </r>
  <r>
    <n v="18.7"/>
    <x v="3"/>
  </r>
  <r>
    <n v="18.8"/>
    <x v="3"/>
  </r>
  <r>
    <n v="19.399999999999999"/>
    <x v="3"/>
  </r>
  <r>
    <n v="18.5"/>
    <x v="0"/>
  </r>
  <r>
    <n v="18.600000000000001"/>
    <x v="2"/>
  </r>
  <r>
    <n v="19.600000000000001"/>
    <x v="2"/>
  </r>
  <r>
    <n v="18.5"/>
    <x v="0"/>
  </r>
  <r>
    <n v="20"/>
    <x v="2"/>
  </r>
  <r>
    <n v="17.8"/>
    <x v="0"/>
  </r>
  <r>
    <n v="19.8"/>
    <x v="1"/>
  </r>
  <r>
    <n v="16.600000000000001"/>
    <x v="3"/>
  </r>
  <r>
    <n v="19.399999999999999"/>
    <x v="3"/>
  </r>
  <r>
    <n v="19.3"/>
    <x v="1"/>
  </r>
  <r>
    <n v="20.100000000000001"/>
    <x v="1"/>
  </r>
  <r>
    <n v="20.5"/>
    <x v="3"/>
  </r>
  <r>
    <n v="20"/>
    <x v="2"/>
  </r>
  <r>
    <n v="20.8"/>
    <x v="0"/>
  </r>
  <r>
    <n v="17.7"/>
    <x v="3"/>
  </r>
  <r>
    <n v="19.899999999999999"/>
    <x v="3"/>
  </r>
  <r>
    <n v="18.8"/>
    <x v="3"/>
  </r>
  <r>
    <n v="16.399999999999999"/>
    <x v="1"/>
  </r>
  <r>
    <n v="18.5"/>
    <x v="0"/>
  </r>
  <r>
    <n v="19"/>
    <x v="2"/>
  </r>
  <r>
    <n v="20.6"/>
    <x v="3"/>
  </r>
  <r>
    <n v="19.2"/>
    <x v="2"/>
  </r>
  <r>
    <n v="17.100000000000001"/>
    <x v="3"/>
  </r>
  <r>
    <n v="16.3"/>
    <x v="0"/>
  </r>
  <r>
    <n v="17.2"/>
    <x v="3"/>
  </r>
  <r>
    <n v="17.899999999999999"/>
    <x v="2"/>
  </r>
  <r>
    <n v="19.100000000000001"/>
    <x v="0"/>
  </r>
  <r>
    <n v="17.3"/>
    <x v="3"/>
  </r>
  <r>
    <n v="19.399999999999999"/>
    <x v="1"/>
  </r>
  <r>
    <n v="18.3"/>
    <x v="2"/>
  </r>
  <r>
    <n v="19.3"/>
    <x v="2"/>
  </r>
  <r>
    <n v="17.2"/>
    <x v="2"/>
  </r>
  <r>
    <n v="17.5"/>
    <x v="0"/>
  </r>
  <r>
    <n v="19.600000000000001"/>
    <x v="1"/>
  </r>
  <r>
    <n v="17.600000000000001"/>
    <x v="0"/>
  </r>
  <r>
    <n v="20"/>
    <x v="3"/>
  </r>
  <r>
    <n v="19.899999999999999"/>
    <x v="3"/>
  </r>
  <r>
    <n v="16.899999999999999"/>
    <x v="1"/>
  </r>
  <r>
    <n v="19.5"/>
    <x v="2"/>
  </r>
  <r>
    <n v="20.399999999999999"/>
    <x v="1"/>
  </r>
  <r>
    <n v="19.10000000000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4:G9" firstHeaderRow="0" firstDataRow="1" firstDataCol="1"/>
  <pivotFields count="2">
    <pivotField dataField="1" showAll="0"/>
    <pivotField axis="axisRow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" fld="0" baseField="0" baseItem="0"/>
    <dataField name="Count of Y2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orld-class-manufacturing.com/Sigma/score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showGridLines="0" zoomScale="80" zoomScaleNormal="80" workbookViewId="0"/>
  </sheetViews>
  <sheetFormatPr defaultRowHeight="15" x14ac:dyDescent="0.25"/>
  <cols>
    <col min="1" max="1" width="15" customWidth="1"/>
    <col min="2" max="3" width="26.7109375" customWidth="1"/>
    <col min="4" max="5" width="23.140625" customWidth="1"/>
    <col min="6" max="6" width="24.42578125" customWidth="1"/>
    <col min="7" max="8" width="22.85546875" customWidth="1"/>
    <col min="9" max="9" width="2.42578125" customWidth="1"/>
    <col min="10" max="10" width="1.7109375" customWidth="1"/>
    <col min="11" max="11" width="21.7109375" bestFit="1" customWidth="1"/>
    <col min="12" max="12" width="23.5703125" customWidth="1"/>
  </cols>
  <sheetData>
    <row r="1" spans="1:12" x14ac:dyDescent="0.25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6" t="s">
        <v>146</v>
      </c>
      <c r="H1" s="6" t="s">
        <v>147</v>
      </c>
    </row>
    <row r="2" spans="1:12" x14ac:dyDescent="0.25">
      <c r="A2" s="2">
        <v>1</v>
      </c>
      <c r="B2" s="3">
        <v>6967871</v>
      </c>
      <c r="C2" s="4">
        <v>666</v>
      </c>
      <c r="D2" s="2">
        <v>10458.11</v>
      </c>
      <c r="E2" s="2">
        <v>4.9125800000000002</v>
      </c>
      <c r="F2" s="2">
        <v>0.27100000000000002</v>
      </c>
      <c r="G2" s="4">
        <v>2</v>
      </c>
      <c r="H2" s="4">
        <v>8</v>
      </c>
      <c r="I2" s="8">
        <f>G2*B2</f>
        <v>13935742</v>
      </c>
      <c r="J2" s="8"/>
    </row>
    <row r="3" spans="1:12" x14ac:dyDescent="0.25">
      <c r="A3" s="2">
        <v>2</v>
      </c>
      <c r="B3" s="3">
        <v>29446377.471999999</v>
      </c>
      <c r="C3" s="4">
        <v>2808</v>
      </c>
      <c r="D3" s="2">
        <v>10486.8</v>
      </c>
      <c r="E3" s="2">
        <v>4.4281899999999998</v>
      </c>
      <c r="F3" s="2">
        <v>0.2681</v>
      </c>
      <c r="G3" s="4">
        <v>9</v>
      </c>
      <c r="H3" s="4">
        <v>10</v>
      </c>
      <c r="I3" s="9">
        <f t="shared" ref="I3:I66" si="0">G3*B3</f>
        <v>265017397.248</v>
      </c>
      <c r="J3" s="9"/>
    </row>
    <row r="4" spans="1:12" x14ac:dyDescent="0.25">
      <c r="A4" s="2">
        <v>3</v>
      </c>
      <c r="B4" s="3">
        <v>56534676.472000003</v>
      </c>
      <c r="C4" s="4">
        <v>5386</v>
      </c>
      <c r="D4" s="2">
        <v>10495.98</v>
      </c>
      <c r="E4" s="2">
        <v>4.7467600000000001</v>
      </c>
      <c r="F4" s="2">
        <v>0.27855000000000002</v>
      </c>
      <c r="G4" s="4">
        <v>4</v>
      </c>
      <c r="H4" s="4">
        <v>9</v>
      </c>
      <c r="I4" s="9">
        <f t="shared" si="0"/>
        <v>226138705.88800001</v>
      </c>
      <c r="J4" s="9"/>
    </row>
    <row r="5" spans="1:12" x14ac:dyDescent="0.25">
      <c r="A5" s="2">
        <v>4</v>
      </c>
      <c r="B5" s="3">
        <v>28177720.506999999</v>
      </c>
      <c r="C5" s="4">
        <v>2690</v>
      </c>
      <c r="D5" s="2">
        <v>10475.36</v>
      </c>
      <c r="E5" s="2">
        <v>4.9766000000000004</v>
      </c>
      <c r="F5" s="2">
        <v>0.29411999999999999</v>
      </c>
      <c r="G5" s="4">
        <v>5</v>
      </c>
      <c r="H5" s="4">
        <v>10</v>
      </c>
      <c r="I5" s="9">
        <f t="shared" si="0"/>
        <v>140888602.535</v>
      </c>
      <c r="J5" s="9"/>
    </row>
    <row r="6" spans="1:12" x14ac:dyDescent="0.25">
      <c r="A6" s="2">
        <v>5</v>
      </c>
      <c r="B6" s="3">
        <v>33045258.329</v>
      </c>
      <c r="C6" s="4">
        <v>3170</v>
      </c>
      <c r="D6" s="2">
        <v>10425.1</v>
      </c>
      <c r="E6" s="2">
        <v>5.01701</v>
      </c>
      <c r="F6" s="2">
        <v>0.29498999999999997</v>
      </c>
      <c r="G6" s="4">
        <v>9</v>
      </c>
      <c r="H6" s="4">
        <v>9</v>
      </c>
      <c r="I6" s="9">
        <f t="shared" si="0"/>
        <v>297407324.96100003</v>
      </c>
      <c r="J6" s="9"/>
    </row>
    <row r="7" spans="1:12" x14ac:dyDescent="0.25">
      <c r="A7" s="2">
        <v>6</v>
      </c>
      <c r="B7" s="3">
        <v>19205769.752</v>
      </c>
      <c r="C7" s="4">
        <v>1856</v>
      </c>
      <c r="D7" s="2">
        <v>10349.459999999999</v>
      </c>
      <c r="E7" s="2">
        <v>5.0521000000000003</v>
      </c>
      <c r="F7" s="2">
        <v>0.29411999999999999</v>
      </c>
      <c r="G7" s="4">
        <v>9</v>
      </c>
      <c r="H7" s="4">
        <v>8</v>
      </c>
      <c r="I7" s="9">
        <f t="shared" si="0"/>
        <v>172851927.76800001</v>
      </c>
      <c r="J7" s="9"/>
      <c r="K7" s="10" t="s">
        <v>148</v>
      </c>
      <c r="L7" s="7">
        <f>AVERAGE(G2:G129)</f>
        <v>5.7734375</v>
      </c>
    </row>
    <row r="8" spans="1:12" x14ac:dyDescent="0.25">
      <c r="A8" s="2">
        <v>7</v>
      </c>
      <c r="B8" s="3">
        <v>31794757.631999999</v>
      </c>
      <c r="C8" s="4">
        <v>3103</v>
      </c>
      <c r="D8" s="2">
        <v>10247.370000000001</v>
      </c>
      <c r="E8" s="2">
        <v>5.0518400000000003</v>
      </c>
      <c r="F8" s="2">
        <v>0.27855000000000002</v>
      </c>
      <c r="G8" s="4">
        <v>9</v>
      </c>
      <c r="H8" s="4">
        <v>8</v>
      </c>
      <c r="I8" s="9">
        <f t="shared" si="0"/>
        <v>286152818.68799996</v>
      </c>
      <c r="J8" s="9"/>
      <c r="K8" s="10" t="s">
        <v>149</v>
      </c>
      <c r="L8" s="11">
        <f>SUM(I2:I129)/SUM(B2:B129)</f>
        <v>5.7637358229675879</v>
      </c>
    </row>
    <row r="9" spans="1:12" x14ac:dyDescent="0.25">
      <c r="A9" s="2">
        <v>8</v>
      </c>
      <c r="B9" s="3">
        <v>46850670.125</v>
      </c>
      <c r="C9" s="4">
        <v>4629</v>
      </c>
      <c r="D9" s="2">
        <v>10121.41</v>
      </c>
      <c r="E9" s="2">
        <v>5.0089699999999997</v>
      </c>
      <c r="F9" s="2">
        <v>0.28089999999999998</v>
      </c>
      <c r="G9" s="4">
        <v>1</v>
      </c>
      <c r="H9" s="4">
        <v>8</v>
      </c>
      <c r="I9" s="9">
        <f t="shared" si="0"/>
        <v>46850670.125</v>
      </c>
      <c r="J9" s="9"/>
      <c r="K9" s="10" t="s">
        <v>1</v>
      </c>
      <c r="L9" s="5">
        <f>MEDIAN(B2:B129)</f>
        <v>18390884.876000002</v>
      </c>
    </row>
    <row r="10" spans="1:12" x14ac:dyDescent="0.25">
      <c r="A10" s="2">
        <v>9</v>
      </c>
      <c r="B10" s="3">
        <v>61209566.620999999</v>
      </c>
      <c r="C10" s="4">
        <v>6138</v>
      </c>
      <c r="D10" s="2">
        <v>9972.2800000000007</v>
      </c>
      <c r="E10" s="2">
        <v>4.9758399999999998</v>
      </c>
      <c r="F10" s="2">
        <v>0.26882</v>
      </c>
      <c r="G10" s="4">
        <v>10</v>
      </c>
      <c r="H10" s="4">
        <v>8</v>
      </c>
      <c r="I10" s="9">
        <f t="shared" si="0"/>
        <v>612095666.21000004</v>
      </c>
      <c r="J10" s="9"/>
      <c r="K10" s="10" t="s">
        <v>3</v>
      </c>
      <c r="L10" s="12">
        <f>MODE(G2:G129)</f>
        <v>6</v>
      </c>
    </row>
    <row r="11" spans="1:12" x14ac:dyDescent="0.25">
      <c r="A11" s="2">
        <v>10</v>
      </c>
      <c r="B11" s="3">
        <v>20706256.936000001</v>
      </c>
      <c r="C11" s="4">
        <v>2113</v>
      </c>
      <c r="D11" s="2">
        <v>9800.56</v>
      </c>
      <c r="E11" s="2">
        <v>5.06006</v>
      </c>
      <c r="F11" s="2">
        <v>0.30395</v>
      </c>
      <c r="G11" s="4">
        <v>5</v>
      </c>
      <c r="H11" s="4">
        <v>9</v>
      </c>
      <c r="I11" s="9">
        <f t="shared" si="0"/>
        <v>103531284.68000001</v>
      </c>
      <c r="J11" s="9"/>
      <c r="K11" s="10" t="s">
        <v>4</v>
      </c>
      <c r="L11">
        <f>MODE(H2:H129)</f>
        <v>10</v>
      </c>
    </row>
    <row r="12" spans="1:12" x14ac:dyDescent="0.25">
      <c r="A12" s="2">
        <v>11</v>
      </c>
      <c r="B12" s="3">
        <v>12994449.551000001</v>
      </c>
      <c r="C12" s="4">
        <v>1353</v>
      </c>
      <c r="D12" s="2">
        <v>9602.75</v>
      </c>
      <c r="E12" s="2">
        <v>5.0031400000000001</v>
      </c>
      <c r="F12" s="2">
        <v>0.34129999999999999</v>
      </c>
      <c r="G12" s="4">
        <v>4</v>
      </c>
      <c r="H12" s="4">
        <v>8</v>
      </c>
      <c r="I12" s="9">
        <f t="shared" si="0"/>
        <v>51977798.204000004</v>
      </c>
      <c r="J12" s="9"/>
      <c r="K12" s="10" t="s">
        <v>152</v>
      </c>
      <c r="L12" s="11">
        <f>STDEV(F2:F129)</f>
        <v>4.5978413890357478E-2</v>
      </c>
    </row>
    <row r="13" spans="1:12" x14ac:dyDescent="0.25">
      <c r="A13" s="2">
        <v>12</v>
      </c>
      <c r="B13" s="3">
        <v>19356769.125</v>
      </c>
      <c r="C13" s="4">
        <v>2063</v>
      </c>
      <c r="D13" s="2">
        <v>9380.89</v>
      </c>
      <c r="E13" s="2">
        <v>4.9889299999999999</v>
      </c>
      <c r="F13" s="2">
        <v>0.35460999999999998</v>
      </c>
      <c r="G13" s="4">
        <v>7</v>
      </c>
      <c r="H13" s="4">
        <v>8</v>
      </c>
      <c r="I13" s="9">
        <f t="shared" si="0"/>
        <v>135497383.875</v>
      </c>
      <c r="J13" s="9"/>
      <c r="K13" s="10" t="s">
        <v>153</v>
      </c>
      <c r="L13" s="15">
        <f>L12^2</f>
        <v>2.1140145438730174E-3</v>
      </c>
    </row>
    <row r="14" spans="1:12" x14ac:dyDescent="0.25">
      <c r="A14" s="2">
        <v>13</v>
      </c>
      <c r="B14" s="3">
        <v>38000833.928000003</v>
      </c>
      <c r="C14" s="4">
        <v>4157</v>
      </c>
      <c r="D14" s="2">
        <v>9142.27</v>
      </c>
      <c r="E14" s="2">
        <v>4.8045900000000001</v>
      </c>
      <c r="F14" s="2">
        <v>0.34843000000000002</v>
      </c>
      <c r="G14" s="4">
        <v>3</v>
      </c>
      <c r="H14" s="4">
        <v>9</v>
      </c>
      <c r="I14" s="9">
        <f t="shared" si="0"/>
        <v>114002501.78400001</v>
      </c>
      <c r="J14" s="9"/>
      <c r="K14" s="10" t="s">
        <v>150</v>
      </c>
      <c r="L14">
        <f>(STDEV(G2:G129)/AVERAGE(G2:G129))*100</f>
        <v>47.482725625084463</v>
      </c>
    </row>
    <row r="15" spans="1:12" x14ac:dyDescent="0.25">
      <c r="A15" s="2">
        <v>14</v>
      </c>
      <c r="B15" s="3">
        <v>55874402.766999997</v>
      </c>
      <c r="C15" s="4">
        <v>6274</v>
      </c>
      <c r="D15" s="2">
        <v>8905.23</v>
      </c>
      <c r="E15" s="2">
        <v>4.4176399999999996</v>
      </c>
      <c r="F15" s="2">
        <v>0.39683000000000002</v>
      </c>
      <c r="G15" s="4">
        <v>6</v>
      </c>
      <c r="H15" s="4">
        <v>9</v>
      </c>
      <c r="I15" s="9">
        <f t="shared" si="0"/>
        <v>335246416.602</v>
      </c>
      <c r="J15" s="9"/>
      <c r="K15" s="10" t="s">
        <v>151</v>
      </c>
      <c r="L15">
        <f>(STDEV(H2:H129)/AVERAGE(H2:H129))*100</f>
        <v>28.475183282844231</v>
      </c>
    </row>
    <row r="16" spans="1:12" x14ac:dyDescent="0.25">
      <c r="A16" s="2">
        <v>15</v>
      </c>
      <c r="B16" s="3">
        <v>16387064</v>
      </c>
      <c r="C16" s="4">
        <v>1886</v>
      </c>
      <c r="D16" s="2">
        <v>8690.0400000000009</v>
      </c>
      <c r="E16" s="2">
        <v>4.3281000000000001</v>
      </c>
      <c r="F16" s="2">
        <v>0.41321999999999998</v>
      </c>
      <c r="G16" s="4">
        <v>3</v>
      </c>
      <c r="H16" s="4">
        <v>10</v>
      </c>
      <c r="I16" s="9">
        <f t="shared" si="0"/>
        <v>49161192</v>
      </c>
      <c r="J16" s="9"/>
      <c r="K16" s="10" t="s">
        <v>154</v>
      </c>
      <c r="L16">
        <f>MAX(F2:F129)-MIN(F2:F129)</f>
        <v>0.26306999999999997</v>
      </c>
    </row>
    <row r="17" spans="1:12" x14ac:dyDescent="0.25">
      <c r="A17" s="2">
        <v>16</v>
      </c>
      <c r="B17" s="3">
        <v>4566034.1789999995</v>
      </c>
      <c r="C17" s="4">
        <v>536</v>
      </c>
      <c r="D17" s="2">
        <v>8520.18</v>
      </c>
      <c r="E17" s="2">
        <v>4.83047</v>
      </c>
      <c r="F17" s="2">
        <v>0.28328999999999999</v>
      </c>
      <c r="G17" s="4">
        <v>4</v>
      </c>
      <c r="H17" s="4">
        <v>10</v>
      </c>
      <c r="I17" s="9">
        <f t="shared" si="0"/>
        <v>18264136.715999998</v>
      </c>
      <c r="J17" s="9"/>
      <c r="K17" s="10" t="s">
        <v>155</v>
      </c>
      <c r="L17">
        <f>PERCENTILE(F2:F129,0.25)</f>
        <v>0.1979225</v>
      </c>
    </row>
    <row r="18" spans="1:12" x14ac:dyDescent="0.25">
      <c r="A18" s="2">
        <v>17</v>
      </c>
      <c r="B18" s="3">
        <v>7506509.9119999995</v>
      </c>
      <c r="C18" s="4">
        <v>892</v>
      </c>
      <c r="D18" s="2">
        <v>8418.8700000000008</v>
      </c>
      <c r="E18" s="2">
        <v>4.8426099999999996</v>
      </c>
      <c r="F18" s="2">
        <v>0.26246999999999998</v>
      </c>
      <c r="G18" s="4">
        <v>5</v>
      </c>
      <c r="H18" s="4">
        <v>10</v>
      </c>
      <c r="I18" s="9">
        <f t="shared" si="0"/>
        <v>37532549.559999995</v>
      </c>
      <c r="J18" s="9"/>
      <c r="K18" s="10" t="s">
        <v>156</v>
      </c>
      <c r="L18">
        <f>PERCENTILE(F2:F129,0.5)</f>
        <v>0.223965</v>
      </c>
    </row>
    <row r="19" spans="1:12" x14ac:dyDescent="0.25">
      <c r="A19" s="2">
        <v>18</v>
      </c>
      <c r="B19" s="3">
        <v>5988906.4960000003</v>
      </c>
      <c r="C19" s="4">
        <v>713</v>
      </c>
      <c r="D19" s="2">
        <v>8399.94</v>
      </c>
      <c r="E19" s="2">
        <v>4.8129200000000001</v>
      </c>
      <c r="F19" s="2">
        <v>0.27100000000000002</v>
      </c>
      <c r="G19" s="4">
        <v>4</v>
      </c>
      <c r="H19" s="4">
        <v>9</v>
      </c>
      <c r="I19" s="9">
        <f t="shared" si="0"/>
        <v>23955625.984000001</v>
      </c>
      <c r="J19" s="9"/>
      <c r="K19" s="10" t="s">
        <v>157</v>
      </c>
      <c r="L19">
        <f>PERCENTILE(F2:F129,0.75)</f>
        <v>0.25157750000000001</v>
      </c>
    </row>
    <row r="20" spans="1:12" x14ac:dyDescent="0.25">
      <c r="A20" s="2">
        <v>19</v>
      </c>
      <c r="B20" s="3">
        <v>741217.625</v>
      </c>
      <c r="C20" s="4">
        <v>87</v>
      </c>
      <c r="D20" s="2">
        <v>8477.9500000000007</v>
      </c>
      <c r="E20" s="2">
        <v>4.8221299999999996</v>
      </c>
      <c r="F20" s="2">
        <v>0.25707000000000002</v>
      </c>
      <c r="G20" s="4">
        <v>2</v>
      </c>
      <c r="H20" s="4">
        <v>10</v>
      </c>
      <c r="I20" s="9">
        <f t="shared" si="0"/>
        <v>1482435.25</v>
      </c>
      <c r="J20" s="9"/>
      <c r="K20" s="10" t="s">
        <v>5</v>
      </c>
      <c r="L20">
        <f>(L19-L17)/2</f>
        <v>2.6827500000000004E-2</v>
      </c>
    </row>
    <row r="21" spans="1:12" x14ac:dyDescent="0.25">
      <c r="A21" s="2">
        <v>20</v>
      </c>
      <c r="B21" s="3">
        <v>410172.40700000001</v>
      </c>
      <c r="C21" s="4">
        <v>47</v>
      </c>
      <c r="D21" s="2">
        <v>8649.15</v>
      </c>
      <c r="E21" s="2">
        <v>4.7863199999999999</v>
      </c>
      <c r="F21" s="2">
        <v>0.24937999999999999</v>
      </c>
      <c r="G21" s="4">
        <v>8</v>
      </c>
      <c r="H21" s="4">
        <v>9</v>
      </c>
      <c r="I21" s="9">
        <f t="shared" si="0"/>
        <v>3281379.2560000001</v>
      </c>
      <c r="J21" s="9"/>
      <c r="K21" s="10" t="s">
        <v>158</v>
      </c>
      <c r="L21">
        <f>CORREL(F2:F129,B2:B129)</f>
        <v>1.7931018996701662E-2</v>
      </c>
    </row>
    <row r="22" spans="1:12" x14ac:dyDescent="0.25">
      <c r="A22" s="2">
        <v>21</v>
      </c>
      <c r="B22" s="3">
        <v>549353.25899999996</v>
      </c>
      <c r="C22" s="4">
        <v>62</v>
      </c>
      <c r="D22" s="2">
        <v>8898.2999999999993</v>
      </c>
      <c r="E22" s="2">
        <v>4.7827299999999999</v>
      </c>
      <c r="F22" s="2">
        <v>0.24390000000000001</v>
      </c>
      <c r="G22" s="4">
        <v>6</v>
      </c>
      <c r="H22" s="4">
        <v>10</v>
      </c>
      <c r="I22" s="9">
        <f t="shared" si="0"/>
        <v>3296119.5539999995</v>
      </c>
      <c r="J22" s="9"/>
    </row>
    <row r="23" spans="1:12" x14ac:dyDescent="0.25">
      <c r="A23" s="2">
        <v>22</v>
      </c>
      <c r="B23" s="3">
        <v>5910106.1119999997</v>
      </c>
      <c r="C23" s="4">
        <v>643</v>
      </c>
      <c r="D23" s="2">
        <v>9189.3700000000008</v>
      </c>
      <c r="E23" s="2">
        <v>4.8813599999999999</v>
      </c>
      <c r="F23" s="2">
        <v>0.25773000000000001</v>
      </c>
      <c r="G23" s="4">
        <v>4</v>
      </c>
      <c r="H23" s="4">
        <v>10</v>
      </c>
      <c r="I23" s="9">
        <f t="shared" si="0"/>
        <v>23640424.447999999</v>
      </c>
      <c r="J23" s="9"/>
    </row>
    <row r="24" spans="1:12" x14ac:dyDescent="0.25">
      <c r="A24" s="2">
        <v>23</v>
      </c>
      <c r="B24" s="3">
        <v>123134000</v>
      </c>
      <c r="C24" s="4">
        <v>12990</v>
      </c>
      <c r="D24" s="2">
        <v>9478.83</v>
      </c>
      <c r="E24" s="2">
        <v>4.8826499999999999</v>
      </c>
      <c r="F24" s="2">
        <v>0.27173999999999998</v>
      </c>
      <c r="G24" s="4">
        <v>9</v>
      </c>
      <c r="H24" s="4">
        <v>9</v>
      </c>
      <c r="I24" s="9">
        <f t="shared" si="0"/>
        <v>1108206000</v>
      </c>
      <c r="J24" s="9"/>
    </row>
    <row r="25" spans="1:12" x14ac:dyDescent="0.25">
      <c r="A25" s="2">
        <v>24</v>
      </c>
      <c r="B25" s="3">
        <v>405717000</v>
      </c>
      <c r="C25" s="4">
        <v>41658</v>
      </c>
      <c r="D25" s="2">
        <v>9739.18</v>
      </c>
      <c r="E25" s="2">
        <v>4.82735</v>
      </c>
      <c r="F25" s="2">
        <v>0.28489999999999999</v>
      </c>
      <c r="G25" s="4">
        <v>8</v>
      </c>
      <c r="H25" s="4">
        <v>9</v>
      </c>
      <c r="I25" s="9">
        <f t="shared" si="0"/>
        <v>3245736000</v>
      </c>
      <c r="J25" s="9"/>
    </row>
    <row r="26" spans="1:12" x14ac:dyDescent="0.25">
      <c r="A26" s="2">
        <v>25</v>
      </c>
      <c r="B26" s="3">
        <v>713558000</v>
      </c>
      <c r="C26" s="4">
        <v>71682</v>
      </c>
      <c r="D26" s="2">
        <v>9954.5300000000007</v>
      </c>
      <c r="E26" s="2">
        <v>4.7294200000000002</v>
      </c>
      <c r="F26" s="2">
        <v>0.26738000000000001</v>
      </c>
      <c r="G26" s="4">
        <v>3</v>
      </c>
      <c r="H26" s="4">
        <v>9</v>
      </c>
      <c r="I26" s="9">
        <f t="shared" si="0"/>
        <v>2140674000</v>
      </c>
      <c r="J26" s="9"/>
    </row>
    <row r="27" spans="1:12" x14ac:dyDescent="0.25">
      <c r="A27" s="2">
        <v>26</v>
      </c>
      <c r="B27" s="3">
        <v>1074370000</v>
      </c>
      <c r="C27" s="4">
        <v>106150</v>
      </c>
      <c r="D27" s="2">
        <v>10121.25</v>
      </c>
      <c r="E27" s="2">
        <v>4.0873200000000001</v>
      </c>
      <c r="F27" s="2">
        <v>0.26738000000000001</v>
      </c>
      <c r="G27" s="4">
        <v>5</v>
      </c>
      <c r="H27" s="4">
        <v>10</v>
      </c>
      <c r="I27" s="9">
        <f t="shared" si="0"/>
        <v>5371850000</v>
      </c>
      <c r="J27" s="9"/>
    </row>
    <row r="28" spans="1:12" x14ac:dyDescent="0.25">
      <c r="A28" s="2">
        <v>27</v>
      </c>
      <c r="B28" s="3">
        <v>1275170000</v>
      </c>
      <c r="C28" s="4">
        <v>124494</v>
      </c>
      <c r="D28" s="2">
        <v>10242.799999999999</v>
      </c>
      <c r="E28" s="2">
        <v>4.4149799999999999</v>
      </c>
      <c r="F28" s="2">
        <v>0.24390000000000001</v>
      </c>
      <c r="G28" s="4">
        <v>5</v>
      </c>
      <c r="H28" s="4">
        <v>9</v>
      </c>
      <c r="I28" s="9">
        <f t="shared" si="0"/>
        <v>6375850000</v>
      </c>
      <c r="J28" s="9"/>
    </row>
    <row r="29" spans="1:12" x14ac:dyDescent="0.25">
      <c r="A29" s="2">
        <v>28</v>
      </c>
      <c r="B29" s="3">
        <v>569104000</v>
      </c>
      <c r="C29" s="4">
        <v>55092</v>
      </c>
      <c r="D29" s="2">
        <v>10330.040000000001</v>
      </c>
      <c r="E29" s="2">
        <v>4.8144600000000004</v>
      </c>
      <c r="F29" s="2">
        <v>0.24096000000000001</v>
      </c>
      <c r="G29" s="4">
        <v>3</v>
      </c>
      <c r="H29" s="4">
        <v>9</v>
      </c>
      <c r="I29" s="9">
        <f t="shared" si="0"/>
        <v>1707312000</v>
      </c>
      <c r="J29" s="9"/>
    </row>
    <row r="30" spans="1:12" x14ac:dyDescent="0.25">
      <c r="A30" s="2">
        <v>29</v>
      </c>
      <c r="B30" s="3">
        <v>524192000</v>
      </c>
      <c r="C30" s="4">
        <v>50413</v>
      </c>
      <c r="D30" s="2">
        <v>10398</v>
      </c>
      <c r="E30" s="2">
        <v>4.8320699999999999</v>
      </c>
      <c r="F30" s="2">
        <v>0.22075</v>
      </c>
      <c r="G30" s="4">
        <v>2</v>
      </c>
      <c r="H30" s="4">
        <v>10</v>
      </c>
      <c r="I30" s="9">
        <f t="shared" si="0"/>
        <v>1048384000</v>
      </c>
      <c r="J30" s="9"/>
    </row>
    <row r="31" spans="1:12" x14ac:dyDescent="0.25">
      <c r="A31" s="2">
        <v>30</v>
      </c>
      <c r="B31" s="3">
        <v>324809000</v>
      </c>
      <c r="C31" s="4">
        <v>31069</v>
      </c>
      <c r="D31" s="2">
        <v>10454.43</v>
      </c>
      <c r="E31" s="2">
        <v>4.81867</v>
      </c>
      <c r="F31" s="2">
        <v>0.22123999999999999</v>
      </c>
      <c r="G31" s="4">
        <v>5</v>
      </c>
      <c r="H31" s="4">
        <v>8</v>
      </c>
      <c r="I31" s="9">
        <f t="shared" si="0"/>
        <v>1624045000</v>
      </c>
      <c r="J31" s="9"/>
    </row>
    <row r="32" spans="1:12" x14ac:dyDescent="0.25">
      <c r="A32" s="2">
        <v>31</v>
      </c>
      <c r="B32" s="3">
        <v>368602000</v>
      </c>
      <c r="C32" s="4">
        <v>35098</v>
      </c>
      <c r="D32" s="2">
        <v>10502.15</v>
      </c>
      <c r="E32" s="2">
        <v>4.8299099999999999</v>
      </c>
      <c r="F32" s="2">
        <v>0.21412999999999999</v>
      </c>
      <c r="G32" s="4">
        <v>4</v>
      </c>
      <c r="H32" s="4">
        <v>10</v>
      </c>
      <c r="I32" s="9">
        <f t="shared" si="0"/>
        <v>1474408000</v>
      </c>
      <c r="J32" s="9"/>
    </row>
    <row r="33" spans="1:10" x14ac:dyDescent="0.25">
      <c r="A33" s="2">
        <v>32</v>
      </c>
      <c r="B33" s="3">
        <v>956836000</v>
      </c>
      <c r="C33" s="4">
        <v>90753</v>
      </c>
      <c r="D33" s="2">
        <v>10543.29</v>
      </c>
      <c r="E33" s="2">
        <v>4.7942200000000001</v>
      </c>
      <c r="F33" s="2">
        <v>0.2</v>
      </c>
      <c r="G33" s="4">
        <v>9</v>
      </c>
      <c r="H33" s="4">
        <v>10</v>
      </c>
      <c r="I33" s="9">
        <f t="shared" si="0"/>
        <v>8611524000</v>
      </c>
      <c r="J33" s="9"/>
    </row>
    <row r="34" spans="1:10" x14ac:dyDescent="0.25">
      <c r="A34" s="2">
        <v>33</v>
      </c>
      <c r="B34" s="3">
        <v>1171910000</v>
      </c>
      <c r="C34" s="4">
        <v>110788</v>
      </c>
      <c r="D34" s="2">
        <v>10577.96</v>
      </c>
      <c r="E34" s="2">
        <v>4.7662699999999996</v>
      </c>
      <c r="F34" s="2">
        <v>0.19608</v>
      </c>
      <c r="G34" s="4">
        <v>10</v>
      </c>
      <c r="H34" s="4">
        <v>8</v>
      </c>
      <c r="I34" s="9">
        <f t="shared" si="0"/>
        <v>11719100000</v>
      </c>
      <c r="J34" s="9"/>
    </row>
    <row r="35" spans="1:10" x14ac:dyDescent="0.25">
      <c r="A35" s="2">
        <v>34</v>
      </c>
      <c r="B35" s="3">
        <v>1133320000</v>
      </c>
      <c r="C35" s="4">
        <v>106850</v>
      </c>
      <c r="D35" s="2">
        <v>10606.67</v>
      </c>
      <c r="E35" s="2">
        <v>4.8467799999999999</v>
      </c>
      <c r="F35" s="2">
        <v>0.21052999999999999</v>
      </c>
      <c r="G35" s="4">
        <v>4</v>
      </c>
      <c r="H35" s="4">
        <v>10</v>
      </c>
      <c r="I35" s="9">
        <f t="shared" si="0"/>
        <v>4533280000</v>
      </c>
      <c r="J35" s="9"/>
    </row>
    <row r="36" spans="1:10" x14ac:dyDescent="0.25">
      <c r="A36" s="2">
        <v>35</v>
      </c>
      <c r="B36" s="3">
        <v>630305000</v>
      </c>
      <c r="C36" s="4">
        <v>59284</v>
      </c>
      <c r="D36" s="2">
        <v>10631.98</v>
      </c>
      <c r="E36" s="2">
        <v>4.8574099999999998</v>
      </c>
      <c r="F36" s="2">
        <v>0.21321999999999999</v>
      </c>
      <c r="G36" s="4">
        <v>8</v>
      </c>
      <c r="H36" s="4">
        <v>10</v>
      </c>
      <c r="I36" s="9">
        <f t="shared" si="0"/>
        <v>5042440000</v>
      </c>
      <c r="J36" s="9"/>
    </row>
    <row r="37" spans="1:10" x14ac:dyDescent="0.25">
      <c r="A37" s="2">
        <v>36</v>
      </c>
      <c r="B37" s="3">
        <v>372471000</v>
      </c>
      <c r="C37" s="4">
        <v>34960</v>
      </c>
      <c r="D37" s="2">
        <v>10654.22</v>
      </c>
      <c r="E37" s="2">
        <v>4.7573800000000004</v>
      </c>
      <c r="F37" s="2">
        <v>0.21929999999999999</v>
      </c>
      <c r="G37" s="4">
        <v>1</v>
      </c>
      <c r="H37" s="4">
        <v>10</v>
      </c>
      <c r="I37" s="9">
        <f t="shared" si="0"/>
        <v>372471000</v>
      </c>
      <c r="J37" s="9"/>
    </row>
    <row r="38" spans="1:10" x14ac:dyDescent="0.25">
      <c r="A38" s="2">
        <v>37</v>
      </c>
      <c r="B38" s="3">
        <v>283852000</v>
      </c>
      <c r="C38" s="4">
        <v>26611</v>
      </c>
      <c r="D38" s="2">
        <v>10666.72</v>
      </c>
      <c r="E38" s="2">
        <v>4.5335700000000001</v>
      </c>
      <c r="F38" s="2">
        <v>0.21185999999999999</v>
      </c>
      <c r="G38" s="4">
        <v>2</v>
      </c>
      <c r="H38" s="4">
        <v>10</v>
      </c>
      <c r="I38" s="9">
        <f t="shared" si="0"/>
        <v>567704000</v>
      </c>
      <c r="J38" s="9"/>
    </row>
    <row r="39" spans="1:10" x14ac:dyDescent="0.25">
      <c r="A39" s="2">
        <v>38</v>
      </c>
      <c r="B39" s="3">
        <v>192300000</v>
      </c>
      <c r="C39" s="4">
        <v>18031</v>
      </c>
      <c r="D39" s="2">
        <v>10664.71</v>
      </c>
      <c r="E39" s="2">
        <v>4.1745400000000004</v>
      </c>
      <c r="F39" s="2">
        <v>0.21007999999999999</v>
      </c>
      <c r="G39" s="4">
        <v>6</v>
      </c>
      <c r="H39" s="4">
        <v>8</v>
      </c>
      <c r="I39" s="9">
        <f t="shared" si="0"/>
        <v>1153800000</v>
      </c>
      <c r="J39" s="9"/>
    </row>
    <row r="40" spans="1:10" x14ac:dyDescent="0.25">
      <c r="A40" s="2">
        <v>39</v>
      </c>
      <c r="B40" s="3">
        <v>262390000</v>
      </c>
      <c r="C40" s="4">
        <v>24642</v>
      </c>
      <c r="D40" s="2">
        <v>10648.13</v>
      </c>
      <c r="E40" s="2">
        <v>4.4272400000000003</v>
      </c>
      <c r="F40" s="2">
        <v>0.21929999999999999</v>
      </c>
      <c r="G40" s="4">
        <v>9</v>
      </c>
      <c r="H40" s="4">
        <v>8</v>
      </c>
      <c r="I40" s="9">
        <f t="shared" si="0"/>
        <v>2361510000</v>
      </c>
      <c r="J40" s="9"/>
    </row>
    <row r="41" spans="1:10" x14ac:dyDescent="0.25">
      <c r="A41" s="2">
        <v>40</v>
      </c>
      <c r="B41" s="3">
        <v>190506000</v>
      </c>
      <c r="C41" s="4">
        <v>17937</v>
      </c>
      <c r="D41" s="2">
        <v>10620.91</v>
      </c>
      <c r="E41" s="2">
        <v>4.7018399999999998</v>
      </c>
      <c r="F41" s="2">
        <v>0.21739</v>
      </c>
      <c r="G41" s="4">
        <v>6</v>
      </c>
      <c r="H41" s="4">
        <v>9</v>
      </c>
      <c r="I41" s="9">
        <f t="shared" si="0"/>
        <v>1143036000</v>
      </c>
      <c r="J41" s="9"/>
    </row>
    <row r="42" spans="1:10" x14ac:dyDescent="0.25">
      <c r="A42" s="2">
        <v>41</v>
      </c>
      <c r="B42" s="3">
        <v>134454000</v>
      </c>
      <c r="C42" s="4">
        <v>12700</v>
      </c>
      <c r="D42" s="2">
        <v>10587.03</v>
      </c>
      <c r="E42" s="2">
        <v>4.7447600000000003</v>
      </c>
      <c r="F42" s="2">
        <v>0.21142</v>
      </c>
      <c r="G42" s="4">
        <v>8</v>
      </c>
      <c r="H42" s="4">
        <v>8</v>
      </c>
      <c r="I42" s="9">
        <f t="shared" si="0"/>
        <v>1075632000</v>
      </c>
      <c r="J42" s="9"/>
    </row>
    <row r="43" spans="1:10" x14ac:dyDescent="0.25">
      <c r="A43" s="2">
        <v>42</v>
      </c>
      <c r="B43" s="3">
        <v>85067892.791999996</v>
      </c>
      <c r="C43" s="4">
        <v>8064</v>
      </c>
      <c r="D43" s="2">
        <v>10549.08</v>
      </c>
      <c r="E43" s="2">
        <v>4.7428400000000002</v>
      </c>
      <c r="F43" s="2">
        <v>0.21185999999999999</v>
      </c>
      <c r="G43" s="4">
        <v>1</v>
      </c>
      <c r="H43" s="4">
        <v>8</v>
      </c>
      <c r="I43" s="9">
        <f t="shared" si="0"/>
        <v>85067892.791999996</v>
      </c>
      <c r="J43" s="9"/>
    </row>
    <row r="44" spans="1:10" x14ac:dyDescent="0.25">
      <c r="A44" s="2">
        <v>43</v>
      </c>
      <c r="B44" s="3">
        <v>88835939.128000006</v>
      </c>
      <c r="C44" s="4">
        <v>8454</v>
      </c>
      <c r="D44" s="2">
        <v>10508.26</v>
      </c>
      <c r="E44" s="2">
        <v>4.7213500000000002</v>
      </c>
      <c r="F44" s="2">
        <v>0.20491999999999999</v>
      </c>
      <c r="G44" s="4">
        <v>10</v>
      </c>
      <c r="H44" s="4">
        <v>10</v>
      </c>
      <c r="I44" s="9">
        <f t="shared" si="0"/>
        <v>888359391.28000009</v>
      </c>
      <c r="J44" s="9"/>
    </row>
    <row r="45" spans="1:10" x14ac:dyDescent="0.25">
      <c r="A45" s="2">
        <v>44</v>
      </c>
      <c r="B45" s="3">
        <v>81520685.055999994</v>
      </c>
      <c r="C45" s="4">
        <v>7791</v>
      </c>
      <c r="D45" s="2">
        <v>10463</v>
      </c>
      <c r="E45" s="2">
        <v>4.6962900000000003</v>
      </c>
      <c r="F45" s="2">
        <v>0.19646</v>
      </c>
      <c r="G45" s="4">
        <v>6</v>
      </c>
      <c r="H45" s="4">
        <v>10</v>
      </c>
      <c r="I45" s="9">
        <f t="shared" si="0"/>
        <v>489124110.33599997</v>
      </c>
      <c r="J45" s="9"/>
    </row>
    <row r="46" spans="1:10" x14ac:dyDescent="0.25">
      <c r="A46" s="2">
        <v>45</v>
      </c>
      <c r="B46" s="3">
        <v>73560059</v>
      </c>
      <c r="C46" s="4">
        <v>7061</v>
      </c>
      <c r="D46" s="2">
        <v>10418.35</v>
      </c>
      <c r="E46" s="2">
        <v>4.6768400000000003</v>
      </c>
      <c r="F46" s="2">
        <v>0.19569</v>
      </c>
      <c r="G46" s="4">
        <v>9</v>
      </c>
      <c r="H46" s="4">
        <v>9</v>
      </c>
      <c r="I46" s="9">
        <f t="shared" si="0"/>
        <v>662040531</v>
      </c>
      <c r="J46" s="9"/>
    </row>
    <row r="47" spans="1:10" x14ac:dyDescent="0.25">
      <c r="A47" s="2">
        <v>46</v>
      </c>
      <c r="B47" s="3">
        <v>65353429.952</v>
      </c>
      <c r="C47" s="4">
        <v>6294</v>
      </c>
      <c r="D47" s="2">
        <v>10383</v>
      </c>
      <c r="E47" s="2">
        <v>4.72295</v>
      </c>
      <c r="F47" s="2">
        <v>0.19569</v>
      </c>
      <c r="G47" s="4">
        <v>2</v>
      </c>
      <c r="H47" s="4">
        <v>10</v>
      </c>
      <c r="I47" s="9">
        <f t="shared" si="0"/>
        <v>130706859.904</v>
      </c>
      <c r="J47" s="9"/>
    </row>
    <row r="48" spans="1:10" x14ac:dyDescent="0.25">
      <c r="A48" s="2">
        <v>47</v>
      </c>
      <c r="B48" s="3">
        <v>65890311.318999998</v>
      </c>
      <c r="C48" s="4">
        <v>6359</v>
      </c>
      <c r="D48" s="2">
        <v>10361.709999999999</v>
      </c>
      <c r="E48" s="2">
        <v>4.69217</v>
      </c>
      <c r="F48" s="2">
        <v>0.20039999999999999</v>
      </c>
      <c r="G48" s="4">
        <v>4</v>
      </c>
      <c r="H48" s="4">
        <v>10</v>
      </c>
      <c r="I48" s="9">
        <f t="shared" si="0"/>
        <v>263561245.27599999</v>
      </c>
      <c r="J48" s="9"/>
    </row>
    <row r="49" spans="1:10" x14ac:dyDescent="0.25">
      <c r="A49" s="2">
        <v>48</v>
      </c>
      <c r="B49" s="3">
        <v>50120963.703000002</v>
      </c>
      <c r="C49" s="4">
        <v>4839</v>
      </c>
      <c r="D49" s="2">
        <v>10356.99</v>
      </c>
      <c r="E49" s="2">
        <v>4.6419800000000002</v>
      </c>
      <c r="F49" s="2">
        <v>0.21185999999999999</v>
      </c>
      <c r="G49" s="4">
        <v>7</v>
      </c>
      <c r="H49" s="4">
        <v>9</v>
      </c>
      <c r="I49" s="9">
        <f t="shared" si="0"/>
        <v>350846745.921</v>
      </c>
      <c r="J49" s="9"/>
    </row>
    <row r="50" spans="1:10" x14ac:dyDescent="0.25">
      <c r="A50" s="2">
        <v>49</v>
      </c>
      <c r="B50" s="3">
        <v>28372625</v>
      </c>
      <c r="C50" s="4">
        <v>2738</v>
      </c>
      <c r="D50" s="2">
        <v>10362.51</v>
      </c>
      <c r="E50" s="2">
        <v>4.5287199999999999</v>
      </c>
      <c r="F50" s="2">
        <v>0.21881999999999999</v>
      </c>
      <c r="G50" s="4">
        <v>10</v>
      </c>
      <c r="H50" s="4">
        <v>9</v>
      </c>
      <c r="I50" s="9">
        <f t="shared" si="0"/>
        <v>283726250</v>
      </c>
      <c r="J50" s="9"/>
    </row>
    <row r="51" spans="1:10" x14ac:dyDescent="0.25">
      <c r="A51" s="2">
        <v>50</v>
      </c>
      <c r="B51" s="3">
        <v>20079290.232000001</v>
      </c>
      <c r="C51" s="4">
        <v>1937</v>
      </c>
      <c r="D51" s="2">
        <v>10367.6</v>
      </c>
      <c r="E51" s="2">
        <v>4.0516100000000002</v>
      </c>
      <c r="F51" s="2">
        <v>0.22624</v>
      </c>
      <c r="G51" s="4">
        <v>7</v>
      </c>
      <c r="H51" s="4">
        <v>8</v>
      </c>
      <c r="I51" s="9">
        <f t="shared" si="0"/>
        <v>140555031.62400001</v>
      </c>
      <c r="J51" s="9"/>
    </row>
    <row r="52" spans="1:10" x14ac:dyDescent="0.25">
      <c r="A52" s="2">
        <v>51</v>
      </c>
      <c r="B52" s="3">
        <v>14562534.888</v>
      </c>
      <c r="C52" s="4">
        <v>1405</v>
      </c>
      <c r="D52" s="2">
        <v>10366.5</v>
      </c>
      <c r="E52" s="2">
        <v>4.1728500000000004</v>
      </c>
      <c r="F52" s="2">
        <v>0.22370999999999999</v>
      </c>
      <c r="G52" s="4">
        <v>4</v>
      </c>
      <c r="H52" s="4">
        <v>8</v>
      </c>
      <c r="I52" s="9">
        <f t="shared" si="0"/>
        <v>58250139.552000001</v>
      </c>
      <c r="J52" s="9"/>
    </row>
    <row r="53" spans="1:10" x14ac:dyDescent="0.25">
      <c r="A53" s="2">
        <v>52</v>
      </c>
      <c r="B53" s="3">
        <v>14977894.625</v>
      </c>
      <c r="C53" s="4">
        <v>1447</v>
      </c>
      <c r="D53" s="2">
        <v>10351.6</v>
      </c>
      <c r="E53" s="2">
        <v>4.6235999999999997</v>
      </c>
      <c r="F53" s="2">
        <v>0.22026000000000001</v>
      </c>
      <c r="G53" s="4">
        <v>3</v>
      </c>
      <c r="H53" s="4">
        <v>8</v>
      </c>
      <c r="I53" s="9">
        <f t="shared" si="0"/>
        <v>44933683.875</v>
      </c>
      <c r="J53" s="9"/>
    </row>
    <row r="54" spans="1:10" x14ac:dyDescent="0.25">
      <c r="A54" s="2">
        <v>53</v>
      </c>
      <c r="B54" s="3">
        <v>17555727.798999999</v>
      </c>
      <c r="C54" s="4">
        <v>1700</v>
      </c>
      <c r="D54" s="2">
        <v>10324.31</v>
      </c>
      <c r="E54" s="2">
        <v>4.6106600000000002</v>
      </c>
      <c r="F54" s="2">
        <v>0.22422</v>
      </c>
      <c r="G54" s="4">
        <v>3</v>
      </c>
      <c r="H54" s="4">
        <v>10</v>
      </c>
      <c r="I54" s="9">
        <f t="shared" si="0"/>
        <v>52667183.397</v>
      </c>
      <c r="J54" s="9"/>
    </row>
    <row r="55" spans="1:10" x14ac:dyDescent="0.25">
      <c r="A55" s="2">
        <v>54</v>
      </c>
      <c r="B55" s="3">
        <v>14598344.384</v>
      </c>
      <c r="C55" s="4">
        <v>1419</v>
      </c>
      <c r="D55" s="2">
        <v>10287.459999999999</v>
      </c>
      <c r="E55" s="2">
        <v>4.5579700000000001</v>
      </c>
      <c r="F55" s="2">
        <v>0.23810000000000001</v>
      </c>
      <c r="G55" s="4">
        <v>9</v>
      </c>
      <c r="H55" s="4">
        <v>9</v>
      </c>
      <c r="I55" s="9">
        <f t="shared" si="0"/>
        <v>131385099.456</v>
      </c>
      <c r="J55" s="9"/>
    </row>
    <row r="56" spans="1:10" x14ac:dyDescent="0.25">
      <c r="A56" s="2">
        <v>55</v>
      </c>
      <c r="B56" s="3">
        <v>11573848.728</v>
      </c>
      <c r="C56" s="4">
        <v>1130</v>
      </c>
      <c r="D56" s="2">
        <v>10244.58</v>
      </c>
      <c r="E56" s="2">
        <v>4.5642399999999999</v>
      </c>
      <c r="F56" s="2">
        <v>0.23474</v>
      </c>
      <c r="G56" s="4">
        <v>2</v>
      </c>
      <c r="H56" s="4">
        <v>8</v>
      </c>
      <c r="I56" s="9">
        <f t="shared" si="0"/>
        <v>23147697.456</v>
      </c>
      <c r="J56" s="9"/>
    </row>
    <row r="57" spans="1:10" x14ac:dyDescent="0.25">
      <c r="A57" s="2">
        <v>56</v>
      </c>
      <c r="B57" s="3">
        <v>17576000</v>
      </c>
      <c r="C57" s="4">
        <v>1723</v>
      </c>
      <c r="D57" s="2">
        <v>10200.41</v>
      </c>
      <c r="E57" s="2">
        <v>4.5140399999999996</v>
      </c>
      <c r="F57" s="2">
        <v>0.23923</v>
      </c>
      <c r="G57" s="4">
        <v>10</v>
      </c>
      <c r="H57" s="4">
        <v>8</v>
      </c>
      <c r="I57" s="9">
        <f t="shared" si="0"/>
        <v>175760000</v>
      </c>
      <c r="J57" s="9"/>
    </row>
    <row r="58" spans="1:10" x14ac:dyDescent="0.25">
      <c r="A58" s="2">
        <v>57</v>
      </c>
      <c r="B58" s="3">
        <v>24794911.296</v>
      </c>
      <c r="C58" s="4">
        <v>2441</v>
      </c>
      <c r="D58" s="2">
        <v>10157.700000000001</v>
      </c>
      <c r="E58" s="2">
        <v>4.4785899999999996</v>
      </c>
      <c r="F58" s="2">
        <v>0.25</v>
      </c>
      <c r="G58" s="4">
        <v>4</v>
      </c>
      <c r="H58" s="4">
        <v>9</v>
      </c>
      <c r="I58" s="9">
        <f t="shared" si="0"/>
        <v>99179645.184</v>
      </c>
      <c r="J58" s="9"/>
    </row>
    <row r="59" spans="1:10" x14ac:dyDescent="0.25">
      <c r="A59" s="2">
        <v>58</v>
      </c>
      <c r="B59" s="3">
        <v>31584462.280999999</v>
      </c>
      <c r="C59" s="4">
        <v>3121</v>
      </c>
      <c r="D59" s="2">
        <v>10119.879999999999</v>
      </c>
      <c r="E59" s="2">
        <v>4.5568200000000001</v>
      </c>
      <c r="F59" s="2">
        <v>0.24154999999999999</v>
      </c>
      <c r="G59" s="4">
        <v>6</v>
      </c>
      <c r="H59" s="4">
        <v>10</v>
      </c>
      <c r="I59" s="9">
        <f t="shared" si="0"/>
        <v>189506773.68599999</v>
      </c>
      <c r="J59" s="9"/>
    </row>
    <row r="60" spans="1:10" x14ac:dyDescent="0.25">
      <c r="A60" s="2">
        <v>59</v>
      </c>
      <c r="B60" s="3">
        <v>22046214.464000002</v>
      </c>
      <c r="C60" s="4">
        <v>2186</v>
      </c>
      <c r="D60" s="2">
        <v>10087.17</v>
      </c>
      <c r="E60" s="2">
        <v>4.5310899999999998</v>
      </c>
      <c r="F60" s="2">
        <v>0.23041</v>
      </c>
      <c r="G60" s="4">
        <v>7</v>
      </c>
      <c r="H60" s="4">
        <v>10</v>
      </c>
      <c r="I60" s="9">
        <f t="shared" si="0"/>
        <v>154323501.24800003</v>
      </c>
      <c r="J60" s="9"/>
    </row>
    <row r="61" spans="1:10" x14ac:dyDescent="0.25">
      <c r="A61" s="2">
        <v>60</v>
      </c>
      <c r="B61" s="3">
        <v>10749963.743000001</v>
      </c>
      <c r="C61" s="4">
        <v>1069</v>
      </c>
      <c r="D61" s="2">
        <v>10057.98</v>
      </c>
      <c r="E61" s="2">
        <v>4.4730100000000004</v>
      </c>
      <c r="F61" s="2">
        <v>0.22222</v>
      </c>
      <c r="G61" s="4">
        <v>8</v>
      </c>
      <c r="H61" s="4">
        <v>9</v>
      </c>
      <c r="I61" s="9">
        <f t="shared" si="0"/>
        <v>85999709.944000006</v>
      </c>
      <c r="J61" s="9"/>
    </row>
    <row r="62" spans="1:10" x14ac:dyDescent="0.25">
      <c r="A62" s="2">
        <v>61</v>
      </c>
      <c r="B62" s="3">
        <v>10941048</v>
      </c>
      <c r="C62" s="4">
        <v>1091</v>
      </c>
      <c r="D62" s="2">
        <v>10032.09</v>
      </c>
      <c r="E62" s="2">
        <v>4.2875800000000002</v>
      </c>
      <c r="F62" s="2">
        <v>0.23981</v>
      </c>
      <c r="G62" s="4">
        <v>6</v>
      </c>
      <c r="H62" s="4">
        <v>8</v>
      </c>
      <c r="I62" s="9">
        <f t="shared" si="0"/>
        <v>65646288</v>
      </c>
      <c r="J62" s="9"/>
    </row>
    <row r="63" spans="1:10" x14ac:dyDescent="0.25">
      <c r="A63" s="2">
        <v>62</v>
      </c>
      <c r="B63" s="3">
        <v>20706256.936000001</v>
      </c>
      <c r="C63" s="4">
        <v>2067</v>
      </c>
      <c r="D63" s="2">
        <v>10016.85</v>
      </c>
      <c r="E63" s="2">
        <v>3.7713800000000002</v>
      </c>
      <c r="F63" s="2">
        <v>0.23696999999999999</v>
      </c>
      <c r="G63" s="4">
        <v>9</v>
      </c>
      <c r="H63" s="4">
        <v>9</v>
      </c>
      <c r="I63" s="9">
        <f t="shared" si="0"/>
        <v>186356312.42399999</v>
      </c>
      <c r="J63" s="9"/>
    </row>
    <row r="64" spans="1:10" x14ac:dyDescent="0.25">
      <c r="A64" s="2">
        <v>63</v>
      </c>
      <c r="B64" s="3">
        <v>49309741.963</v>
      </c>
      <c r="C64" s="4">
        <v>4922</v>
      </c>
      <c r="D64" s="2">
        <v>10018.629999999999</v>
      </c>
      <c r="E64" s="2">
        <v>4.0002199999999997</v>
      </c>
      <c r="F64" s="2">
        <v>0.23641000000000001</v>
      </c>
      <c r="G64" s="4">
        <v>8</v>
      </c>
      <c r="H64" s="4">
        <v>8</v>
      </c>
      <c r="I64" s="9">
        <f t="shared" si="0"/>
        <v>394477935.704</v>
      </c>
      <c r="J64" s="9"/>
    </row>
    <row r="65" spans="1:10" x14ac:dyDescent="0.25">
      <c r="A65" s="2">
        <v>64</v>
      </c>
      <c r="B65" s="3">
        <v>93082856.768000007</v>
      </c>
      <c r="C65" s="4">
        <v>9277</v>
      </c>
      <c r="D65" s="2">
        <v>10033.290000000001</v>
      </c>
      <c r="E65" s="2">
        <v>4.4662499999999996</v>
      </c>
      <c r="F65" s="2">
        <v>0.23866000000000001</v>
      </c>
      <c r="G65" s="4">
        <v>6</v>
      </c>
      <c r="H65" s="4">
        <v>8</v>
      </c>
      <c r="I65" s="9">
        <f t="shared" si="0"/>
        <v>558497140.60800004</v>
      </c>
      <c r="J65" s="9"/>
    </row>
    <row r="66" spans="1:10" x14ac:dyDescent="0.25">
      <c r="A66" s="2">
        <v>65</v>
      </c>
      <c r="B66" s="3">
        <v>102372000</v>
      </c>
      <c r="C66" s="4">
        <v>10178</v>
      </c>
      <c r="D66" s="2">
        <v>10057.84</v>
      </c>
      <c r="E66" s="2">
        <v>4.4813099999999997</v>
      </c>
      <c r="F66" s="2">
        <v>0.24390000000000001</v>
      </c>
      <c r="G66" s="4">
        <v>1</v>
      </c>
      <c r="H66" s="4">
        <v>9</v>
      </c>
      <c r="I66" s="9">
        <f t="shared" si="0"/>
        <v>102372000</v>
      </c>
      <c r="J66" s="9"/>
    </row>
    <row r="67" spans="1:10" x14ac:dyDescent="0.25">
      <c r="A67" s="2">
        <v>66</v>
      </c>
      <c r="B67" s="3">
        <v>93082856.768000007</v>
      </c>
      <c r="C67" s="4">
        <v>9230</v>
      </c>
      <c r="D67" s="2">
        <v>10084.799999999999</v>
      </c>
      <c r="E67" s="2">
        <v>4.4723199999999999</v>
      </c>
      <c r="F67" s="2">
        <v>0.24213000000000001</v>
      </c>
      <c r="G67" s="4">
        <v>7</v>
      </c>
      <c r="H67" s="4">
        <v>10</v>
      </c>
      <c r="I67" s="9">
        <f t="shared" ref="I67:I129" si="1">G67*B67</f>
        <v>651579997.37600005</v>
      </c>
      <c r="J67" s="9"/>
    </row>
    <row r="68" spans="1:10" x14ac:dyDescent="0.25">
      <c r="A68" s="2">
        <v>67</v>
      </c>
      <c r="B68" s="3">
        <v>91246554.008000001</v>
      </c>
      <c r="C68" s="4">
        <v>9027</v>
      </c>
      <c r="D68" s="2">
        <v>10108.629999999999</v>
      </c>
      <c r="E68" s="2">
        <v>4.4178800000000003</v>
      </c>
      <c r="F68" s="2">
        <v>0.23363999999999999</v>
      </c>
      <c r="G68" s="4">
        <v>2</v>
      </c>
      <c r="H68" s="4">
        <v>9</v>
      </c>
      <c r="I68" s="9">
        <f t="shared" si="1"/>
        <v>182493108.016</v>
      </c>
      <c r="J68" s="9"/>
    </row>
    <row r="69" spans="1:10" x14ac:dyDescent="0.25">
      <c r="A69" s="2">
        <v>68</v>
      </c>
      <c r="B69" s="3">
        <v>168105000</v>
      </c>
      <c r="C69" s="4">
        <v>16598</v>
      </c>
      <c r="D69" s="2">
        <v>10127.99</v>
      </c>
      <c r="E69" s="2">
        <v>4.3858899999999998</v>
      </c>
      <c r="F69" s="2">
        <v>0.22222</v>
      </c>
      <c r="G69" s="4">
        <v>8</v>
      </c>
      <c r="H69" s="4">
        <v>10</v>
      </c>
      <c r="I69" s="9">
        <f t="shared" si="1"/>
        <v>1344840000</v>
      </c>
      <c r="J69" s="9"/>
    </row>
    <row r="70" spans="1:10" x14ac:dyDescent="0.25">
      <c r="A70" s="2">
        <v>69</v>
      </c>
      <c r="B70" s="3">
        <v>149637000</v>
      </c>
      <c r="C70" s="4">
        <v>14747</v>
      </c>
      <c r="D70" s="2">
        <v>10146.959999999999</v>
      </c>
      <c r="E70" s="2">
        <v>4.3518299999999996</v>
      </c>
      <c r="F70" s="2">
        <v>0.21142</v>
      </c>
      <c r="G70" s="4">
        <v>8</v>
      </c>
      <c r="H70" s="4">
        <v>10</v>
      </c>
      <c r="I70" s="9">
        <f t="shared" si="1"/>
        <v>1197096000</v>
      </c>
      <c r="J70" s="9"/>
    </row>
    <row r="71" spans="1:10" x14ac:dyDescent="0.25">
      <c r="A71" s="2">
        <v>70</v>
      </c>
      <c r="B71" s="3">
        <v>93514842.819000006</v>
      </c>
      <c r="C71" s="4">
        <v>9198</v>
      </c>
      <c r="D71" s="2">
        <v>10167.07</v>
      </c>
      <c r="E71" s="2">
        <v>4.4292699999999998</v>
      </c>
      <c r="F71" s="2">
        <v>0.21185999999999999</v>
      </c>
      <c r="G71" s="4">
        <v>7</v>
      </c>
      <c r="H71" s="4">
        <v>10</v>
      </c>
      <c r="I71" s="9">
        <f t="shared" si="1"/>
        <v>654603899.73300004</v>
      </c>
      <c r="J71" s="9"/>
    </row>
    <row r="72" spans="1:10" x14ac:dyDescent="0.25">
      <c r="A72" s="2">
        <v>71</v>
      </c>
      <c r="B72" s="3">
        <v>71009375.221000001</v>
      </c>
      <c r="C72" s="4">
        <v>6969</v>
      </c>
      <c r="D72" s="2">
        <v>10189.23</v>
      </c>
      <c r="E72" s="2">
        <v>4.4231699999999998</v>
      </c>
      <c r="F72" s="2">
        <v>0.22989000000000001</v>
      </c>
      <c r="G72" s="4">
        <v>7</v>
      </c>
      <c r="H72" s="4">
        <v>10</v>
      </c>
      <c r="I72" s="9">
        <f t="shared" si="1"/>
        <v>497065626.54699999</v>
      </c>
      <c r="J72" s="9"/>
    </row>
    <row r="73" spans="1:10" x14ac:dyDescent="0.25">
      <c r="A73" s="2">
        <v>72</v>
      </c>
      <c r="B73" s="3">
        <v>72459558.809</v>
      </c>
      <c r="C73" s="4">
        <v>7094</v>
      </c>
      <c r="D73" s="2">
        <v>10214.07</v>
      </c>
      <c r="E73" s="2">
        <v>4.3890000000000002</v>
      </c>
      <c r="F73" s="2">
        <v>0.2611</v>
      </c>
      <c r="G73" s="4">
        <v>6</v>
      </c>
      <c r="H73" s="4">
        <v>10</v>
      </c>
      <c r="I73" s="9">
        <f t="shared" si="1"/>
        <v>434757352.85399997</v>
      </c>
      <c r="J73" s="9"/>
    </row>
    <row r="74" spans="1:10" x14ac:dyDescent="0.25">
      <c r="A74" s="2">
        <v>73</v>
      </c>
      <c r="B74" s="3">
        <v>53924466.952</v>
      </c>
      <c r="C74" s="4">
        <v>5267</v>
      </c>
      <c r="D74" s="2">
        <v>10239.01</v>
      </c>
      <c r="E74" s="2">
        <v>4.2877200000000002</v>
      </c>
      <c r="F74" s="2">
        <v>0.24510000000000001</v>
      </c>
      <c r="G74" s="4">
        <v>9</v>
      </c>
      <c r="H74" s="4">
        <v>8</v>
      </c>
      <c r="I74" s="9">
        <f t="shared" si="1"/>
        <v>485320202.56800002</v>
      </c>
      <c r="J74" s="9"/>
    </row>
    <row r="75" spans="1:10" x14ac:dyDescent="0.25">
      <c r="A75" s="2">
        <v>74</v>
      </c>
      <c r="B75" s="3">
        <v>24439494.807999998</v>
      </c>
      <c r="C75" s="4">
        <v>2381</v>
      </c>
      <c r="D75" s="2">
        <v>10264.73</v>
      </c>
      <c r="E75" s="2">
        <v>4.0467300000000002</v>
      </c>
      <c r="F75" s="2">
        <v>0.24096000000000001</v>
      </c>
      <c r="G75" s="4">
        <v>5</v>
      </c>
      <c r="H75" s="4">
        <v>8</v>
      </c>
      <c r="I75" s="9">
        <f t="shared" si="1"/>
        <v>122197474.03999999</v>
      </c>
      <c r="J75" s="9"/>
    </row>
    <row r="76" spans="1:10" x14ac:dyDescent="0.25">
      <c r="A76" s="2">
        <v>75</v>
      </c>
      <c r="B76" s="3">
        <v>46500652.736000001</v>
      </c>
      <c r="C76" s="4">
        <v>4520</v>
      </c>
      <c r="D76" s="2">
        <v>10288.450000000001</v>
      </c>
      <c r="E76" s="2">
        <v>4.0439299999999996</v>
      </c>
      <c r="F76" s="2">
        <v>0.23419000000000001</v>
      </c>
      <c r="G76" s="4">
        <v>3</v>
      </c>
      <c r="H76" s="4">
        <v>10</v>
      </c>
      <c r="I76" s="9">
        <f t="shared" si="1"/>
        <v>139501958.208</v>
      </c>
      <c r="J76" s="9"/>
    </row>
    <row r="77" spans="1:10" x14ac:dyDescent="0.25">
      <c r="A77" s="2">
        <v>76</v>
      </c>
      <c r="B77" s="3">
        <v>90760985.783999994</v>
      </c>
      <c r="C77" s="4">
        <v>8809</v>
      </c>
      <c r="D77" s="2">
        <v>10302.719999999999</v>
      </c>
      <c r="E77" s="2">
        <v>4.3245300000000002</v>
      </c>
      <c r="F77" s="2">
        <v>0.23255999999999999</v>
      </c>
      <c r="G77" s="4">
        <v>10</v>
      </c>
      <c r="H77" s="4">
        <v>10</v>
      </c>
      <c r="I77" s="9">
        <f t="shared" si="1"/>
        <v>907609857.83999991</v>
      </c>
      <c r="J77" s="9"/>
    </row>
    <row r="78" spans="1:10" x14ac:dyDescent="0.25">
      <c r="A78" s="2">
        <v>77</v>
      </c>
      <c r="B78" s="3">
        <v>135085000</v>
      </c>
      <c r="C78" s="4">
        <v>13116</v>
      </c>
      <c r="D78" s="2">
        <v>10299.57</v>
      </c>
      <c r="E78" s="2">
        <v>4.3263800000000003</v>
      </c>
      <c r="F78" s="2">
        <v>0.2331</v>
      </c>
      <c r="G78" s="4">
        <v>9</v>
      </c>
      <c r="H78" s="4">
        <v>10</v>
      </c>
      <c r="I78" s="9">
        <f t="shared" si="1"/>
        <v>1215765000</v>
      </c>
      <c r="J78" s="9"/>
    </row>
    <row r="79" spans="1:10" x14ac:dyDescent="0.25">
      <c r="A79" s="2">
        <v>78</v>
      </c>
      <c r="B79" s="3">
        <v>161879000</v>
      </c>
      <c r="C79" s="4">
        <v>15754</v>
      </c>
      <c r="D79" s="2">
        <v>10275.49</v>
      </c>
      <c r="E79" s="2">
        <v>4.3355899999999998</v>
      </c>
      <c r="F79" s="2">
        <v>0.23419000000000001</v>
      </c>
      <c r="G79" s="4">
        <v>5</v>
      </c>
      <c r="H79" s="4">
        <v>8</v>
      </c>
      <c r="I79" s="9">
        <f t="shared" si="1"/>
        <v>809395000</v>
      </c>
      <c r="J79" s="9"/>
    </row>
    <row r="80" spans="1:10" x14ac:dyDescent="0.25">
      <c r="A80" s="2">
        <v>79</v>
      </c>
      <c r="B80" s="3">
        <v>143384000</v>
      </c>
      <c r="C80" s="4">
        <v>14020</v>
      </c>
      <c r="D80" s="2">
        <v>10227.120000000001</v>
      </c>
      <c r="E80" s="2">
        <v>4.3246599999999997</v>
      </c>
      <c r="F80" s="2">
        <v>0.22472</v>
      </c>
      <c r="G80" s="4">
        <v>2</v>
      </c>
      <c r="H80" s="4">
        <v>9</v>
      </c>
      <c r="I80" s="9">
        <f t="shared" si="1"/>
        <v>286768000</v>
      </c>
      <c r="J80" s="9"/>
    </row>
    <row r="81" spans="1:10" x14ac:dyDescent="0.25">
      <c r="A81" s="2">
        <v>80</v>
      </c>
      <c r="B81" s="3">
        <v>97908438.528999999</v>
      </c>
      <c r="C81" s="4">
        <v>9639</v>
      </c>
      <c r="D81" s="2">
        <v>10157.209999999999</v>
      </c>
      <c r="E81" s="2">
        <v>4.2911400000000004</v>
      </c>
      <c r="F81" s="2">
        <v>0.25125999999999998</v>
      </c>
      <c r="G81" s="4">
        <v>4</v>
      </c>
      <c r="H81" s="4">
        <v>8</v>
      </c>
      <c r="I81" s="9">
        <f t="shared" si="1"/>
        <v>391633754.116</v>
      </c>
      <c r="J81" s="9"/>
    </row>
    <row r="82" spans="1:10" x14ac:dyDescent="0.25">
      <c r="A82" s="2">
        <v>81</v>
      </c>
      <c r="B82" s="3">
        <v>76765625</v>
      </c>
      <c r="C82" s="4">
        <v>7624</v>
      </c>
      <c r="D82" s="2">
        <v>10068.52</v>
      </c>
      <c r="E82" s="2">
        <v>4.2401799999999996</v>
      </c>
      <c r="F82" s="2">
        <v>0.30030000000000001</v>
      </c>
      <c r="G82" s="4">
        <v>10</v>
      </c>
      <c r="H82" s="4">
        <v>9</v>
      </c>
      <c r="I82" s="9">
        <f t="shared" si="1"/>
        <v>767656250</v>
      </c>
      <c r="J82" s="9"/>
    </row>
    <row r="83" spans="1:10" x14ac:dyDescent="0.25">
      <c r="A83" s="2">
        <v>82</v>
      </c>
      <c r="B83" s="3">
        <v>72147158.746999994</v>
      </c>
      <c r="C83" s="4">
        <v>7240</v>
      </c>
      <c r="D83" s="2">
        <v>9965.5300000000007</v>
      </c>
      <c r="E83" s="2">
        <v>4.3506600000000004</v>
      </c>
      <c r="F83" s="2">
        <v>0.28011000000000003</v>
      </c>
      <c r="G83" s="4">
        <v>9</v>
      </c>
      <c r="H83" s="4">
        <v>8</v>
      </c>
      <c r="I83" s="9">
        <f t="shared" si="1"/>
        <v>649324428.72299993</v>
      </c>
      <c r="J83" s="9"/>
    </row>
    <row r="84" spans="1:10" x14ac:dyDescent="0.25">
      <c r="A84" s="2">
        <v>83</v>
      </c>
      <c r="B84" s="3">
        <v>14941466.846999999</v>
      </c>
      <c r="C84" s="4">
        <v>1516</v>
      </c>
      <c r="D84" s="2">
        <v>9857.5499999999993</v>
      </c>
      <c r="E84" s="2">
        <v>4.2998700000000003</v>
      </c>
      <c r="F84" s="2">
        <v>0.25252999999999998</v>
      </c>
      <c r="G84" s="4">
        <v>3</v>
      </c>
      <c r="H84" s="4">
        <v>8</v>
      </c>
      <c r="I84" s="9">
        <f t="shared" si="1"/>
        <v>44824400.540999994</v>
      </c>
      <c r="J84" s="9"/>
    </row>
    <row r="85" spans="1:10" x14ac:dyDescent="0.25">
      <c r="A85" s="2">
        <v>84</v>
      </c>
      <c r="B85" s="3">
        <v>11946169.655999999</v>
      </c>
      <c r="C85" s="4">
        <v>1225</v>
      </c>
      <c r="D85" s="2">
        <v>9753.68</v>
      </c>
      <c r="E85" s="2">
        <v>4.23902</v>
      </c>
      <c r="F85" s="2">
        <v>0.26246999999999998</v>
      </c>
      <c r="G85" s="4">
        <v>6</v>
      </c>
      <c r="H85" s="4">
        <v>10</v>
      </c>
      <c r="I85" s="9">
        <f t="shared" si="1"/>
        <v>71677017.93599999</v>
      </c>
      <c r="J85" s="9"/>
    </row>
    <row r="86" spans="1:10" x14ac:dyDescent="0.25">
      <c r="A86" s="2">
        <v>85</v>
      </c>
      <c r="B86" s="3">
        <v>10532261.888</v>
      </c>
      <c r="C86" s="4">
        <v>1090</v>
      </c>
      <c r="D86" s="2">
        <v>9659.23</v>
      </c>
      <c r="E86" s="2">
        <v>4.10677</v>
      </c>
      <c r="F86" s="2">
        <v>0.25641000000000003</v>
      </c>
      <c r="G86" s="4">
        <v>2</v>
      </c>
      <c r="H86" s="4">
        <v>9</v>
      </c>
      <c r="I86" s="9">
        <f t="shared" si="1"/>
        <v>21064523.776000001</v>
      </c>
      <c r="J86" s="9"/>
    </row>
    <row r="87" spans="1:10" x14ac:dyDescent="0.25">
      <c r="A87" s="2">
        <v>86</v>
      </c>
      <c r="B87" s="3">
        <v>9745491.4560000002</v>
      </c>
      <c r="C87" s="4">
        <v>1017</v>
      </c>
      <c r="D87" s="2">
        <v>9579.44</v>
      </c>
      <c r="E87" s="2">
        <v>3.7281</v>
      </c>
      <c r="F87" s="2">
        <v>0.24690999999999999</v>
      </c>
      <c r="G87" s="4">
        <v>7</v>
      </c>
      <c r="H87" s="4">
        <v>10</v>
      </c>
      <c r="I87" s="9">
        <f t="shared" si="1"/>
        <v>68218440.192000002</v>
      </c>
      <c r="J87" s="9"/>
    </row>
    <row r="88" spans="1:10" x14ac:dyDescent="0.25">
      <c r="A88" s="2">
        <v>87</v>
      </c>
      <c r="B88" s="3">
        <v>11104492.391000001</v>
      </c>
      <c r="C88" s="4">
        <v>1166</v>
      </c>
      <c r="D88" s="2">
        <v>9521.43</v>
      </c>
      <c r="E88" s="2">
        <v>3.8552399999999998</v>
      </c>
      <c r="F88" s="2">
        <v>0.24814</v>
      </c>
      <c r="G88" s="4">
        <v>6</v>
      </c>
      <c r="H88" s="4">
        <v>8</v>
      </c>
      <c r="I88" s="9">
        <f t="shared" si="1"/>
        <v>66626954.346000001</v>
      </c>
      <c r="J88" s="9"/>
    </row>
    <row r="89" spans="1:10" x14ac:dyDescent="0.25">
      <c r="A89" s="2">
        <v>88</v>
      </c>
      <c r="B89" s="3">
        <v>8792838.1439999994</v>
      </c>
      <c r="C89" s="4">
        <v>926</v>
      </c>
      <c r="D89" s="2">
        <v>9492.31</v>
      </c>
      <c r="E89" s="2">
        <v>4.1792999999999996</v>
      </c>
      <c r="F89" s="2">
        <v>0.24690999999999999</v>
      </c>
      <c r="G89" s="4">
        <v>6</v>
      </c>
      <c r="H89" s="4">
        <v>8</v>
      </c>
      <c r="I89" s="9">
        <f t="shared" si="1"/>
        <v>52757028.863999993</v>
      </c>
      <c r="J89" s="9"/>
    </row>
    <row r="90" spans="1:10" x14ac:dyDescent="0.25">
      <c r="A90" s="2">
        <v>89</v>
      </c>
      <c r="B90" s="3">
        <v>6331625</v>
      </c>
      <c r="C90" s="4">
        <v>667</v>
      </c>
      <c r="D90" s="2">
        <v>9493.81</v>
      </c>
      <c r="E90" s="2">
        <v>4.1766899999999998</v>
      </c>
      <c r="F90" s="2">
        <v>0.25380999999999998</v>
      </c>
      <c r="G90" s="4">
        <v>4</v>
      </c>
      <c r="H90" s="4">
        <v>10</v>
      </c>
      <c r="I90" s="9">
        <f t="shared" si="1"/>
        <v>25326500</v>
      </c>
      <c r="J90" s="9"/>
    </row>
    <row r="91" spans="1:10" x14ac:dyDescent="0.25">
      <c r="A91" s="2">
        <v>90</v>
      </c>
      <c r="B91" s="3">
        <v>4691010.0240000002</v>
      </c>
      <c r="C91" s="4">
        <v>493</v>
      </c>
      <c r="D91" s="2">
        <v>9517.11</v>
      </c>
      <c r="E91" s="2">
        <v>4.1756200000000003</v>
      </c>
      <c r="F91" s="2">
        <v>0.25840000000000002</v>
      </c>
      <c r="G91" s="4">
        <v>10</v>
      </c>
      <c r="H91" s="4">
        <v>8</v>
      </c>
      <c r="I91" s="9">
        <f t="shared" si="1"/>
        <v>46910100.240000002</v>
      </c>
      <c r="J91" s="9"/>
    </row>
    <row r="92" spans="1:10" x14ac:dyDescent="0.25">
      <c r="A92" s="2">
        <v>91</v>
      </c>
      <c r="B92" s="3">
        <v>4861163.3839999996</v>
      </c>
      <c r="C92" s="4">
        <v>509</v>
      </c>
      <c r="D92" s="2">
        <v>9551.0400000000009</v>
      </c>
      <c r="E92" s="2">
        <v>4.1958500000000001</v>
      </c>
      <c r="F92" s="2">
        <v>0.23474</v>
      </c>
      <c r="G92" s="4">
        <v>2</v>
      </c>
      <c r="H92" s="4">
        <v>8</v>
      </c>
      <c r="I92" s="9">
        <f t="shared" si="1"/>
        <v>9722326.7679999992</v>
      </c>
      <c r="J92" s="9"/>
    </row>
    <row r="93" spans="1:10" x14ac:dyDescent="0.25">
      <c r="A93" s="2">
        <v>92</v>
      </c>
      <c r="B93" s="3">
        <v>4624076.2960000001</v>
      </c>
      <c r="C93" s="4">
        <v>482</v>
      </c>
      <c r="D93" s="2">
        <v>9589.31</v>
      </c>
      <c r="E93" s="2">
        <v>4.1337299999999999</v>
      </c>
      <c r="F93" s="2">
        <v>0.21504999999999999</v>
      </c>
      <c r="G93" s="4">
        <v>3</v>
      </c>
      <c r="H93" s="4">
        <v>10</v>
      </c>
      <c r="I93" s="9">
        <f t="shared" si="1"/>
        <v>13872228.888</v>
      </c>
      <c r="J93" s="9"/>
    </row>
    <row r="94" spans="1:10" x14ac:dyDescent="0.25">
      <c r="A94" s="2">
        <v>93</v>
      </c>
      <c r="B94" s="3">
        <v>3112136</v>
      </c>
      <c r="C94" s="4">
        <v>323</v>
      </c>
      <c r="D94" s="2">
        <v>9631.99</v>
      </c>
      <c r="E94" s="2">
        <v>4.0993300000000001</v>
      </c>
      <c r="F94" s="2">
        <v>0.20283999999999999</v>
      </c>
      <c r="G94" s="4">
        <v>5</v>
      </c>
      <c r="H94" s="4">
        <v>9</v>
      </c>
      <c r="I94" s="9">
        <f t="shared" si="1"/>
        <v>15560680</v>
      </c>
      <c r="J94" s="9"/>
    </row>
    <row r="95" spans="1:10" x14ac:dyDescent="0.25">
      <c r="A95" s="2">
        <v>94</v>
      </c>
      <c r="B95" s="3">
        <v>2543302.125</v>
      </c>
      <c r="C95" s="4">
        <v>263</v>
      </c>
      <c r="D95" s="2">
        <v>9681.6</v>
      </c>
      <c r="E95" s="2">
        <v>4.1486700000000001</v>
      </c>
      <c r="F95" s="2">
        <v>0.1938</v>
      </c>
      <c r="G95" s="4">
        <v>8</v>
      </c>
      <c r="H95" s="4">
        <v>10</v>
      </c>
      <c r="I95" s="9">
        <f t="shared" si="1"/>
        <v>20346417</v>
      </c>
      <c r="J95" s="9"/>
    </row>
    <row r="96" spans="1:10" x14ac:dyDescent="0.25">
      <c r="A96" s="2">
        <v>95</v>
      </c>
      <c r="B96" s="3">
        <v>1651400.568</v>
      </c>
      <c r="C96" s="4">
        <v>170</v>
      </c>
      <c r="D96" s="2">
        <v>9735.0400000000009</v>
      </c>
      <c r="E96" s="2">
        <v>4.1242299999999998</v>
      </c>
      <c r="F96" s="2">
        <v>0.19194</v>
      </c>
      <c r="G96" s="4">
        <v>7</v>
      </c>
      <c r="H96" s="4">
        <v>10</v>
      </c>
      <c r="I96" s="9">
        <f t="shared" si="1"/>
        <v>11559803.976</v>
      </c>
      <c r="J96" s="9"/>
    </row>
    <row r="97" spans="1:10" x14ac:dyDescent="0.25">
      <c r="A97" s="2">
        <v>96</v>
      </c>
      <c r="B97" s="3">
        <v>1006012.008</v>
      </c>
      <c r="C97" s="4">
        <v>103</v>
      </c>
      <c r="D97" s="2">
        <v>9787.7800000000007</v>
      </c>
      <c r="E97" s="2">
        <v>4.0956799999999998</v>
      </c>
      <c r="F97" s="2">
        <v>0.18939</v>
      </c>
      <c r="G97" s="4">
        <v>5</v>
      </c>
      <c r="H97" s="4">
        <v>9</v>
      </c>
      <c r="I97" s="9">
        <f t="shared" si="1"/>
        <v>5030060.04</v>
      </c>
      <c r="J97" s="9"/>
    </row>
    <row r="98" spans="1:10" x14ac:dyDescent="0.25">
      <c r="A98" s="2">
        <v>97</v>
      </c>
      <c r="B98" s="3">
        <v>967361.66899999999</v>
      </c>
      <c r="C98" s="4">
        <v>98</v>
      </c>
      <c r="D98" s="2">
        <v>9832.39</v>
      </c>
      <c r="E98" s="2">
        <v>3.9776199999999999</v>
      </c>
      <c r="F98" s="2">
        <v>0.20366999999999999</v>
      </c>
      <c r="G98" s="4">
        <v>7</v>
      </c>
      <c r="H98" s="4">
        <v>9</v>
      </c>
      <c r="I98" s="9">
        <f t="shared" si="1"/>
        <v>6771531.6830000002</v>
      </c>
      <c r="J98" s="9"/>
    </row>
    <row r="99" spans="1:10" x14ac:dyDescent="0.25">
      <c r="A99" s="2">
        <v>98</v>
      </c>
      <c r="B99" s="3">
        <v>985074.875</v>
      </c>
      <c r="C99" s="4">
        <v>100</v>
      </c>
      <c r="D99" s="2">
        <v>9855.9</v>
      </c>
      <c r="E99" s="2">
        <v>3.6111900000000001</v>
      </c>
      <c r="F99" s="2">
        <v>0.19841</v>
      </c>
      <c r="G99" s="4">
        <v>3</v>
      </c>
      <c r="H99" s="4">
        <v>8</v>
      </c>
      <c r="I99" s="9">
        <f t="shared" si="1"/>
        <v>2955224.625</v>
      </c>
      <c r="J99" s="9"/>
    </row>
    <row r="100" spans="1:10" x14ac:dyDescent="0.25">
      <c r="A100" s="2">
        <v>99</v>
      </c>
      <c r="B100" s="3">
        <v>1102302.9369999999</v>
      </c>
      <c r="C100" s="4">
        <v>112</v>
      </c>
      <c r="D100" s="2">
        <v>9845.2999999999993</v>
      </c>
      <c r="E100" s="2">
        <v>3.8490799999999998</v>
      </c>
      <c r="F100" s="2">
        <v>0.19646</v>
      </c>
      <c r="G100" s="4">
        <v>9</v>
      </c>
      <c r="H100" s="4">
        <v>10</v>
      </c>
      <c r="I100" s="9">
        <f t="shared" si="1"/>
        <v>9920726.4329999983</v>
      </c>
      <c r="J100" s="9"/>
    </row>
    <row r="101" spans="1:10" x14ac:dyDescent="0.25">
      <c r="A101" s="2">
        <v>100</v>
      </c>
      <c r="B101" s="3">
        <v>1249243.5330000001</v>
      </c>
      <c r="C101" s="4">
        <v>127</v>
      </c>
      <c r="D101" s="2">
        <v>9798.6200000000008</v>
      </c>
      <c r="E101" s="2">
        <v>4.1407499999999997</v>
      </c>
      <c r="F101" s="2">
        <v>0.21504999999999999</v>
      </c>
      <c r="G101" s="4">
        <v>10</v>
      </c>
      <c r="H101" s="4">
        <v>10</v>
      </c>
      <c r="I101" s="9">
        <f t="shared" si="1"/>
        <v>12492435.33</v>
      </c>
      <c r="J101" s="9"/>
    </row>
    <row r="102" spans="1:10" x14ac:dyDescent="0.25">
      <c r="A102" s="2">
        <v>101</v>
      </c>
      <c r="B102" s="3">
        <v>1207949.625</v>
      </c>
      <c r="C102" s="4">
        <v>124</v>
      </c>
      <c r="D102" s="2">
        <v>9723.9500000000007</v>
      </c>
      <c r="E102" s="2">
        <v>4.0322899999999997</v>
      </c>
      <c r="F102" s="2">
        <v>0.21881999999999999</v>
      </c>
      <c r="G102" s="4">
        <v>5</v>
      </c>
      <c r="H102" s="4">
        <v>10</v>
      </c>
      <c r="I102" s="9">
        <f t="shared" si="1"/>
        <v>6039748.125</v>
      </c>
      <c r="J102" s="9"/>
    </row>
    <row r="103" spans="1:10" x14ac:dyDescent="0.25">
      <c r="A103" s="2">
        <v>102</v>
      </c>
      <c r="B103" s="3">
        <v>884736</v>
      </c>
      <c r="C103" s="4">
        <v>92</v>
      </c>
      <c r="D103" s="2">
        <v>9636.6200000000008</v>
      </c>
      <c r="E103" s="2">
        <v>4.0317600000000002</v>
      </c>
      <c r="F103" s="2">
        <v>0.21142</v>
      </c>
      <c r="G103" s="4">
        <v>8</v>
      </c>
      <c r="H103" s="4">
        <v>9</v>
      </c>
      <c r="I103" s="9">
        <f t="shared" si="1"/>
        <v>7077888</v>
      </c>
      <c r="J103" s="9"/>
    </row>
    <row r="104" spans="1:10" x14ac:dyDescent="0.25">
      <c r="A104" s="2">
        <v>103</v>
      </c>
      <c r="B104" s="3">
        <v>806954.49100000004</v>
      </c>
      <c r="C104" s="4">
        <v>84</v>
      </c>
      <c r="D104" s="2">
        <v>9551.43</v>
      </c>
      <c r="E104" s="2">
        <v>4.0467300000000002</v>
      </c>
      <c r="F104" s="2">
        <v>0.20121</v>
      </c>
      <c r="G104" s="4">
        <v>2</v>
      </c>
      <c r="H104" s="4">
        <v>10</v>
      </c>
      <c r="I104" s="9">
        <f t="shared" si="1"/>
        <v>1613908.9820000001</v>
      </c>
      <c r="J104" s="9"/>
    </row>
    <row r="105" spans="1:10" x14ac:dyDescent="0.25">
      <c r="A105" s="2">
        <v>104</v>
      </c>
      <c r="B105" s="3">
        <v>658503</v>
      </c>
      <c r="C105" s="4">
        <v>69</v>
      </c>
      <c r="D105" s="2">
        <v>9483.7999999999993</v>
      </c>
      <c r="E105" s="2">
        <v>3.99194</v>
      </c>
      <c r="F105" s="2">
        <v>0.19084000000000001</v>
      </c>
      <c r="G105" s="4">
        <v>6</v>
      </c>
      <c r="H105" s="4">
        <v>9</v>
      </c>
      <c r="I105" s="9">
        <f t="shared" si="1"/>
        <v>3951018</v>
      </c>
      <c r="J105" s="9"/>
    </row>
    <row r="106" spans="1:10" x14ac:dyDescent="0.25">
      <c r="A106" s="2">
        <v>105</v>
      </c>
      <c r="B106" s="3">
        <v>625026.375</v>
      </c>
      <c r="C106" s="4">
        <v>66</v>
      </c>
      <c r="D106" s="2">
        <v>9447.0400000000009</v>
      </c>
      <c r="E106" s="2">
        <v>3.9429400000000001</v>
      </c>
      <c r="F106" s="2">
        <v>0.18939</v>
      </c>
      <c r="G106" s="4">
        <v>8</v>
      </c>
      <c r="H106" s="4">
        <v>10</v>
      </c>
      <c r="I106" s="9">
        <f t="shared" si="1"/>
        <v>5000211</v>
      </c>
      <c r="J106" s="9"/>
    </row>
    <row r="107" spans="1:10" x14ac:dyDescent="0.25">
      <c r="A107" s="2">
        <v>106</v>
      </c>
      <c r="B107" s="3">
        <v>724150.79200000002</v>
      </c>
      <c r="C107" s="4">
        <v>77</v>
      </c>
      <c r="D107" s="2">
        <v>9445.92</v>
      </c>
      <c r="E107" s="2">
        <v>4.0064200000000003</v>
      </c>
      <c r="F107" s="2">
        <v>0.18553</v>
      </c>
      <c r="G107" s="4">
        <v>6</v>
      </c>
      <c r="H107" s="4">
        <v>10</v>
      </c>
      <c r="I107" s="9">
        <f t="shared" si="1"/>
        <v>4344904.7520000003</v>
      </c>
      <c r="J107" s="9"/>
    </row>
    <row r="108" spans="1:10" x14ac:dyDescent="0.25">
      <c r="A108" s="2">
        <v>107</v>
      </c>
      <c r="B108" s="3">
        <v>843908.625</v>
      </c>
      <c r="C108" s="4">
        <v>89</v>
      </c>
      <c r="D108" s="2">
        <v>9474.1</v>
      </c>
      <c r="E108" s="2">
        <v>4.0377700000000001</v>
      </c>
      <c r="F108" s="2">
        <v>0.19455</v>
      </c>
      <c r="G108" s="4">
        <v>5</v>
      </c>
      <c r="H108" s="4">
        <v>9</v>
      </c>
      <c r="I108" s="9">
        <f t="shared" si="1"/>
        <v>4219543.125</v>
      </c>
      <c r="J108" s="9"/>
    </row>
    <row r="109" spans="1:10" x14ac:dyDescent="0.25">
      <c r="A109" s="2">
        <v>108</v>
      </c>
      <c r="B109" s="3">
        <v>941192</v>
      </c>
      <c r="C109" s="4">
        <v>99</v>
      </c>
      <c r="D109" s="2">
        <v>9514.07</v>
      </c>
      <c r="E109" s="2">
        <v>4.0051500000000004</v>
      </c>
      <c r="F109" s="2">
        <v>0.20449999999999999</v>
      </c>
      <c r="G109" s="4">
        <v>3</v>
      </c>
      <c r="H109" s="4">
        <v>8</v>
      </c>
      <c r="I109" s="9">
        <f t="shared" si="1"/>
        <v>2823576</v>
      </c>
      <c r="J109" s="9"/>
    </row>
    <row r="110" spans="1:10" x14ac:dyDescent="0.25">
      <c r="A110" s="2">
        <v>109</v>
      </c>
      <c r="B110" s="3">
        <v>1820316.861</v>
      </c>
      <c r="C110" s="4">
        <v>190</v>
      </c>
      <c r="D110" s="2">
        <v>9556.98</v>
      </c>
      <c r="E110" s="2">
        <v>3.95566</v>
      </c>
      <c r="F110" s="2">
        <v>0.19608</v>
      </c>
      <c r="G110" s="4">
        <v>7</v>
      </c>
      <c r="H110" s="4">
        <v>9</v>
      </c>
      <c r="I110" s="9">
        <f t="shared" si="1"/>
        <v>12742218.027000001</v>
      </c>
      <c r="J110" s="9"/>
    </row>
    <row r="111" spans="1:10" x14ac:dyDescent="0.25">
      <c r="A111" s="2">
        <v>110</v>
      </c>
      <c r="B111" s="3">
        <v>2610969.6329999999</v>
      </c>
      <c r="C111" s="4">
        <v>272</v>
      </c>
      <c r="D111" s="2">
        <v>9599.39</v>
      </c>
      <c r="E111" s="2">
        <v>3.5493299999999999</v>
      </c>
      <c r="F111" s="2">
        <v>0.1938</v>
      </c>
      <c r="G111" s="4">
        <v>1</v>
      </c>
      <c r="H111" s="4">
        <v>9</v>
      </c>
      <c r="I111" s="9">
        <f t="shared" si="1"/>
        <v>2610969.6329999999</v>
      </c>
      <c r="J111" s="9"/>
    </row>
    <row r="112" spans="1:10" x14ac:dyDescent="0.25">
      <c r="A112" s="2">
        <v>111</v>
      </c>
      <c r="B112" s="3">
        <v>3036027.392</v>
      </c>
      <c r="C112" s="4">
        <v>315</v>
      </c>
      <c r="D112" s="2">
        <v>9640.67</v>
      </c>
      <c r="E112" s="2">
        <v>3.51274</v>
      </c>
      <c r="F112" s="2">
        <v>0.19084000000000001</v>
      </c>
      <c r="G112" s="4">
        <v>1</v>
      </c>
      <c r="H112" s="4">
        <v>9</v>
      </c>
      <c r="I112" s="9">
        <f t="shared" si="1"/>
        <v>3036027.392</v>
      </c>
      <c r="J112" s="9"/>
    </row>
    <row r="113" spans="1:10" x14ac:dyDescent="0.25">
      <c r="A113" s="2">
        <v>112</v>
      </c>
      <c r="B113" s="3">
        <v>2985984</v>
      </c>
      <c r="C113" s="4">
        <v>308</v>
      </c>
      <c r="D113" s="2">
        <v>9691.26</v>
      </c>
      <c r="E113" s="2">
        <v>3.9874999999999998</v>
      </c>
      <c r="F113" s="2">
        <v>0.17483000000000001</v>
      </c>
      <c r="G113" s="4">
        <v>10</v>
      </c>
      <c r="H113" s="4">
        <v>10</v>
      </c>
      <c r="I113" s="9">
        <f t="shared" si="1"/>
        <v>29859840</v>
      </c>
      <c r="J113" s="9"/>
    </row>
    <row r="114" spans="1:10" x14ac:dyDescent="0.25">
      <c r="A114" s="2">
        <v>113</v>
      </c>
      <c r="B114" s="3">
        <v>3388518.0079999999</v>
      </c>
      <c r="C114" s="4">
        <v>347</v>
      </c>
      <c r="D114" s="2">
        <v>9756.6200000000008</v>
      </c>
      <c r="E114" s="2">
        <v>3.9201899999999998</v>
      </c>
      <c r="F114" s="2">
        <v>0.17422000000000001</v>
      </c>
      <c r="G114" s="4">
        <v>3</v>
      </c>
      <c r="H114" s="4">
        <v>9</v>
      </c>
      <c r="I114" s="9">
        <f t="shared" si="1"/>
        <v>10165554.024</v>
      </c>
      <c r="J114" s="9"/>
    </row>
    <row r="115" spans="1:10" x14ac:dyDescent="0.25">
      <c r="A115" s="2">
        <v>114</v>
      </c>
      <c r="B115" s="3">
        <v>3235225.2390000001</v>
      </c>
      <c r="C115" s="4">
        <v>329</v>
      </c>
      <c r="D115" s="2">
        <v>9838.2000000000007</v>
      </c>
      <c r="E115" s="2">
        <v>3.9197899999999999</v>
      </c>
      <c r="F115" s="2">
        <v>0.17241000000000001</v>
      </c>
      <c r="G115" s="4">
        <v>10</v>
      </c>
      <c r="H115" s="4">
        <v>8</v>
      </c>
      <c r="I115" s="9">
        <f t="shared" si="1"/>
        <v>32352252.390000001</v>
      </c>
      <c r="J115" s="9"/>
    </row>
    <row r="116" spans="1:10" x14ac:dyDescent="0.25">
      <c r="A116" s="2">
        <v>115</v>
      </c>
      <c r="B116" s="3">
        <v>3840389.4959999998</v>
      </c>
      <c r="C116" s="4">
        <v>387</v>
      </c>
      <c r="D116" s="2">
        <v>9933.25</v>
      </c>
      <c r="E116" s="2">
        <v>3.9765000000000001</v>
      </c>
      <c r="F116" s="2">
        <v>0.17152999999999999</v>
      </c>
      <c r="G116" s="4">
        <v>7</v>
      </c>
      <c r="H116" s="4">
        <v>2</v>
      </c>
      <c r="I116" s="9">
        <f t="shared" si="1"/>
        <v>26882726.471999999</v>
      </c>
      <c r="J116" s="9"/>
    </row>
    <row r="117" spans="1:10" x14ac:dyDescent="0.25">
      <c r="A117" s="2">
        <v>116</v>
      </c>
      <c r="B117" s="3">
        <v>4165509.5290000001</v>
      </c>
      <c r="C117" s="4">
        <v>415</v>
      </c>
      <c r="D117" s="2">
        <v>10033.469999999999</v>
      </c>
      <c r="E117" s="2">
        <v>3.9251399999999999</v>
      </c>
      <c r="F117" s="2">
        <v>0.16528999999999999</v>
      </c>
      <c r="G117" s="4">
        <v>5</v>
      </c>
      <c r="H117" s="4">
        <v>2</v>
      </c>
      <c r="I117" s="9">
        <f t="shared" si="1"/>
        <v>20827547.645</v>
      </c>
      <c r="J117" s="9"/>
    </row>
    <row r="118" spans="1:10" x14ac:dyDescent="0.25">
      <c r="A118" s="2">
        <v>117</v>
      </c>
      <c r="B118" s="3">
        <v>5106219.0480000004</v>
      </c>
      <c r="C118" s="4">
        <v>504</v>
      </c>
      <c r="D118" s="2">
        <v>10129.34</v>
      </c>
      <c r="E118" s="2">
        <v>3.8856799999999998</v>
      </c>
      <c r="F118" s="2">
        <v>0.16392999999999999</v>
      </c>
      <c r="G118" s="4">
        <v>10</v>
      </c>
      <c r="H118" s="4">
        <v>3</v>
      </c>
      <c r="I118" s="9">
        <f t="shared" si="1"/>
        <v>51062190.480000004</v>
      </c>
      <c r="J118" s="9"/>
    </row>
    <row r="119" spans="1:10" x14ac:dyDescent="0.25">
      <c r="A119" s="2">
        <v>118</v>
      </c>
      <c r="B119" s="3">
        <v>5213714.9040000001</v>
      </c>
      <c r="C119" s="4">
        <v>510</v>
      </c>
      <c r="D119" s="2">
        <v>10216.86</v>
      </c>
      <c r="E119" s="2">
        <v>3.9772500000000002</v>
      </c>
      <c r="F119" s="2">
        <v>0.15528</v>
      </c>
      <c r="G119" s="4">
        <v>10</v>
      </c>
      <c r="H119" s="4">
        <v>1</v>
      </c>
      <c r="I119" s="9">
        <f t="shared" si="1"/>
        <v>52137149.039999999</v>
      </c>
      <c r="J119" s="9"/>
    </row>
    <row r="120" spans="1:10" x14ac:dyDescent="0.25">
      <c r="A120" s="2">
        <v>119</v>
      </c>
      <c r="B120" s="3">
        <v>5017776.1279999996</v>
      </c>
      <c r="C120" s="4">
        <v>487</v>
      </c>
      <c r="D120" s="2">
        <v>10294.98</v>
      </c>
      <c r="E120" s="2">
        <v>4.0330000000000004</v>
      </c>
      <c r="F120" s="2">
        <v>0.16694000000000001</v>
      </c>
      <c r="G120" s="4">
        <v>3</v>
      </c>
      <c r="H120" s="4">
        <v>4</v>
      </c>
      <c r="I120" s="9">
        <f t="shared" si="1"/>
        <v>15053328.384</v>
      </c>
      <c r="J120" s="9"/>
    </row>
    <row r="121" spans="1:10" x14ac:dyDescent="0.25">
      <c r="A121" s="2">
        <v>120</v>
      </c>
      <c r="B121" s="3">
        <v>4402880.1189999999</v>
      </c>
      <c r="C121" s="4">
        <v>425</v>
      </c>
      <c r="D121" s="2">
        <v>10365.219999999999</v>
      </c>
      <c r="E121" s="2">
        <v>3.9632900000000002</v>
      </c>
      <c r="F121" s="2">
        <v>0.15973999999999999</v>
      </c>
      <c r="G121" s="4">
        <v>7</v>
      </c>
      <c r="H121" s="4">
        <v>1</v>
      </c>
      <c r="I121" s="9">
        <f t="shared" si="1"/>
        <v>30820160.833000001</v>
      </c>
      <c r="J121" s="9"/>
    </row>
    <row r="122" spans="1:10" x14ac:dyDescent="0.25">
      <c r="A122" s="2">
        <v>121</v>
      </c>
      <c r="B122" s="3">
        <v>4235801.0319999997</v>
      </c>
      <c r="C122" s="4">
        <v>406</v>
      </c>
      <c r="D122" s="2">
        <v>10429.370000000001</v>
      </c>
      <c r="E122" s="2">
        <v>3.8533300000000001</v>
      </c>
      <c r="F122" s="2">
        <v>0.15337000000000001</v>
      </c>
      <c r="G122" s="4">
        <v>5</v>
      </c>
      <c r="H122" s="4">
        <v>4</v>
      </c>
      <c r="I122" s="9">
        <f t="shared" si="1"/>
        <v>21179005.159999996</v>
      </c>
      <c r="J122" s="9"/>
    </row>
    <row r="123" spans="1:10" x14ac:dyDescent="0.25">
      <c r="A123" s="2">
        <v>122</v>
      </c>
      <c r="B123" s="3">
        <v>4012099.469</v>
      </c>
      <c r="C123" s="4">
        <v>383</v>
      </c>
      <c r="D123" s="2">
        <v>10486.11</v>
      </c>
      <c r="E123" s="2">
        <v>3.3575900000000001</v>
      </c>
      <c r="F123" s="2">
        <v>0.15015000000000001</v>
      </c>
      <c r="G123" s="4">
        <v>2</v>
      </c>
      <c r="H123" s="4">
        <v>4</v>
      </c>
      <c r="I123" s="9">
        <f t="shared" si="1"/>
        <v>8024198.9380000001</v>
      </c>
      <c r="J123" s="9"/>
    </row>
    <row r="124" spans="1:10" x14ac:dyDescent="0.25">
      <c r="A124" s="2">
        <v>123</v>
      </c>
      <c r="B124" s="3">
        <v>4111379.2080000001</v>
      </c>
      <c r="C124" s="4">
        <v>390</v>
      </c>
      <c r="D124" s="2">
        <v>10531.21</v>
      </c>
      <c r="E124" s="2">
        <v>3.6293899999999999</v>
      </c>
      <c r="F124" s="2">
        <v>0.15923999999999999</v>
      </c>
      <c r="G124" s="4">
        <v>10</v>
      </c>
      <c r="H124" s="4">
        <v>1</v>
      </c>
      <c r="I124" s="9">
        <f t="shared" si="1"/>
        <v>41113792.079999998</v>
      </c>
      <c r="J124" s="9"/>
    </row>
    <row r="125" spans="1:10" x14ac:dyDescent="0.25">
      <c r="A125" s="2">
        <v>124</v>
      </c>
      <c r="B125" s="3">
        <v>4632407.9630000005</v>
      </c>
      <c r="C125" s="4">
        <v>439</v>
      </c>
      <c r="D125" s="2">
        <v>10559.93</v>
      </c>
      <c r="E125" s="2">
        <v>3.9257300000000002</v>
      </c>
      <c r="F125" s="2">
        <v>0.16583999999999999</v>
      </c>
      <c r="G125" s="4">
        <v>4</v>
      </c>
      <c r="H125" s="4">
        <v>1</v>
      </c>
      <c r="I125" s="9">
        <f t="shared" si="1"/>
        <v>18529631.852000002</v>
      </c>
      <c r="J125" s="9"/>
    </row>
    <row r="126" spans="1:10" x14ac:dyDescent="0.25">
      <c r="A126" s="2">
        <v>125</v>
      </c>
      <c r="B126" s="3">
        <v>4259406.0609999998</v>
      </c>
      <c r="C126" s="4">
        <v>403</v>
      </c>
      <c r="D126" s="2">
        <v>10570.23</v>
      </c>
      <c r="E126" s="2">
        <v>3.9154200000000001</v>
      </c>
      <c r="F126" s="2">
        <v>0.16367000000000001</v>
      </c>
      <c r="G126" s="4">
        <v>2</v>
      </c>
      <c r="H126" s="4">
        <v>1</v>
      </c>
      <c r="I126" s="9">
        <f t="shared" si="1"/>
        <v>8518812.1219999995</v>
      </c>
      <c r="J126" s="9"/>
    </row>
    <row r="127" spans="1:10" x14ac:dyDescent="0.25">
      <c r="A127" s="2">
        <v>126</v>
      </c>
      <c r="B127" s="3">
        <v>2703045.4569999999</v>
      </c>
      <c r="C127" s="4">
        <v>256</v>
      </c>
      <c r="D127" s="2">
        <v>10560.4</v>
      </c>
      <c r="E127" s="2">
        <v>3.90116</v>
      </c>
      <c r="F127" s="2">
        <v>0.16891999999999999</v>
      </c>
      <c r="G127" s="4">
        <v>6</v>
      </c>
      <c r="H127" s="4">
        <v>1</v>
      </c>
      <c r="I127" s="9">
        <f t="shared" si="1"/>
        <v>16218272.741999999</v>
      </c>
      <c r="J127" s="9"/>
    </row>
    <row r="128" spans="1:10" x14ac:dyDescent="0.25">
      <c r="A128" s="2">
        <v>127</v>
      </c>
      <c r="B128" s="3">
        <v>2576987.8110000002</v>
      </c>
      <c r="C128" s="4">
        <v>245</v>
      </c>
      <c r="D128" s="2">
        <v>10530.43</v>
      </c>
      <c r="E128" s="2">
        <v>3.8971100000000001</v>
      </c>
      <c r="F128" s="2">
        <v>0.16835</v>
      </c>
      <c r="G128" s="4">
        <v>8</v>
      </c>
      <c r="H128" s="4">
        <v>3</v>
      </c>
      <c r="I128" s="9">
        <f t="shared" si="1"/>
        <v>20615902.488000002</v>
      </c>
      <c r="J128" s="9"/>
    </row>
    <row r="129" spans="1:10" x14ac:dyDescent="0.25">
      <c r="A129" s="2">
        <v>128</v>
      </c>
      <c r="B129" s="3">
        <v>2422300.6069999998</v>
      </c>
      <c r="C129" s="4">
        <v>231</v>
      </c>
      <c r="D129" s="2">
        <v>10485.92</v>
      </c>
      <c r="E129" s="2">
        <v>3.8763999999999998</v>
      </c>
      <c r="F129" s="2">
        <v>0.17271</v>
      </c>
      <c r="G129" s="4">
        <v>3</v>
      </c>
      <c r="H129" s="4">
        <v>1</v>
      </c>
      <c r="I129" s="9">
        <f t="shared" si="1"/>
        <v>7266901.8209999995</v>
      </c>
      <c r="J129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showGridLines="0" zoomScale="80" zoomScaleNormal="80" workbookViewId="0"/>
  </sheetViews>
  <sheetFormatPr defaultRowHeight="15" x14ac:dyDescent="0.25"/>
  <cols>
    <col min="1" max="1" width="25" bestFit="1" customWidth="1"/>
    <col min="2" max="2" width="12" bestFit="1" customWidth="1"/>
    <col min="3" max="3" width="23.28515625" bestFit="1" customWidth="1"/>
    <col min="4" max="4" width="12" bestFit="1" customWidth="1"/>
    <col min="5" max="5" width="23.28515625" bestFit="1" customWidth="1"/>
    <col min="6" max="6" width="12.7109375" bestFit="1" customWidth="1"/>
    <col min="7" max="7" width="23.28515625" bestFit="1" customWidth="1"/>
    <col min="8" max="8" width="12.7109375" bestFit="1" customWidth="1"/>
    <col min="9" max="9" width="23.28515625" bestFit="1" customWidth="1"/>
    <col min="10" max="10" width="12" bestFit="1" customWidth="1"/>
    <col min="11" max="11" width="23.28515625" bestFit="1" customWidth="1"/>
    <col min="12" max="12" width="12.7109375" bestFit="1" customWidth="1"/>
    <col min="13" max="13" width="23.28515625" bestFit="1" customWidth="1"/>
    <col min="14" max="14" width="12.7109375" bestFit="1" customWidth="1"/>
  </cols>
  <sheetData>
    <row r="1" spans="1:14" x14ac:dyDescent="0.25">
      <c r="A1" s="14" t="s">
        <v>159</v>
      </c>
      <c r="B1" s="14" t="s">
        <v>160</v>
      </c>
      <c r="C1" s="14" t="s">
        <v>161</v>
      </c>
      <c r="D1" s="14" t="s">
        <v>162</v>
      </c>
      <c r="E1" s="14" t="s">
        <v>163</v>
      </c>
      <c r="F1" s="14" t="s">
        <v>164</v>
      </c>
      <c r="G1" s="14" t="s">
        <v>165</v>
      </c>
      <c r="H1" s="14" t="s">
        <v>166</v>
      </c>
      <c r="I1" s="14" t="s">
        <v>167</v>
      </c>
      <c r="J1" s="14" t="s">
        <v>168</v>
      </c>
      <c r="K1" s="14" t="s">
        <v>169</v>
      </c>
      <c r="L1" s="14" t="s">
        <v>170</v>
      </c>
      <c r="M1" s="14" t="s">
        <v>171</v>
      </c>
      <c r="N1" s="14" t="s">
        <v>172</v>
      </c>
    </row>
    <row r="2" spans="1:1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 t="s">
        <v>0</v>
      </c>
      <c r="B3" s="13">
        <v>109741910.65717971</v>
      </c>
      <c r="C3" s="13" t="s">
        <v>0</v>
      </c>
      <c r="D3" s="13">
        <v>10630.8515625</v>
      </c>
      <c r="E3" s="13" t="s">
        <v>0</v>
      </c>
      <c r="F3" s="13">
        <v>9995.7374218749992</v>
      </c>
      <c r="G3" s="13" t="s">
        <v>0</v>
      </c>
      <c r="H3" s="13">
        <v>4.3638352343750038</v>
      </c>
      <c r="I3" s="13" t="s">
        <v>0</v>
      </c>
      <c r="J3" s="13">
        <v>0.22949296875000003</v>
      </c>
      <c r="K3" s="13" t="s">
        <v>0</v>
      </c>
      <c r="L3" s="13">
        <v>5.7734375</v>
      </c>
      <c r="M3" s="13" t="s">
        <v>0</v>
      </c>
      <c r="N3" s="13">
        <v>8.328125</v>
      </c>
    </row>
    <row r="4" spans="1:14" x14ac:dyDescent="0.25">
      <c r="A4" s="13" t="s">
        <v>6</v>
      </c>
      <c r="B4" s="13">
        <v>21321196.307685856</v>
      </c>
      <c r="C4" s="13" t="s">
        <v>6</v>
      </c>
      <c r="D4" s="13">
        <v>2053.1662161064446</v>
      </c>
      <c r="E4" s="13" t="s">
        <v>6</v>
      </c>
      <c r="F4" s="13">
        <v>45.630775612114753</v>
      </c>
      <c r="G4" s="13" t="s">
        <v>6</v>
      </c>
      <c r="H4" s="13">
        <v>3.5089709128699992E-2</v>
      </c>
      <c r="I4" s="13" t="s">
        <v>6</v>
      </c>
      <c r="J4" s="13">
        <v>4.0639560312591902E-3</v>
      </c>
      <c r="K4" s="13" t="s">
        <v>6</v>
      </c>
      <c r="L4" s="13">
        <v>0.24230653348605671</v>
      </c>
      <c r="M4" s="13" t="s">
        <v>6</v>
      </c>
      <c r="N4" s="13">
        <v>0.20960844607116877</v>
      </c>
    </row>
    <row r="5" spans="1:14" x14ac:dyDescent="0.25">
      <c r="A5" s="13" t="s">
        <v>1</v>
      </c>
      <c r="B5" s="13">
        <v>18390884.876000002</v>
      </c>
      <c r="C5" s="13" t="s">
        <v>1</v>
      </c>
      <c r="D5" s="13">
        <v>1871</v>
      </c>
      <c r="E5" s="13" t="s">
        <v>1</v>
      </c>
      <c r="F5" s="13">
        <v>10121.33</v>
      </c>
      <c r="G5" s="13" t="s">
        <v>1</v>
      </c>
      <c r="H5" s="13">
        <v>4.3512450000000005</v>
      </c>
      <c r="I5" s="13" t="s">
        <v>1</v>
      </c>
      <c r="J5" s="13">
        <v>0.223965</v>
      </c>
      <c r="K5" s="13" t="s">
        <v>1</v>
      </c>
      <c r="L5" s="13">
        <v>6</v>
      </c>
      <c r="M5" s="13" t="s">
        <v>1</v>
      </c>
      <c r="N5" s="13">
        <v>9</v>
      </c>
    </row>
    <row r="6" spans="1:14" x14ac:dyDescent="0.25">
      <c r="A6" s="13" t="s">
        <v>2</v>
      </c>
      <c r="B6" s="13">
        <v>20706256.936000001</v>
      </c>
      <c r="C6" s="13" t="s">
        <v>2</v>
      </c>
      <c r="D6" s="13" t="e">
        <v>#N/A</v>
      </c>
      <c r="E6" s="13" t="s">
        <v>2</v>
      </c>
      <c r="F6" s="13" t="e">
        <v>#N/A</v>
      </c>
      <c r="G6" s="13" t="s">
        <v>2</v>
      </c>
      <c r="H6" s="13">
        <v>4.0467300000000002</v>
      </c>
      <c r="I6" s="13" t="s">
        <v>2</v>
      </c>
      <c r="J6" s="13">
        <v>0.21185999999999999</v>
      </c>
      <c r="K6" s="13" t="s">
        <v>2</v>
      </c>
      <c r="L6" s="13">
        <v>6</v>
      </c>
      <c r="M6" s="13" t="s">
        <v>2</v>
      </c>
      <c r="N6" s="13">
        <v>10</v>
      </c>
    </row>
    <row r="7" spans="1:14" x14ac:dyDescent="0.25">
      <c r="A7" s="13" t="s">
        <v>7</v>
      </c>
      <c r="B7" s="13">
        <v>241221799.87478796</v>
      </c>
      <c r="C7" s="13" t="s">
        <v>7</v>
      </c>
      <c r="D7" s="13">
        <v>23228.924068991866</v>
      </c>
      <c r="E7" s="13" t="s">
        <v>7</v>
      </c>
      <c r="F7" s="13">
        <v>516.25329385804923</v>
      </c>
      <c r="G7" s="13" t="s">
        <v>7</v>
      </c>
      <c r="H7" s="13">
        <v>0.39699474039627625</v>
      </c>
      <c r="I7" s="13" t="s">
        <v>7</v>
      </c>
      <c r="J7" s="13">
        <v>4.5978413890357478E-2</v>
      </c>
      <c r="K7" s="13" t="s">
        <v>7</v>
      </c>
      <c r="L7" s="13">
        <v>2.7413854872607355</v>
      </c>
      <c r="M7" s="13" t="s">
        <v>7</v>
      </c>
      <c r="N7" s="13">
        <v>2.3714488577743711</v>
      </c>
    </row>
    <row r="8" spans="1:14" x14ac:dyDescent="0.25">
      <c r="A8" s="13" t="s">
        <v>8</v>
      </c>
      <c r="B8" s="13">
        <v>5.8187956734832256E+16</v>
      </c>
      <c r="C8" s="13" t="s">
        <v>8</v>
      </c>
      <c r="D8" s="13">
        <v>539582913.40298963</v>
      </c>
      <c r="E8" s="13" t="s">
        <v>8</v>
      </c>
      <c r="F8" s="13">
        <v>266517.46341928531</v>
      </c>
      <c r="G8" s="13" t="s">
        <v>8</v>
      </c>
      <c r="H8" s="13">
        <v>0.15760482390230679</v>
      </c>
      <c r="I8" s="13" t="s">
        <v>8</v>
      </c>
      <c r="J8" s="13">
        <v>2.1140145438730174E-3</v>
      </c>
      <c r="K8" s="13" t="s">
        <v>8</v>
      </c>
      <c r="L8" s="13">
        <v>7.5151943897637796</v>
      </c>
      <c r="M8" s="13" t="s">
        <v>8</v>
      </c>
      <c r="N8" s="13">
        <v>5.6237696850393704</v>
      </c>
    </row>
    <row r="9" spans="1:14" x14ac:dyDescent="0.25">
      <c r="A9" s="13" t="s">
        <v>9</v>
      </c>
      <c r="B9" s="13">
        <v>11.326150227235258</v>
      </c>
      <c r="C9" s="13" t="s">
        <v>9</v>
      </c>
      <c r="D9" s="13">
        <v>11.315692850197111</v>
      </c>
      <c r="E9" s="13" t="s">
        <v>9</v>
      </c>
      <c r="F9" s="13">
        <v>1.2237931701797278</v>
      </c>
      <c r="G9" s="13" t="s">
        <v>9</v>
      </c>
      <c r="H9" s="13">
        <v>-0.87161255681490557</v>
      </c>
      <c r="I9" s="13" t="s">
        <v>9</v>
      </c>
      <c r="J9" s="13">
        <v>2.5647082002090915</v>
      </c>
      <c r="K9" s="13" t="s">
        <v>9</v>
      </c>
      <c r="L9" s="13">
        <v>-1.1688497485941918</v>
      </c>
      <c r="M9" s="13" t="s">
        <v>9</v>
      </c>
      <c r="N9" s="13">
        <v>3.8231791650112799</v>
      </c>
    </row>
    <row r="10" spans="1:14" x14ac:dyDescent="0.25">
      <c r="A10" s="13" t="s">
        <v>10</v>
      </c>
      <c r="B10" s="13">
        <v>3.3545800254274174</v>
      </c>
      <c r="C10" s="13" t="s">
        <v>10</v>
      </c>
      <c r="D10" s="13">
        <v>3.3513582684953045</v>
      </c>
      <c r="E10" s="13" t="s">
        <v>10</v>
      </c>
      <c r="F10" s="13">
        <v>-1.1507111181884107</v>
      </c>
      <c r="G10" s="13" t="s">
        <v>10</v>
      </c>
      <c r="H10" s="13">
        <v>-9.3344426403569505E-2</v>
      </c>
      <c r="I10" s="13" t="s">
        <v>10</v>
      </c>
      <c r="J10" s="13">
        <v>1.1002644928775098</v>
      </c>
      <c r="K10" s="13" t="s">
        <v>10</v>
      </c>
      <c r="L10" s="13">
        <v>-1.7393180813491015E-2</v>
      </c>
      <c r="M10" s="13" t="s">
        <v>10</v>
      </c>
      <c r="N10" s="13">
        <v>-2.1517714254140134</v>
      </c>
    </row>
    <row r="11" spans="1:14" x14ac:dyDescent="0.25">
      <c r="A11" s="13" t="s">
        <v>11</v>
      </c>
      <c r="B11" s="13">
        <v>1274759827.5929999</v>
      </c>
      <c r="C11" s="13" t="s">
        <v>11</v>
      </c>
      <c r="D11" s="13">
        <v>124447</v>
      </c>
      <c r="E11" s="13" t="s">
        <v>11</v>
      </c>
      <c r="F11" s="13">
        <v>2266.7799999999988</v>
      </c>
      <c r="G11" s="13" t="s">
        <v>11</v>
      </c>
      <c r="H11" s="13">
        <v>1.7024699999999999</v>
      </c>
      <c r="I11" s="13" t="s">
        <v>11</v>
      </c>
      <c r="J11" s="13">
        <v>0.26306999999999997</v>
      </c>
      <c r="K11" s="13" t="s">
        <v>11</v>
      </c>
      <c r="L11" s="13">
        <v>9</v>
      </c>
      <c r="M11" s="13" t="s">
        <v>11</v>
      </c>
      <c r="N11" s="13">
        <v>9</v>
      </c>
    </row>
    <row r="12" spans="1:14" x14ac:dyDescent="0.25">
      <c r="A12" s="13" t="s">
        <v>12</v>
      </c>
      <c r="B12" s="13">
        <v>410172.40700000001</v>
      </c>
      <c r="C12" s="13" t="s">
        <v>12</v>
      </c>
      <c r="D12" s="13">
        <v>47</v>
      </c>
      <c r="E12" s="13" t="s">
        <v>12</v>
      </c>
      <c r="F12" s="13">
        <v>8399.94</v>
      </c>
      <c r="G12" s="13" t="s">
        <v>12</v>
      </c>
      <c r="H12" s="13">
        <v>3.3575900000000001</v>
      </c>
      <c r="I12" s="13" t="s">
        <v>12</v>
      </c>
      <c r="J12" s="13">
        <v>0.15015000000000001</v>
      </c>
      <c r="K12" s="13" t="s">
        <v>12</v>
      </c>
      <c r="L12" s="13">
        <v>1</v>
      </c>
      <c r="M12" s="13" t="s">
        <v>12</v>
      </c>
      <c r="N12" s="13">
        <v>1</v>
      </c>
    </row>
    <row r="13" spans="1:14" x14ac:dyDescent="0.25">
      <c r="A13" s="13" t="s">
        <v>13</v>
      </c>
      <c r="B13" s="13">
        <v>1275170000</v>
      </c>
      <c r="C13" s="13" t="s">
        <v>13</v>
      </c>
      <c r="D13" s="13">
        <v>124494</v>
      </c>
      <c r="E13" s="13" t="s">
        <v>13</v>
      </c>
      <c r="F13" s="13">
        <v>10666.72</v>
      </c>
      <c r="G13" s="13" t="s">
        <v>13</v>
      </c>
      <c r="H13" s="13">
        <v>5.06006</v>
      </c>
      <c r="I13" s="13" t="s">
        <v>13</v>
      </c>
      <c r="J13" s="13">
        <v>0.41321999999999998</v>
      </c>
      <c r="K13" s="13" t="s">
        <v>13</v>
      </c>
      <c r="L13" s="13">
        <v>10</v>
      </c>
      <c r="M13" s="13" t="s">
        <v>13</v>
      </c>
      <c r="N13" s="13">
        <v>10</v>
      </c>
    </row>
    <row r="14" spans="1:14" x14ac:dyDescent="0.25">
      <c r="A14" s="13" t="s">
        <v>14</v>
      </c>
      <c r="B14" s="13">
        <v>14046964564.119003</v>
      </c>
      <c r="C14" s="13" t="s">
        <v>14</v>
      </c>
      <c r="D14" s="13">
        <v>1360749</v>
      </c>
      <c r="E14" s="13" t="s">
        <v>14</v>
      </c>
      <c r="F14" s="13">
        <v>1279454.3899999999</v>
      </c>
      <c r="G14" s="13" t="s">
        <v>14</v>
      </c>
      <c r="H14" s="13">
        <v>558.57091000000048</v>
      </c>
      <c r="I14" s="13" t="s">
        <v>14</v>
      </c>
      <c r="J14" s="13">
        <v>29.375100000000003</v>
      </c>
      <c r="K14" s="13" t="s">
        <v>14</v>
      </c>
      <c r="L14" s="13">
        <v>739</v>
      </c>
      <c r="M14" s="13" t="s">
        <v>14</v>
      </c>
      <c r="N14" s="13">
        <v>1066</v>
      </c>
    </row>
    <row r="15" spans="1:14" x14ac:dyDescent="0.25">
      <c r="A15" s="13" t="s">
        <v>15</v>
      </c>
      <c r="B15" s="13">
        <v>128</v>
      </c>
      <c r="C15" s="13" t="s">
        <v>15</v>
      </c>
      <c r="D15" s="13">
        <v>128</v>
      </c>
      <c r="E15" s="13" t="s">
        <v>15</v>
      </c>
      <c r="F15" s="13">
        <v>128</v>
      </c>
      <c r="G15" s="13" t="s">
        <v>15</v>
      </c>
      <c r="H15" s="13">
        <v>128</v>
      </c>
      <c r="I15" s="13" t="s">
        <v>15</v>
      </c>
      <c r="J15" s="13">
        <v>128</v>
      </c>
      <c r="K15" s="13" t="s">
        <v>15</v>
      </c>
      <c r="L15" s="13">
        <v>128</v>
      </c>
      <c r="M15" s="13" t="s">
        <v>15</v>
      </c>
      <c r="N15" s="13">
        <v>128</v>
      </c>
    </row>
    <row r="16" spans="1:14" x14ac:dyDescent="0.25">
      <c r="A16" s="13" t="s">
        <v>16</v>
      </c>
      <c r="B16" s="13">
        <v>42190799.756883144</v>
      </c>
      <c r="C16" s="13" t="s">
        <v>16</v>
      </c>
      <c r="D16" s="13">
        <v>4062.8454164233749</v>
      </c>
      <c r="E16" s="13" t="s">
        <v>16</v>
      </c>
      <c r="F16" s="13">
        <v>90.295070164895264</v>
      </c>
      <c r="G16" s="13" t="s">
        <v>16</v>
      </c>
      <c r="H16" s="13">
        <v>6.9436201890912624E-2</v>
      </c>
      <c r="I16" s="13" t="s">
        <v>16</v>
      </c>
      <c r="J16" s="13">
        <v>8.0418355828291693E-3</v>
      </c>
      <c r="K16" s="13" t="s">
        <v>16</v>
      </c>
      <c r="L16" s="13">
        <v>0.47948090184834036</v>
      </c>
      <c r="M16" s="13" t="s">
        <v>16</v>
      </c>
      <c r="N16" s="13">
        <v>0.41477728772433853</v>
      </c>
    </row>
    <row r="17" spans="1:14" x14ac:dyDescent="0.25">
      <c r="A17" s="13" t="s">
        <v>17</v>
      </c>
      <c r="B17">
        <f>B16+B3</f>
        <v>151932710.41406286</v>
      </c>
      <c r="C17" s="13" t="s">
        <v>17</v>
      </c>
      <c r="D17">
        <f>D16+D3</f>
        <v>14693.696978923375</v>
      </c>
      <c r="E17" s="13" t="s">
        <v>17</v>
      </c>
      <c r="F17">
        <f>F16+F3</f>
        <v>10086.032492039894</v>
      </c>
      <c r="G17" s="13" t="s">
        <v>17</v>
      </c>
      <c r="H17">
        <f>H16+H3</f>
        <v>4.4332714362659162</v>
      </c>
      <c r="I17" s="13" t="s">
        <v>17</v>
      </c>
      <c r="J17">
        <f>J16+J3</f>
        <v>0.2375348043328292</v>
      </c>
      <c r="K17" s="13" t="s">
        <v>17</v>
      </c>
      <c r="L17">
        <f>L16+L3</f>
        <v>6.2529184018483406</v>
      </c>
      <c r="M17" s="13" t="s">
        <v>17</v>
      </c>
      <c r="N17">
        <f>N16+N3</f>
        <v>8.7429022877243376</v>
      </c>
    </row>
    <row r="18" spans="1:14" x14ac:dyDescent="0.25">
      <c r="A18" s="13" t="s">
        <v>18</v>
      </c>
      <c r="B18">
        <f>B3-B16</f>
        <v>67551110.900296569</v>
      </c>
      <c r="C18" s="13" t="s">
        <v>18</v>
      </c>
      <c r="D18">
        <f>D3-D16</f>
        <v>6568.0061460766246</v>
      </c>
      <c r="E18" s="13" t="s">
        <v>18</v>
      </c>
      <c r="F18">
        <f>F3-F16</f>
        <v>9905.442351710104</v>
      </c>
      <c r="G18" s="13" t="s">
        <v>18</v>
      </c>
      <c r="H18">
        <f>H3-H16</f>
        <v>4.2943990324840913</v>
      </c>
      <c r="I18" s="13" t="s">
        <v>18</v>
      </c>
      <c r="J18">
        <f>J3-J16</f>
        <v>0.22145113316717085</v>
      </c>
      <c r="K18" s="13" t="s">
        <v>18</v>
      </c>
      <c r="L18">
        <f>L3-L16</f>
        <v>5.2939565981516594</v>
      </c>
      <c r="M18" s="13" t="s">
        <v>18</v>
      </c>
      <c r="N18">
        <f>N3-N16</f>
        <v>7.9133477122756615</v>
      </c>
    </row>
    <row r="23" spans="1:14" x14ac:dyDescent="0.25">
      <c r="A23" s="10" t="s">
        <v>135</v>
      </c>
    </row>
    <row r="25" spans="1:14" x14ac:dyDescent="0.25">
      <c r="A25" s="10" t="s">
        <v>136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1"/>
  <sheetViews>
    <sheetView showGridLines="0" zoomScale="80" zoomScaleNormal="80" workbookViewId="0"/>
  </sheetViews>
  <sheetFormatPr defaultRowHeight="15" x14ac:dyDescent="0.25"/>
  <cols>
    <col min="10" max="10" width="10.85546875" customWidth="1"/>
  </cols>
  <sheetData>
    <row r="1" spans="1:16" ht="18" x14ac:dyDescent="0.35">
      <c r="A1" s="10" t="s">
        <v>35</v>
      </c>
      <c r="E1" s="22" t="s">
        <v>34</v>
      </c>
      <c r="F1" s="20" t="s">
        <v>33</v>
      </c>
      <c r="G1" s="20" t="s">
        <v>32</v>
      </c>
      <c r="H1" s="20" t="s">
        <v>31</v>
      </c>
      <c r="I1" s="20" t="s">
        <v>30</v>
      </c>
      <c r="J1" s="20" t="s">
        <v>29</v>
      </c>
      <c r="K1" s="20" t="s">
        <v>24</v>
      </c>
      <c r="L1" s="20" t="s">
        <v>28</v>
      </c>
      <c r="P1" s="20"/>
    </row>
    <row r="2" spans="1:16" x14ac:dyDescent="0.25">
      <c r="E2">
        <v>17.3</v>
      </c>
      <c r="F2">
        <f>IF(ISBLANK(E2),"",1)</f>
        <v>1</v>
      </c>
      <c r="G2">
        <f t="shared" ref="G2:G33" si="0">IF(ISBLANK(E2), NA(),SMALL(E$2:E$201,F2))</f>
        <v>16.100000000000001</v>
      </c>
      <c r="H2">
        <f t="shared" ref="H2:H33" si="1">IF(ISBLANK(E2),"",NORMDIST(G2, $B$3, $B$4, TRUE))</f>
        <v>7.9412182994119881E-3</v>
      </c>
      <c r="I2">
        <f t="shared" ref="I2:I33" si="2">IF(ISBLANK(E2), "", 1-H2)</f>
        <v>0.99205878170058803</v>
      </c>
      <c r="J2">
        <f t="shared" ref="J2:J33" si="3">IF(ISBLANK(E2),"",SMALL(I$2:I$201,F2))</f>
        <v>1.0210182263855172E-2</v>
      </c>
      <c r="K2">
        <f t="shared" ref="K2:K33" si="4">IF(ISBLANK(E2),"",(2*F2-1)*(LN(H2)+LN(J2)))</f>
        <v>-9.4200583727413978</v>
      </c>
      <c r="L2">
        <f t="shared" ref="L2:L33" si="5">IF(E2="",NA(),NORMSINV((F2-0.3)/($B$5+0.4)))</f>
        <v>-2.5768157056643637</v>
      </c>
      <c r="M2">
        <f>N2*$B$4+$B$3</f>
        <v>15.440719496533584</v>
      </c>
      <c r="N2">
        <v>-3</v>
      </c>
    </row>
    <row r="3" spans="1:16" x14ac:dyDescent="0.25">
      <c r="A3" t="s">
        <v>27</v>
      </c>
      <c r="B3">
        <f>AVERAGE(E2:E201)</f>
        <v>18.802142857142858</v>
      </c>
      <c r="E3">
        <v>19</v>
      </c>
      <c r="F3">
        <f t="shared" ref="F3:F34" si="6">IF(ISBLANK(E3),"",F2+1)</f>
        <v>2</v>
      </c>
      <c r="G3">
        <f t="shared" si="0"/>
        <v>16.3</v>
      </c>
      <c r="H3">
        <f t="shared" si="1"/>
        <v>1.2770841242023072E-2</v>
      </c>
      <c r="I3">
        <f t="shared" si="2"/>
        <v>0.9872291587579769</v>
      </c>
      <c r="J3">
        <f t="shared" si="3"/>
        <v>2.4907944289578099E-2</v>
      </c>
      <c r="K3">
        <f t="shared" si="4"/>
        <v>-24.159477639896043</v>
      </c>
      <c r="L3">
        <f t="shared" si="5"/>
        <v>-2.253676540998629</v>
      </c>
      <c r="M3">
        <f>N3*$B$4+$B$3</f>
        <v>18.802142857142858</v>
      </c>
      <c r="N3">
        <v>0</v>
      </c>
    </row>
    <row r="4" spans="1:16" x14ac:dyDescent="0.25">
      <c r="A4" t="s">
        <v>26</v>
      </c>
      <c r="B4">
        <f>STDEV(E2:E201)</f>
        <v>1.1204744535364248</v>
      </c>
      <c r="E4">
        <v>18.2</v>
      </c>
      <c r="F4">
        <f t="shared" si="6"/>
        <v>3</v>
      </c>
      <c r="G4">
        <f t="shared" si="0"/>
        <v>16.3</v>
      </c>
      <c r="H4">
        <f t="shared" si="1"/>
        <v>1.2770841242023072E-2</v>
      </c>
      <c r="I4">
        <f t="shared" si="2"/>
        <v>0.9872291587579769</v>
      </c>
      <c r="J4">
        <f t="shared" si="3"/>
        <v>3.0582998193588895E-2</v>
      </c>
      <c r="K4">
        <f t="shared" si="4"/>
        <v>-39.239508868499456</v>
      </c>
      <c r="L4">
        <f t="shared" si="5"/>
        <v>-2.0699018308950512</v>
      </c>
      <c r="M4">
        <f>N4*$B$4+$B$3</f>
        <v>22.163566217752134</v>
      </c>
      <c r="N4">
        <v>3</v>
      </c>
    </row>
    <row r="5" spans="1:16" x14ac:dyDescent="0.25">
      <c r="A5" t="s">
        <v>25</v>
      </c>
      <c r="B5">
        <f>COUNTA(E2:E201)</f>
        <v>140</v>
      </c>
      <c r="E5">
        <v>19</v>
      </c>
      <c r="F5">
        <f t="shared" si="6"/>
        <v>4</v>
      </c>
      <c r="G5">
        <f t="shared" si="0"/>
        <v>16.399999999999999</v>
      </c>
      <c r="H5">
        <f t="shared" si="1"/>
        <v>1.6021963786710513E-2</v>
      </c>
      <c r="I5">
        <f t="shared" si="2"/>
        <v>0.9839780362132895</v>
      </c>
      <c r="J5">
        <f t="shared" si="3"/>
        <v>3.0582998193588895E-2</v>
      </c>
      <c r="K5">
        <f t="shared" si="4"/>
        <v>-53.347740603065553</v>
      </c>
      <c r="L5">
        <f t="shared" si="5"/>
        <v>-1.9373174317326844</v>
      </c>
    </row>
    <row r="6" spans="1:16" x14ac:dyDescent="0.25">
      <c r="E6">
        <v>19</v>
      </c>
      <c r="F6">
        <f t="shared" si="6"/>
        <v>5</v>
      </c>
      <c r="G6">
        <f t="shared" si="0"/>
        <v>16.600000000000001</v>
      </c>
      <c r="H6">
        <f t="shared" si="1"/>
        <v>2.4685921999517302E-2</v>
      </c>
      <c r="I6">
        <f t="shared" si="2"/>
        <v>0.97531407800048275</v>
      </c>
      <c r="J6">
        <f t="shared" si="3"/>
        <v>3.7289433196601385E-2</v>
      </c>
      <c r="K6">
        <f t="shared" si="4"/>
        <v>-62.915106979387161</v>
      </c>
      <c r="L6">
        <f t="shared" si="5"/>
        <v>-1.8319990177530494</v>
      </c>
    </row>
    <row r="7" spans="1:16" x14ac:dyDescent="0.25">
      <c r="A7" t="s">
        <v>24</v>
      </c>
      <c r="B7">
        <f>SUM(K2:K201)</f>
        <v>-19633.179860991604</v>
      </c>
      <c r="E7">
        <v>20.399999999999999</v>
      </c>
      <c r="F7">
        <f t="shared" si="6"/>
        <v>6</v>
      </c>
      <c r="G7">
        <f t="shared" si="0"/>
        <v>16.8</v>
      </c>
      <c r="H7">
        <f t="shared" si="1"/>
        <v>3.6979202777193756E-2</v>
      </c>
      <c r="I7">
        <f t="shared" si="2"/>
        <v>0.9630207972228062</v>
      </c>
      <c r="J7">
        <f t="shared" si="3"/>
        <v>4.515185797762411E-2</v>
      </c>
      <c r="K7">
        <f t="shared" si="4"/>
        <v>-70.346358062374691</v>
      </c>
      <c r="L7">
        <f t="shared" si="5"/>
        <v>-1.7437850334621019</v>
      </c>
    </row>
    <row r="8" spans="1:16" x14ac:dyDescent="0.25">
      <c r="A8" t="s">
        <v>23</v>
      </c>
      <c r="B8" s="19">
        <f>-B5-B7/B5</f>
        <v>0.23699900708288624</v>
      </c>
      <c r="E8">
        <v>18.3</v>
      </c>
      <c r="F8">
        <f t="shared" si="6"/>
        <v>7</v>
      </c>
      <c r="G8">
        <f t="shared" si="0"/>
        <v>16.899999999999999</v>
      </c>
      <c r="H8">
        <f t="shared" si="1"/>
        <v>4.4789498661832884E-2</v>
      </c>
      <c r="I8">
        <f t="shared" si="2"/>
        <v>0.9552105013381671</v>
      </c>
      <c r="J8">
        <f t="shared" si="3"/>
        <v>5.4296450167015453E-2</v>
      </c>
      <c r="K8">
        <f t="shared" si="4"/>
        <v>-78.248014007069429</v>
      </c>
      <c r="L8">
        <f t="shared" si="5"/>
        <v>-1.6673662758155805</v>
      </c>
    </row>
    <row r="9" spans="1:16" x14ac:dyDescent="0.25">
      <c r="A9" t="s">
        <v>22</v>
      </c>
      <c r="B9" s="19">
        <f>B8*(1+0.75/B5+2.25/B5^2)</f>
        <v>0.2382958511395005</v>
      </c>
      <c r="E9">
        <v>19.899999999999999</v>
      </c>
      <c r="F9">
        <f t="shared" si="6"/>
        <v>8</v>
      </c>
      <c r="G9">
        <f t="shared" si="0"/>
        <v>17.100000000000001</v>
      </c>
      <c r="H9">
        <f t="shared" si="1"/>
        <v>6.4365281353885695E-2</v>
      </c>
      <c r="I9">
        <f t="shared" si="2"/>
        <v>0.93563471864611425</v>
      </c>
      <c r="J9">
        <f t="shared" si="3"/>
        <v>5.4296450167015453E-2</v>
      </c>
      <c r="K9">
        <f t="shared" si="4"/>
        <v>-84.84715993936436</v>
      </c>
      <c r="L9">
        <f t="shared" si="5"/>
        <v>-1.5996033280899549</v>
      </c>
    </row>
    <row r="10" spans="1:16" x14ac:dyDescent="0.25">
      <c r="A10" t="s">
        <v>21</v>
      </c>
      <c r="B10" s="21">
        <f>MAX(B15:B18)</f>
        <v>0.78204460566389744</v>
      </c>
      <c r="E10">
        <v>18.7</v>
      </c>
      <c r="F10">
        <f t="shared" si="6"/>
        <v>9</v>
      </c>
      <c r="G10">
        <f t="shared" si="0"/>
        <v>17.100000000000001</v>
      </c>
      <c r="H10">
        <f t="shared" si="1"/>
        <v>6.4365281353885695E-2</v>
      </c>
      <c r="I10">
        <f t="shared" si="2"/>
        <v>0.93563471864611425</v>
      </c>
      <c r="J10">
        <f t="shared" si="3"/>
        <v>6.4847975278605086E-2</v>
      </c>
      <c r="K10">
        <f t="shared" si="4"/>
        <v>-93.141138346526546</v>
      </c>
      <c r="L10">
        <f t="shared" si="5"/>
        <v>-1.5384786536137631</v>
      </c>
    </row>
    <row r="11" spans="1:16" x14ac:dyDescent="0.25">
      <c r="E11">
        <v>20.9</v>
      </c>
      <c r="F11">
        <f t="shared" si="6"/>
        <v>10</v>
      </c>
      <c r="G11">
        <f t="shared" si="0"/>
        <v>17.100000000000001</v>
      </c>
      <c r="H11">
        <f t="shared" si="1"/>
        <v>6.4365281353885695E-2</v>
      </c>
      <c r="I11">
        <f t="shared" si="2"/>
        <v>0.93563471864611425</v>
      </c>
      <c r="J11">
        <f t="shared" si="3"/>
        <v>6.4847975278605086E-2</v>
      </c>
      <c r="K11">
        <f t="shared" si="4"/>
        <v>-104.09891932847084</v>
      </c>
      <c r="L11">
        <f t="shared" si="5"/>
        <v>-1.4826153436092895</v>
      </c>
    </row>
    <row r="12" spans="1:16" x14ac:dyDescent="0.25">
      <c r="E12">
        <v>17.7</v>
      </c>
      <c r="F12">
        <f t="shared" si="6"/>
        <v>11</v>
      </c>
      <c r="G12">
        <f t="shared" si="0"/>
        <v>17.100000000000001</v>
      </c>
      <c r="H12">
        <f t="shared" si="1"/>
        <v>6.4365281353885695E-2</v>
      </c>
      <c r="I12">
        <f t="shared" si="2"/>
        <v>0.93563471864611425</v>
      </c>
      <c r="J12">
        <f t="shared" si="3"/>
        <v>6.4847975278605086E-2</v>
      </c>
      <c r="K12">
        <f t="shared" si="4"/>
        <v>-115.05670031041515</v>
      </c>
      <c r="L12">
        <f t="shared" si="5"/>
        <v>-1.43102987763545</v>
      </c>
    </row>
    <row r="13" spans="1:16" x14ac:dyDescent="0.25">
      <c r="E13">
        <v>19.100000000000001</v>
      </c>
      <c r="F13">
        <f t="shared" si="6"/>
        <v>12</v>
      </c>
      <c r="G13">
        <f t="shared" si="0"/>
        <v>17.2</v>
      </c>
      <c r="H13">
        <f t="shared" si="1"/>
        <v>7.6375879445632081E-2</v>
      </c>
      <c r="I13">
        <f t="shared" si="2"/>
        <v>0.92362412055436793</v>
      </c>
      <c r="J13">
        <f t="shared" si="3"/>
        <v>6.4847975278605086E-2</v>
      </c>
      <c r="K13">
        <f t="shared" si="4"/>
        <v>-122.0793525518539</v>
      </c>
      <c r="L13">
        <f t="shared" si="5"/>
        <v>-1.3829941271006392</v>
      </c>
    </row>
    <row r="14" spans="1:16" x14ac:dyDescent="0.25">
      <c r="A14" s="18" t="s">
        <v>20</v>
      </c>
      <c r="B14" s="18"/>
      <c r="E14">
        <v>19.7</v>
      </c>
      <c r="F14">
        <f t="shared" si="6"/>
        <v>13</v>
      </c>
      <c r="G14">
        <f t="shared" si="0"/>
        <v>17.2</v>
      </c>
      <c r="H14">
        <f t="shared" si="1"/>
        <v>7.6375879445632081E-2</v>
      </c>
      <c r="I14">
        <f t="shared" si="2"/>
        <v>0.92362412055436793</v>
      </c>
      <c r="J14">
        <f t="shared" si="3"/>
        <v>7.6926369128000216E-2</v>
      </c>
      <c r="K14">
        <f t="shared" si="4"/>
        <v>-128.42487266084041</v>
      </c>
      <c r="L14">
        <f t="shared" si="5"/>
        <v>-1.3379532377585106</v>
      </c>
    </row>
    <row r="15" spans="1:16" x14ac:dyDescent="0.25">
      <c r="A15" t="s">
        <v>19</v>
      </c>
      <c r="B15">
        <f>IF(AND(B9&lt;13,B9&gt;= 0.6),EXP(1.2937-5.709*B9+0.0186*B9^ 2),0)</f>
        <v>0</v>
      </c>
      <c r="E15">
        <v>18.100000000000001</v>
      </c>
      <c r="F15">
        <f t="shared" si="6"/>
        <v>14</v>
      </c>
      <c r="G15">
        <f t="shared" si="0"/>
        <v>17.3</v>
      </c>
      <c r="H15">
        <f t="shared" si="1"/>
        <v>9.0020133433390923E-2</v>
      </c>
      <c r="I15">
        <f t="shared" si="2"/>
        <v>0.90997986656660912</v>
      </c>
      <c r="J15">
        <f t="shared" si="3"/>
        <v>7.6926369128000216E-2</v>
      </c>
      <c r="K15">
        <f t="shared" si="4"/>
        <v>-134.26096919133545</v>
      </c>
      <c r="L15">
        <f t="shared" si="5"/>
        <v>-1.2954742022093346</v>
      </c>
    </row>
    <row r="16" spans="1:16" x14ac:dyDescent="0.25">
      <c r="A16" t="s">
        <v>19</v>
      </c>
      <c r="B16">
        <f>IF(AND(B9&lt;0.6,B9&gt;=0.34),EXP(0.9177-4.279*B9-1.38*B9^2),0)</f>
        <v>0</v>
      </c>
      <c r="E16">
        <v>18.399999999999999</v>
      </c>
      <c r="F16">
        <f t="shared" si="6"/>
        <v>15</v>
      </c>
      <c r="G16">
        <f t="shared" si="0"/>
        <v>17.3</v>
      </c>
      <c r="H16">
        <f t="shared" si="1"/>
        <v>9.0020133433390923E-2</v>
      </c>
      <c r="I16">
        <f t="shared" si="2"/>
        <v>0.90997986656660912</v>
      </c>
      <c r="J16">
        <f t="shared" si="3"/>
        <v>7.6926369128000216E-2</v>
      </c>
      <c r="K16">
        <f t="shared" si="4"/>
        <v>-144.2062261684714</v>
      </c>
      <c r="L16">
        <f t="shared" si="5"/>
        <v>-1.2552122784689139</v>
      </c>
    </row>
    <row r="17" spans="1:12" x14ac:dyDescent="0.25">
      <c r="A17" t="s">
        <v>19</v>
      </c>
      <c r="B17">
        <f>IF(AND(B9&lt;0.34,B9&gt;=0.2),1-EXP(-8.318+42.796*B9-59.938*B9^2),0)</f>
        <v>0.78204460566389744</v>
      </c>
      <c r="E17">
        <v>17.5</v>
      </c>
      <c r="F17">
        <f t="shared" si="6"/>
        <v>16</v>
      </c>
      <c r="G17">
        <f t="shared" si="0"/>
        <v>17.3</v>
      </c>
      <c r="H17">
        <f t="shared" si="1"/>
        <v>9.0020133433390923E-2</v>
      </c>
      <c r="I17">
        <f t="shared" si="2"/>
        <v>0.90997986656660912</v>
      </c>
      <c r="J17">
        <f t="shared" si="3"/>
        <v>9.0642960246540838E-2</v>
      </c>
      <c r="K17">
        <f t="shared" si="4"/>
        <v>-149.06501690026383</v>
      </c>
      <c r="L17">
        <f t="shared" si="5"/>
        <v>-1.2168882845316809</v>
      </c>
    </row>
    <row r="18" spans="1:12" x14ac:dyDescent="0.25">
      <c r="A18" t="s">
        <v>19</v>
      </c>
      <c r="B18">
        <f>IF(B9&lt;0.2,1-EXP(-13.436+101.14*B9-223.73*B9^2),0)</f>
        <v>0</v>
      </c>
      <c r="E18">
        <v>18.899999999999999</v>
      </c>
      <c r="F18">
        <f t="shared" si="6"/>
        <v>17</v>
      </c>
      <c r="G18">
        <f t="shared" si="0"/>
        <v>17.3</v>
      </c>
      <c r="H18">
        <f t="shared" si="1"/>
        <v>9.0020133433390923E-2</v>
      </c>
      <c r="I18">
        <f t="shared" si="2"/>
        <v>0.90997986656660912</v>
      </c>
      <c r="J18">
        <f t="shared" si="3"/>
        <v>0.10609643884254949</v>
      </c>
      <c r="K18">
        <f t="shared" si="4"/>
        <v>-153.48724798904638</v>
      </c>
      <c r="L18">
        <f t="shared" si="5"/>
        <v>-1.1802727868295286</v>
      </c>
    </row>
    <row r="19" spans="1:12" x14ac:dyDescent="0.25">
      <c r="E19">
        <v>19</v>
      </c>
      <c r="F19">
        <f t="shared" si="6"/>
        <v>18</v>
      </c>
      <c r="G19">
        <f t="shared" si="0"/>
        <v>17.399999999999999</v>
      </c>
      <c r="H19">
        <f t="shared" si="1"/>
        <v>0.10539735995728501</v>
      </c>
      <c r="I19">
        <f t="shared" si="2"/>
        <v>0.89460264004271495</v>
      </c>
      <c r="J19">
        <f t="shared" si="3"/>
        <v>0.1233687070610241</v>
      </c>
      <c r="K19">
        <f t="shared" si="4"/>
        <v>-151.99084180556923</v>
      </c>
      <c r="L19">
        <f t="shared" si="5"/>
        <v>-1.1451748070146457</v>
      </c>
    </row>
    <row r="20" spans="1:12" x14ac:dyDescent="0.25">
      <c r="E20">
        <v>20.5</v>
      </c>
      <c r="F20">
        <f t="shared" si="6"/>
        <v>19</v>
      </c>
      <c r="G20">
        <f t="shared" si="0"/>
        <v>17.399999999999999</v>
      </c>
      <c r="H20">
        <f t="shared" si="1"/>
        <v>0.10539735995728501</v>
      </c>
      <c r="I20">
        <f t="shared" si="2"/>
        <v>0.89460264004271495</v>
      </c>
      <c r="J20">
        <f t="shared" si="3"/>
        <v>0.1233687070610241</v>
      </c>
      <c r="K20">
        <f t="shared" si="4"/>
        <v>-160.67603276588747</v>
      </c>
      <c r="L20">
        <f t="shared" si="5"/>
        <v>-1.1114335766029091</v>
      </c>
    </row>
    <row r="21" spans="1:12" x14ac:dyDescent="0.25">
      <c r="A21" s="17"/>
      <c r="E21">
        <v>17.3</v>
      </c>
      <c r="F21">
        <f t="shared" si="6"/>
        <v>20</v>
      </c>
      <c r="G21">
        <f t="shared" si="0"/>
        <v>17.5</v>
      </c>
      <c r="H21">
        <f t="shared" si="1"/>
        <v>0.12259026582113153</v>
      </c>
      <c r="I21">
        <f t="shared" si="2"/>
        <v>0.87740973417886847</v>
      </c>
      <c r="J21">
        <f t="shared" si="3"/>
        <v>0.14252076948408487</v>
      </c>
      <c r="K21">
        <f t="shared" si="4"/>
        <v>-157.83983262960089</v>
      </c>
      <c r="L21">
        <f t="shared" si="5"/>
        <v>-1.0789123997706274</v>
      </c>
    </row>
    <row r="22" spans="1:12" x14ac:dyDescent="0.25">
      <c r="A22" s="16"/>
      <c r="E22">
        <v>18.3</v>
      </c>
      <c r="F22">
        <f t="shared" si="6"/>
        <v>21</v>
      </c>
      <c r="G22">
        <f t="shared" si="0"/>
        <v>17.5</v>
      </c>
      <c r="H22">
        <f t="shared" si="1"/>
        <v>0.12259026582113153</v>
      </c>
      <c r="I22">
        <f t="shared" si="2"/>
        <v>0.87740973417886847</v>
      </c>
      <c r="J22">
        <f t="shared" si="3"/>
        <v>0.14252076948408487</v>
      </c>
      <c r="K22">
        <f t="shared" si="4"/>
        <v>-165.93418302086246</v>
      </c>
      <c r="L22">
        <f t="shared" si="5"/>
        <v>-1.0474940068175931</v>
      </c>
    </row>
    <row r="23" spans="1:12" x14ac:dyDescent="0.25">
      <c r="E23">
        <v>18.399999999999999</v>
      </c>
      <c r="F23">
        <f t="shared" si="6"/>
        <v>22</v>
      </c>
      <c r="G23">
        <f t="shared" si="0"/>
        <v>17.5</v>
      </c>
      <c r="H23">
        <f t="shared" si="1"/>
        <v>0.12259026582113153</v>
      </c>
      <c r="I23">
        <f t="shared" si="2"/>
        <v>0.87740973417886847</v>
      </c>
      <c r="J23">
        <f t="shared" si="3"/>
        <v>0.14252076948408487</v>
      </c>
      <c r="K23">
        <f t="shared" si="4"/>
        <v>-174.02853341212403</v>
      </c>
      <c r="L23">
        <f t="shared" si="5"/>
        <v>-1.0170769824594872</v>
      </c>
    </row>
    <row r="24" spans="1:12" x14ac:dyDescent="0.25">
      <c r="E24">
        <v>18.600000000000001</v>
      </c>
      <c r="F24">
        <f t="shared" si="6"/>
        <v>23</v>
      </c>
      <c r="G24">
        <f t="shared" si="0"/>
        <v>17.600000000000001</v>
      </c>
      <c r="H24">
        <f t="shared" si="1"/>
        <v>0.14166083324141884</v>
      </c>
      <c r="I24">
        <f t="shared" si="2"/>
        <v>0.85833916675858113</v>
      </c>
      <c r="J24">
        <f t="shared" si="3"/>
        <v>0.16358884083282921</v>
      </c>
      <c r="K24">
        <f t="shared" si="4"/>
        <v>-169.41233897555452</v>
      </c>
      <c r="L24">
        <f t="shared" si="5"/>
        <v>-0.98757298273868099</v>
      </c>
    </row>
    <row r="25" spans="1:12" x14ac:dyDescent="0.25">
      <c r="E25">
        <v>19.8</v>
      </c>
      <c r="F25">
        <f t="shared" si="6"/>
        <v>24</v>
      </c>
      <c r="G25">
        <f t="shared" si="0"/>
        <v>17.7</v>
      </c>
      <c r="H25">
        <f t="shared" si="1"/>
        <v>0.16264641444694836</v>
      </c>
      <c r="I25">
        <f t="shared" si="2"/>
        <v>0.83735358555305162</v>
      </c>
      <c r="J25">
        <f t="shared" si="3"/>
        <v>0.16358884083282921</v>
      </c>
      <c r="K25">
        <f t="shared" si="4"/>
        <v>-170.44905969102652</v>
      </c>
      <c r="L25">
        <f t="shared" si="5"/>
        <v>-0.95890453968260392</v>
      </c>
    </row>
    <row r="26" spans="1:12" x14ac:dyDescent="0.25">
      <c r="E26">
        <v>20.2</v>
      </c>
      <c r="F26">
        <f t="shared" si="6"/>
        <v>25</v>
      </c>
      <c r="G26">
        <f t="shared" si="0"/>
        <v>17.7</v>
      </c>
      <c r="H26">
        <f t="shared" si="1"/>
        <v>0.16264641444694836</v>
      </c>
      <c r="I26">
        <f t="shared" si="2"/>
        <v>0.83735358555305162</v>
      </c>
      <c r="J26">
        <f t="shared" si="3"/>
        <v>0.16358884083282921</v>
      </c>
      <c r="K26">
        <f t="shared" si="4"/>
        <v>-177.70221116724042</v>
      </c>
      <c r="L26">
        <f t="shared" si="5"/>
        <v>-0.93100331023794303</v>
      </c>
    </row>
    <row r="27" spans="1:12" x14ac:dyDescent="0.25">
      <c r="E27">
        <v>18.5</v>
      </c>
      <c r="F27">
        <f t="shared" si="6"/>
        <v>26</v>
      </c>
      <c r="G27">
        <f t="shared" si="0"/>
        <v>17.7</v>
      </c>
      <c r="H27">
        <f t="shared" si="1"/>
        <v>0.16264641444694836</v>
      </c>
      <c r="I27">
        <f t="shared" si="2"/>
        <v>0.83735358555305162</v>
      </c>
      <c r="J27">
        <f t="shared" si="3"/>
        <v>0.16358884083282921</v>
      </c>
      <c r="K27">
        <f t="shared" si="4"/>
        <v>-184.95536264345432</v>
      </c>
      <c r="L27">
        <f t="shared" si="5"/>
        <v>-0.90380866536633708</v>
      </c>
    </row>
    <row r="28" spans="1:12" x14ac:dyDescent="0.25">
      <c r="E28">
        <v>18.5</v>
      </c>
      <c r="F28">
        <f t="shared" si="6"/>
        <v>27</v>
      </c>
      <c r="G28">
        <f t="shared" si="0"/>
        <v>17.8</v>
      </c>
      <c r="H28">
        <f t="shared" si="1"/>
        <v>0.18555622222132592</v>
      </c>
      <c r="I28">
        <f t="shared" si="2"/>
        <v>0.81444377777867405</v>
      </c>
      <c r="J28">
        <f t="shared" si="3"/>
        <v>0.18658085769504595</v>
      </c>
      <c r="K28">
        <f t="shared" si="4"/>
        <v>-178.25426074766449</v>
      </c>
      <c r="L28">
        <f t="shared" si="5"/>
        <v>-0.87726654265007264</v>
      </c>
    </row>
    <row r="29" spans="1:12" x14ac:dyDescent="0.25">
      <c r="E29">
        <v>18</v>
      </c>
      <c r="F29">
        <f t="shared" si="6"/>
        <v>28</v>
      </c>
      <c r="G29">
        <f t="shared" si="0"/>
        <v>17.899999999999999</v>
      </c>
      <c r="H29">
        <f t="shared" si="1"/>
        <v>0.21036840352330491</v>
      </c>
      <c r="I29">
        <f t="shared" si="2"/>
        <v>0.78963159647669512</v>
      </c>
      <c r="J29">
        <f t="shared" si="3"/>
        <v>0.18658085769504595</v>
      </c>
      <c r="K29">
        <f t="shared" si="4"/>
        <v>-178.07820598121202</v>
      </c>
      <c r="L29">
        <f t="shared" si="5"/>
        <v>-0.8513285052261178</v>
      </c>
    </row>
    <row r="30" spans="1:12" x14ac:dyDescent="0.25">
      <c r="E30">
        <v>20.9</v>
      </c>
      <c r="F30">
        <f t="shared" si="6"/>
        <v>29</v>
      </c>
      <c r="G30">
        <f t="shared" si="0"/>
        <v>17.899999999999999</v>
      </c>
      <c r="H30">
        <f t="shared" si="1"/>
        <v>0.21036840352330491</v>
      </c>
      <c r="I30">
        <f t="shared" si="2"/>
        <v>0.78963159647669512</v>
      </c>
      <c r="J30">
        <f t="shared" si="3"/>
        <v>0.18658085769504595</v>
      </c>
      <c r="K30">
        <f t="shared" si="4"/>
        <v>-184.55377710780158</v>
      </c>
      <c r="L30">
        <f t="shared" si="5"/>
        <v>-0.8259509638725272</v>
      </c>
    </row>
    <row r="31" spans="1:12" x14ac:dyDescent="0.25">
      <c r="E31">
        <v>18.100000000000001</v>
      </c>
      <c r="F31">
        <f t="shared" si="6"/>
        <v>30</v>
      </c>
      <c r="G31">
        <f t="shared" si="0"/>
        <v>17.899999999999999</v>
      </c>
      <c r="H31">
        <f t="shared" si="1"/>
        <v>0.21036840352330491</v>
      </c>
      <c r="I31">
        <f t="shared" si="2"/>
        <v>0.78963159647669512</v>
      </c>
      <c r="J31">
        <f t="shared" si="3"/>
        <v>0.21147358120122495</v>
      </c>
      <c r="K31">
        <f t="shared" si="4"/>
        <v>-183.64046077576543</v>
      </c>
      <c r="L31">
        <f t="shared" si="5"/>
        <v>-0.80109452928194935</v>
      </c>
    </row>
    <row r="32" spans="1:12" x14ac:dyDescent="0.25">
      <c r="E32">
        <v>19.399999999999999</v>
      </c>
      <c r="F32">
        <f t="shared" si="6"/>
        <v>31</v>
      </c>
      <c r="G32">
        <f t="shared" si="0"/>
        <v>18</v>
      </c>
      <c r="H32">
        <f t="shared" si="1"/>
        <v>0.23702787306587539</v>
      </c>
      <c r="I32">
        <f t="shared" si="2"/>
        <v>0.76297212693412464</v>
      </c>
      <c r="J32">
        <f t="shared" si="3"/>
        <v>0.21147358120122495</v>
      </c>
      <c r="K32">
        <f t="shared" si="4"/>
        <v>-182.58719694269035</v>
      </c>
      <c r="L32">
        <f t="shared" si="5"/>
        <v>-0.77672346909285528</v>
      </c>
    </row>
    <row r="33" spans="5:12" x14ac:dyDescent="0.25">
      <c r="E33">
        <v>20.5</v>
      </c>
      <c r="F33">
        <f t="shared" si="6"/>
        <v>32</v>
      </c>
      <c r="G33">
        <f t="shared" si="0"/>
        <v>18</v>
      </c>
      <c r="H33">
        <f t="shared" si="1"/>
        <v>0.23702787306587539</v>
      </c>
      <c r="I33">
        <f t="shared" si="2"/>
        <v>0.76297212693412464</v>
      </c>
      <c r="J33">
        <f t="shared" si="3"/>
        <v>0.21147358120122495</v>
      </c>
      <c r="K33">
        <f t="shared" si="4"/>
        <v>-188.5736624162212</v>
      </c>
      <c r="L33">
        <f t="shared" si="5"/>
        <v>-0.7528052498747434</v>
      </c>
    </row>
    <row r="34" spans="5:12" x14ac:dyDescent="0.25">
      <c r="E34">
        <v>20.399999999999999</v>
      </c>
      <c r="F34">
        <f t="shared" si="6"/>
        <v>33</v>
      </c>
      <c r="G34">
        <f t="shared" ref="G34:G65" si="7">IF(ISBLANK(E34), NA(),SMALL(E$2:E$201,F34))</f>
        <v>18</v>
      </c>
      <c r="H34">
        <f t="shared" ref="H34:H65" si="8">IF(ISBLANK(E34),"",NORMDIST(G34, $B$3, $B$4, TRUE))</f>
        <v>0.23702787306587539</v>
      </c>
      <c r="I34">
        <f t="shared" ref="I34:I65" si="9">IF(ISBLANK(E34), "", 1-H34)</f>
        <v>0.76297212693412464</v>
      </c>
      <c r="J34">
        <f t="shared" ref="J34:J65" si="10">IF(ISBLANK(E34),"",SMALL(I$2:I$201,F34))</f>
        <v>0.23821046684011016</v>
      </c>
      <c r="K34">
        <f t="shared" ref="K34:K65" si="11">IF(ISBLANK(E34),"",(2*F34-1)*(LN(H34)+LN(J34)))</f>
        <v>-186.82158420389493</v>
      </c>
      <c r="L34">
        <f t="shared" ref="L34:L65" si="12">IF(E34="",NA(),NORMSINV((F34-0.3)/($B$5+0.4)))</f>
        <v>-0.72931014850769149</v>
      </c>
    </row>
    <row r="35" spans="5:12" x14ac:dyDescent="0.25">
      <c r="E35">
        <v>16.100000000000001</v>
      </c>
      <c r="F35">
        <f t="shared" ref="F35:F66" si="13">IF(ISBLANK(E35),"",F34+1)</f>
        <v>34</v>
      </c>
      <c r="G35">
        <f t="shared" si="7"/>
        <v>18.100000000000001</v>
      </c>
      <c r="H35">
        <f t="shared" si="8"/>
        <v>0.26544506228308706</v>
      </c>
      <c r="I35">
        <f t="shared" si="9"/>
        <v>0.73455493771691294</v>
      </c>
      <c r="J35">
        <f t="shared" si="10"/>
        <v>0.23821046684011016</v>
      </c>
      <c r="K35">
        <f t="shared" si="11"/>
        <v>-184.98352022531694</v>
      </c>
      <c r="L35">
        <f t="shared" si="12"/>
        <v>-0.70621092062998536</v>
      </c>
    </row>
    <row r="36" spans="5:12" x14ac:dyDescent="0.25">
      <c r="E36">
        <v>18.7</v>
      </c>
      <c r="F36">
        <f t="shared" si="13"/>
        <v>35</v>
      </c>
      <c r="G36">
        <f t="shared" si="7"/>
        <v>18.100000000000001</v>
      </c>
      <c r="H36">
        <f t="shared" si="8"/>
        <v>0.26544506228308706</v>
      </c>
      <c r="I36">
        <f t="shared" si="9"/>
        <v>0.73455493771691294</v>
      </c>
      <c r="J36">
        <f t="shared" si="10"/>
        <v>0.23821046684011016</v>
      </c>
      <c r="K36">
        <f t="shared" si="11"/>
        <v>-190.5054163514458</v>
      </c>
      <c r="L36">
        <f t="shared" si="12"/>
        <v>-0.68348251631360402</v>
      </c>
    </row>
    <row r="37" spans="5:12" x14ac:dyDescent="0.25">
      <c r="E37">
        <v>18.8</v>
      </c>
      <c r="F37">
        <f t="shared" si="13"/>
        <v>36</v>
      </c>
      <c r="G37">
        <f t="shared" si="7"/>
        <v>18.100000000000001</v>
      </c>
      <c r="H37">
        <f t="shared" si="8"/>
        <v>0.26544506228308706</v>
      </c>
      <c r="I37">
        <f t="shared" si="9"/>
        <v>0.73455493771691294</v>
      </c>
      <c r="J37">
        <f t="shared" si="10"/>
        <v>0.23821046684011016</v>
      </c>
      <c r="K37">
        <f t="shared" si="11"/>
        <v>-196.02731247757467</v>
      </c>
      <c r="L37">
        <f t="shared" si="12"/>
        <v>-0.66110183505512932</v>
      </c>
    </row>
    <row r="38" spans="5:12" x14ac:dyDescent="0.25">
      <c r="E38">
        <v>17.3</v>
      </c>
      <c r="F38">
        <f t="shared" si="13"/>
        <v>37</v>
      </c>
      <c r="G38">
        <f t="shared" si="7"/>
        <v>18.100000000000001</v>
      </c>
      <c r="H38">
        <f t="shared" si="8"/>
        <v>0.26544506228308706</v>
      </c>
      <c r="I38">
        <f t="shared" si="9"/>
        <v>0.73455493771691294</v>
      </c>
      <c r="J38">
        <f t="shared" si="10"/>
        <v>0.23821046684011016</v>
      </c>
      <c r="K38">
        <f t="shared" si="11"/>
        <v>-201.54920860370353</v>
      </c>
      <c r="L38">
        <f t="shared" si="12"/>
        <v>-0.63904751367660539</v>
      </c>
    </row>
    <row r="39" spans="5:12" x14ac:dyDescent="0.25">
      <c r="E39">
        <v>18.100000000000001</v>
      </c>
      <c r="F39">
        <f t="shared" si="13"/>
        <v>38</v>
      </c>
      <c r="G39">
        <f t="shared" si="7"/>
        <v>18.2</v>
      </c>
      <c r="H39">
        <f t="shared" si="8"/>
        <v>0.29549570685442739</v>
      </c>
      <c r="I39">
        <f t="shared" si="9"/>
        <v>0.70450429314557261</v>
      </c>
      <c r="J39">
        <f t="shared" si="10"/>
        <v>0.2667004556761523</v>
      </c>
      <c r="K39">
        <f t="shared" si="11"/>
        <v>-190.55475824074233</v>
      </c>
      <c r="L39">
        <f t="shared" si="12"/>
        <v>-0.61729974191771353</v>
      </c>
    </row>
    <row r="40" spans="5:12" x14ac:dyDescent="0.25">
      <c r="E40">
        <v>19.899999999999999</v>
      </c>
      <c r="F40">
        <f t="shared" si="13"/>
        <v>39</v>
      </c>
      <c r="G40">
        <f t="shared" si="7"/>
        <v>18.2</v>
      </c>
      <c r="H40">
        <f t="shared" si="8"/>
        <v>0.29549570685442739</v>
      </c>
      <c r="I40">
        <f t="shared" si="9"/>
        <v>0.70450429314557261</v>
      </c>
      <c r="J40">
        <f t="shared" si="10"/>
        <v>0.2667004556761523</v>
      </c>
      <c r="K40">
        <f t="shared" si="11"/>
        <v>-195.63621846049546</v>
      </c>
      <c r="L40">
        <f t="shared" si="12"/>
        <v>-0.59584010144197597</v>
      </c>
    </row>
    <row r="41" spans="5:12" x14ac:dyDescent="0.25">
      <c r="E41">
        <v>19.600000000000001</v>
      </c>
      <c r="F41">
        <f t="shared" si="13"/>
        <v>40</v>
      </c>
      <c r="G41">
        <f t="shared" si="7"/>
        <v>18.3</v>
      </c>
      <c r="H41">
        <f t="shared" si="8"/>
        <v>0.32702175411154921</v>
      </c>
      <c r="I41">
        <f t="shared" si="9"/>
        <v>0.67297824588845079</v>
      </c>
      <c r="J41">
        <f t="shared" si="10"/>
        <v>0.2667004556761523</v>
      </c>
      <c r="K41">
        <f t="shared" si="11"/>
        <v>-192.70926013171589</v>
      </c>
      <c r="L41">
        <f t="shared" si="12"/>
        <v>-0.57465142473135722</v>
      </c>
    </row>
    <row r="42" spans="5:12" x14ac:dyDescent="0.25">
      <c r="E42">
        <v>18.399999999999999</v>
      </c>
      <c r="F42">
        <f t="shared" si="13"/>
        <v>41</v>
      </c>
      <c r="G42">
        <f t="shared" si="7"/>
        <v>18.3</v>
      </c>
      <c r="H42">
        <f t="shared" si="8"/>
        <v>0.32702175411154921</v>
      </c>
      <c r="I42">
        <f t="shared" si="9"/>
        <v>0.67297824588845079</v>
      </c>
      <c r="J42">
        <f t="shared" si="10"/>
        <v>0.2667004556761523</v>
      </c>
      <c r="K42">
        <f t="shared" si="11"/>
        <v>-197.58797557808848</v>
      </c>
      <c r="L42">
        <f t="shared" si="12"/>
        <v>-0.553717670947528</v>
      </c>
    </row>
    <row r="43" spans="5:12" x14ac:dyDescent="0.25">
      <c r="E43">
        <v>19.5</v>
      </c>
      <c r="F43">
        <f t="shared" si="13"/>
        <v>42</v>
      </c>
      <c r="G43">
        <f t="shared" si="7"/>
        <v>18.3</v>
      </c>
      <c r="H43">
        <f t="shared" si="8"/>
        <v>0.32702175411154921</v>
      </c>
      <c r="I43">
        <f t="shared" si="9"/>
        <v>0.67297824588845079</v>
      </c>
      <c r="J43">
        <f t="shared" si="10"/>
        <v>0.29681780853016071</v>
      </c>
      <c r="K43">
        <f t="shared" si="11"/>
        <v>-193.58632418822324</v>
      </c>
      <c r="L43">
        <f t="shared" si="12"/>
        <v>-0.53302381632619555</v>
      </c>
    </row>
    <row r="44" spans="5:12" x14ac:dyDescent="0.25">
      <c r="E44">
        <v>16.8</v>
      </c>
      <c r="F44">
        <f t="shared" si="13"/>
        <v>43</v>
      </c>
      <c r="G44">
        <f t="shared" si="7"/>
        <v>18.3</v>
      </c>
      <c r="H44">
        <f t="shared" si="8"/>
        <v>0.32702175411154921</v>
      </c>
      <c r="I44">
        <f t="shared" si="9"/>
        <v>0.67297824588845079</v>
      </c>
      <c r="J44">
        <f t="shared" si="10"/>
        <v>0.29681780853016071</v>
      </c>
      <c r="K44">
        <f t="shared" si="11"/>
        <v>-198.25105489155391</v>
      </c>
      <c r="L44">
        <f t="shared" si="12"/>
        <v>-0.51255575706762879</v>
      </c>
    </row>
    <row r="45" spans="5:12" x14ac:dyDescent="0.25">
      <c r="E45">
        <v>17.100000000000001</v>
      </c>
      <c r="F45">
        <f t="shared" si="13"/>
        <v>44</v>
      </c>
      <c r="G45">
        <f t="shared" si="7"/>
        <v>18.3</v>
      </c>
      <c r="H45">
        <f t="shared" si="8"/>
        <v>0.32702175411154921</v>
      </c>
      <c r="I45">
        <f t="shared" si="9"/>
        <v>0.67297824588845079</v>
      </c>
      <c r="J45">
        <f t="shared" si="10"/>
        <v>0.29681780853016071</v>
      </c>
      <c r="K45">
        <f t="shared" si="11"/>
        <v>-202.9157855948846</v>
      </c>
      <c r="L45">
        <f t="shared" si="12"/>
        <v>-0.49230022301069837</v>
      </c>
    </row>
    <row r="46" spans="5:12" x14ac:dyDescent="0.25">
      <c r="E46">
        <v>18.899999999999999</v>
      </c>
      <c r="F46">
        <f t="shared" si="13"/>
        <v>45</v>
      </c>
      <c r="G46">
        <f t="shared" si="7"/>
        <v>18.3</v>
      </c>
      <c r="H46">
        <f t="shared" si="8"/>
        <v>0.32702175411154921</v>
      </c>
      <c r="I46">
        <f t="shared" si="9"/>
        <v>0.67297824588845079</v>
      </c>
      <c r="J46">
        <f t="shared" si="10"/>
        <v>0.29681780853016071</v>
      </c>
      <c r="K46">
        <f t="shared" si="11"/>
        <v>-207.58051629821529</v>
      </c>
      <c r="L46">
        <f t="shared" si="12"/>
        <v>-0.472244700643972</v>
      </c>
    </row>
    <row r="47" spans="5:12" x14ac:dyDescent="0.25">
      <c r="E47">
        <v>19.7</v>
      </c>
      <c r="F47">
        <f t="shared" si="13"/>
        <v>46</v>
      </c>
      <c r="G47">
        <f t="shared" si="7"/>
        <v>18.3</v>
      </c>
      <c r="H47">
        <f t="shared" si="8"/>
        <v>0.32702175411154921</v>
      </c>
      <c r="I47">
        <f t="shared" si="9"/>
        <v>0.67297824588845079</v>
      </c>
      <c r="J47">
        <f t="shared" si="10"/>
        <v>0.29681780853016071</v>
      </c>
      <c r="K47">
        <f t="shared" si="11"/>
        <v>-212.24524700154595</v>
      </c>
      <c r="L47">
        <f t="shared" si="12"/>
        <v>-0.4523773642270823</v>
      </c>
    </row>
    <row r="48" spans="5:12" x14ac:dyDescent="0.25">
      <c r="E48">
        <v>19.7</v>
      </c>
      <c r="F48">
        <f t="shared" si="13"/>
        <v>47</v>
      </c>
      <c r="G48">
        <f t="shared" si="7"/>
        <v>18.3</v>
      </c>
      <c r="H48">
        <f t="shared" si="8"/>
        <v>0.32702175411154921</v>
      </c>
      <c r="I48">
        <f t="shared" si="9"/>
        <v>0.67297824588845079</v>
      </c>
      <c r="J48">
        <f t="shared" si="10"/>
        <v>0.3284030624684422</v>
      </c>
      <c r="K48">
        <f t="shared" si="11"/>
        <v>-207.50552087892387</v>
      </c>
      <c r="L48">
        <f t="shared" si="12"/>
        <v>-0.43268701397766468</v>
      </c>
    </row>
    <row r="49" spans="5:12" x14ac:dyDescent="0.25">
      <c r="E49">
        <v>19.2</v>
      </c>
      <c r="F49">
        <f t="shared" si="13"/>
        <v>48</v>
      </c>
      <c r="G49">
        <f t="shared" si="7"/>
        <v>18.399999999999999</v>
      </c>
      <c r="H49">
        <f t="shared" si="8"/>
        <v>0.35983342224286541</v>
      </c>
      <c r="I49">
        <f t="shared" si="9"/>
        <v>0.64016657775713459</v>
      </c>
      <c r="J49">
        <f t="shared" si="10"/>
        <v>0.3284030624684422</v>
      </c>
      <c r="K49">
        <f t="shared" si="11"/>
        <v>-202.88462643040873</v>
      </c>
      <c r="L49">
        <f t="shared" si="12"/>
        <v>-0.41316302043074504</v>
      </c>
    </row>
    <row r="50" spans="5:12" x14ac:dyDescent="0.25">
      <c r="E50">
        <v>20.6</v>
      </c>
      <c r="F50">
        <f t="shared" si="13"/>
        <v>49</v>
      </c>
      <c r="G50">
        <f t="shared" si="7"/>
        <v>18.399999999999999</v>
      </c>
      <c r="H50">
        <f t="shared" si="8"/>
        <v>0.35983342224286541</v>
      </c>
      <c r="I50">
        <f t="shared" si="9"/>
        <v>0.64016657775713459</v>
      </c>
      <c r="J50">
        <f t="shared" si="10"/>
        <v>0.3284030624684422</v>
      </c>
      <c r="K50">
        <f t="shared" si="11"/>
        <v>-207.15588172368047</v>
      </c>
      <c r="L50">
        <f t="shared" si="12"/>
        <v>-0.39379527420412674</v>
      </c>
    </row>
    <row r="51" spans="5:12" x14ac:dyDescent="0.25">
      <c r="E51">
        <v>20.100000000000001</v>
      </c>
      <c r="F51">
        <f t="shared" si="13"/>
        <v>50</v>
      </c>
      <c r="G51">
        <f t="shared" si="7"/>
        <v>18.399999999999999</v>
      </c>
      <c r="H51">
        <f t="shared" si="8"/>
        <v>0.35983342224286541</v>
      </c>
      <c r="I51">
        <f t="shared" si="9"/>
        <v>0.64016657775713459</v>
      </c>
      <c r="J51">
        <f t="shared" si="10"/>
        <v>0.3284030624684422</v>
      </c>
      <c r="K51">
        <f t="shared" si="11"/>
        <v>-211.42713701695223</v>
      </c>
      <c r="L51">
        <f t="shared" si="12"/>
        <v>-0.37457414050962989</v>
      </c>
    </row>
    <row r="52" spans="5:12" x14ac:dyDescent="0.25">
      <c r="E52">
        <v>18.8</v>
      </c>
      <c r="F52">
        <f t="shared" si="13"/>
        <v>51</v>
      </c>
      <c r="G52">
        <f t="shared" si="7"/>
        <v>18.399999999999999</v>
      </c>
      <c r="H52">
        <f t="shared" si="8"/>
        <v>0.35983342224286541</v>
      </c>
      <c r="I52">
        <f t="shared" si="9"/>
        <v>0.64016657775713459</v>
      </c>
      <c r="J52">
        <f t="shared" si="10"/>
        <v>0.36126513926850889</v>
      </c>
      <c r="K52">
        <f t="shared" si="11"/>
        <v>-206.065977506434</v>
      </c>
      <c r="L52">
        <f t="shared" si="12"/>
        <v>-0.35549041783953095</v>
      </c>
    </row>
    <row r="53" spans="5:12" x14ac:dyDescent="0.25">
      <c r="E53">
        <v>17.100000000000001</v>
      </c>
      <c r="F53">
        <f t="shared" si="13"/>
        <v>52</v>
      </c>
      <c r="G53">
        <f t="shared" si="7"/>
        <v>18.5</v>
      </c>
      <c r="H53">
        <f t="shared" si="8"/>
        <v>0.39371238895409555</v>
      </c>
      <c r="I53">
        <f t="shared" si="9"/>
        <v>0.60628761104590445</v>
      </c>
      <c r="J53">
        <f t="shared" si="10"/>
        <v>0.36126513926850889</v>
      </c>
      <c r="K53">
        <f t="shared" si="11"/>
        <v>-200.87860783234652</v>
      </c>
      <c r="L53">
        <f t="shared" si="12"/>
        <v>-0.33653530033316909</v>
      </c>
    </row>
    <row r="54" spans="5:12" x14ac:dyDescent="0.25">
      <c r="E54">
        <v>18.600000000000001</v>
      </c>
      <c r="F54">
        <f t="shared" si="13"/>
        <v>53</v>
      </c>
      <c r="G54">
        <f t="shared" si="7"/>
        <v>18.5</v>
      </c>
      <c r="H54">
        <f t="shared" si="8"/>
        <v>0.39371238895409555</v>
      </c>
      <c r="I54">
        <f t="shared" si="9"/>
        <v>0.60628761104590445</v>
      </c>
      <c r="J54">
        <f t="shared" si="10"/>
        <v>0.36126513926850889</v>
      </c>
      <c r="K54">
        <f t="shared" si="11"/>
        <v>-204.77916332423675</v>
      </c>
      <c r="L54">
        <f t="shared" si="12"/>
        <v>-0.31770034339279085</v>
      </c>
    </row>
    <row r="55" spans="5:12" x14ac:dyDescent="0.25">
      <c r="E55">
        <v>18</v>
      </c>
      <c r="F55">
        <f t="shared" si="13"/>
        <v>54</v>
      </c>
      <c r="G55">
        <f t="shared" si="7"/>
        <v>18.5</v>
      </c>
      <c r="H55">
        <f t="shared" si="8"/>
        <v>0.39371238895409555</v>
      </c>
      <c r="I55">
        <f t="shared" si="9"/>
        <v>0.60628761104590445</v>
      </c>
      <c r="J55">
        <f t="shared" si="10"/>
        <v>0.39518458113356969</v>
      </c>
      <c r="K55">
        <f t="shared" si="11"/>
        <v>-199.07745287329084</v>
      </c>
      <c r="L55">
        <f t="shared" si="12"/>
        <v>-0.29897743217218081</v>
      </c>
    </row>
    <row r="56" spans="5:12" x14ac:dyDescent="0.25">
      <c r="E56">
        <v>18.7</v>
      </c>
      <c r="F56">
        <f t="shared" si="13"/>
        <v>55</v>
      </c>
      <c r="G56">
        <f t="shared" si="7"/>
        <v>18.5</v>
      </c>
      <c r="H56">
        <f t="shared" si="8"/>
        <v>0.39371238895409555</v>
      </c>
      <c r="I56">
        <f t="shared" si="9"/>
        <v>0.60628761104590445</v>
      </c>
      <c r="J56">
        <f t="shared" si="10"/>
        <v>0.39518458113356969</v>
      </c>
      <c r="K56">
        <f t="shared" si="11"/>
        <v>-202.79852675877291</v>
      </c>
      <c r="L56">
        <f t="shared" si="12"/>
        <v>-0.28035875260808046</v>
      </c>
    </row>
    <row r="57" spans="5:12" x14ac:dyDescent="0.25">
      <c r="E57">
        <v>20.3</v>
      </c>
      <c r="F57">
        <f t="shared" si="13"/>
        <v>56</v>
      </c>
      <c r="G57">
        <f t="shared" si="7"/>
        <v>18.5</v>
      </c>
      <c r="H57">
        <f t="shared" si="8"/>
        <v>0.39371238895409555</v>
      </c>
      <c r="I57">
        <f t="shared" si="9"/>
        <v>0.60628761104590445</v>
      </c>
      <c r="J57">
        <f t="shared" si="10"/>
        <v>0.39518458113356969</v>
      </c>
      <c r="K57">
        <f t="shared" si="11"/>
        <v>-206.51960064425498</v>
      </c>
      <c r="L57">
        <f t="shared" si="12"/>
        <v>-0.2618367647040768</v>
      </c>
    </row>
    <row r="58" spans="5:12" x14ac:dyDescent="0.25">
      <c r="E58">
        <v>18.7</v>
      </c>
      <c r="F58">
        <f t="shared" si="13"/>
        <v>57</v>
      </c>
      <c r="G58">
        <f t="shared" si="7"/>
        <v>18.5</v>
      </c>
      <c r="H58">
        <f t="shared" si="8"/>
        <v>0.39371238895409555</v>
      </c>
      <c r="I58">
        <f t="shared" si="9"/>
        <v>0.60628761104590445</v>
      </c>
      <c r="J58">
        <f t="shared" si="10"/>
        <v>0.39518458113356969</v>
      </c>
      <c r="K58">
        <f t="shared" si="11"/>
        <v>-210.24067452973705</v>
      </c>
      <c r="L58">
        <f t="shared" si="12"/>
        <v>-0.24340417781063114</v>
      </c>
    </row>
    <row r="59" spans="5:12" x14ac:dyDescent="0.25">
      <c r="E59">
        <v>18.8</v>
      </c>
      <c r="F59">
        <f t="shared" si="13"/>
        <v>58</v>
      </c>
      <c r="G59">
        <f t="shared" si="7"/>
        <v>18.5</v>
      </c>
      <c r="H59">
        <f t="shared" si="8"/>
        <v>0.39371238895409555</v>
      </c>
      <c r="I59">
        <f t="shared" si="9"/>
        <v>0.60628761104590445</v>
      </c>
      <c r="J59">
        <f t="shared" si="10"/>
        <v>0.39518458113356969</v>
      </c>
      <c r="K59">
        <f t="shared" si="11"/>
        <v>-213.96174841521912</v>
      </c>
      <c r="L59">
        <f t="shared" si="12"/>
        <v>-0.22505392767406832</v>
      </c>
    </row>
    <row r="60" spans="5:12" x14ac:dyDescent="0.25">
      <c r="E60">
        <v>19.399999999999999</v>
      </c>
      <c r="F60">
        <f t="shared" si="13"/>
        <v>59</v>
      </c>
      <c r="G60">
        <f t="shared" si="7"/>
        <v>18.5</v>
      </c>
      <c r="H60">
        <f t="shared" si="8"/>
        <v>0.39371238895409555</v>
      </c>
      <c r="I60">
        <f t="shared" si="9"/>
        <v>0.60628761104590445</v>
      </c>
      <c r="J60">
        <f t="shared" si="10"/>
        <v>0.42991783306699083</v>
      </c>
      <c r="K60">
        <f t="shared" si="11"/>
        <v>-207.82660719198654</v>
      </c>
      <c r="L60">
        <f t="shared" si="12"/>
        <v>-0.20677915505239405</v>
      </c>
    </row>
    <row r="61" spans="5:12" x14ac:dyDescent="0.25">
      <c r="E61">
        <v>18.5</v>
      </c>
      <c r="F61">
        <f t="shared" si="13"/>
        <v>60</v>
      </c>
      <c r="G61">
        <f t="shared" si="7"/>
        <v>18.5</v>
      </c>
      <c r="H61">
        <f t="shared" si="8"/>
        <v>0.39371238895409555</v>
      </c>
      <c r="I61">
        <f t="shared" si="9"/>
        <v>0.60628761104590445</v>
      </c>
      <c r="J61">
        <f t="shared" si="10"/>
        <v>0.42991783306699083</v>
      </c>
      <c r="K61">
        <f t="shared" si="11"/>
        <v>-211.37919876791793</v>
      </c>
      <c r="L61">
        <f t="shared" si="12"/>
        <v>-0.18857318571734494</v>
      </c>
    </row>
    <row r="62" spans="5:12" x14ac:dyDescent="0.25">
      <c r="E62">
        <v>18.600000000000001</v>
      </c>
      <c r="F62">
        <f t="shared" si="13"/>
        <v>61</v>
      </c>
      <c r="G62">
        <f t="shared" si="7"/>
        <v>18.600000000000001</v>
      </c>
      <c r="H62">
        <f t="shared" si="8"/>
        <v>0.42841603137316753</v>
      </c>
      <c r="I62">
        <f t="shared" si="9"/>
        <v>0.57158396862683247</v>
      </c>
      <c r="J62">
        <f t="shared" si="10"/>
        <v>0.42991783306699083</v>
      </c>
      <c r="K62">
        <f t="shared" si="11"/>
        <v>-204.71042497971123</v>
      </c>
      <c r="L62">
        <f t="shared" si="12"/>
        <v>-0.17042951168060555</v>
      </c>
    </row>
    <row r="63" spans="5:12" x14ac:dyDescent="0.25">
      <c r="E63">
        <v>19.600000000000001</v>
      </c>
      <c r="F63">
        <f t="shared" si="13"/>
        <v>62</v>
      </c>
      <c r="G63">
        <f t="shared" si="7"/>
        <v>18.600000000000001</v>
      </c>
      <c r="H63">
        <f t="shared" si="8"/>
        <v>0.42841603137316753</v>
      </c>
      <c r="I63">
        <f t="shared" si="9"/>
        <v>0.57158396862683247</v>
      </c>
      <c r="J63">
        <f t="shared" si="10"/>
        <v>0.42991783306699083</v>
      </c>
      <c r="K63">
        <f t="shared" si="11"/>
        <v>-208.09406836780562</v>
      </c>
      <c r="L63">
        <f t="shared" si="12"/>
        <v>-0.15234177349806091</v>
      </c>
    </row>
    <row r="64" spans="5:12" x14ac:dyDescent="0.25">
      <c r="E64">
        <v>18.5</v>
      </c>
      <c r="F64">
        <f t="shared" si="13"/>
        <v>63</v>
      </c>
      <c r="G64">
        <f t="shared" si="7"/>
        <v>18.600000000000001</v>
      </c>
      <c r="H64">
        <f t="shared" si="8"/>
        <v>0.42841603137316753</v>
      </c>
      <c r="I64">
        <f t="shared" si="9"/>
        <v>0.57158396862683247</v>
      </c>
      <c r="J64">
        <f t="shared" si="10"/>
        <v>0.42991783306699083</v>
      </c>
      <c r="K64">
        <f t="shared" si="11"/>
        <v>-211.47771175590003</v>
      </c>
      <c r="L64">
        <f t="shared" si="12"/>
        <v>-0.13430374351964616</v>
      </c>
    </row>
    <row r="65" spans="5:12" x14ac:dyDescent="0.25">
      <c r="E65">
        <v>20</v>
      </c>
      <c r="F65">
        <f t="shared" si="13"/>
        <v>64</v>
      </c>
      <c r="G65">
        <f t="shared" si="7"/>
        <v>18.600000000000001</v>
      </c>
      <c r="H65">
        <f t="shared" si="8"/>
        <v>0.42841603137316753</v>
      </c>
      <c r="I65">
        <f t="shared" si="9"/>
        <v>0.57158396862683247</v>
      </c>
      <c r="J65">
        <f t="shared" si="10"/>
        <v>0.42991783306699083</v>
      </c>
      <c r="K65">
        <f t="shared" si="11"/>
        <v>-214.86135514399442</v>
      </c>
      <c r="L65">
        <f t="shared" si="12"/>
        <v>-0.11630930996408784</v>
      </c>
    </row>
    <row r="66" spans="5:12" x14ac:dyDescent="0.25">
      <c r="E66">
        <v>17.8</v>
      </c>
      <c r="F66">
        <f t="shared" si="13"/>
        <v>65</v>
      </c>
      <c r="G66">
        <f t="shared" ref="G66:G97" si="14">IF(ISBLANK(E66), NA(),SMALL(E$2:E$201,F66))</f>
        <v>18.7</v>
      </c>
      <c r="H66">
        <f t="shared" ref="H66:H97" si="15">IF(ISBLANK(E66),"",NORMDIST(G66, $B$3, $B$4, TRUE))</f>
        <v>0.46368258503060877</v>
      </c>
      <c r="I66">
        <f t="shared" ref="I66:I97" si="16">IF(ISBLANK(E66), "", 1-H66)</f>
        <v>0.53631741496939123</v>
      </c>
      <c r="J66">
        <f t="shared" ref="J66:J97" si="17">IF(ISBLANK(E66),"",SMALL(I$2:I$201,F66))</f>
        <v>0.46520243752255563</v>
      </c>
      <c r="K66">
        <f t="shared" ref="K66:K97" si="18">IF(ISBLANK(E66),"",(2*F66-1)*(LN(H66)+LN(J66)))</f>
        <v>-197.86505858567767</v>
      </c>
      <c r="L66">
        <f t="shared" ref="L66:L97" si="19">IF(E66="",NA(),NORMSINV((F66-0.3)/($B$5+0.4)))</f>
        <v>-9.8352461707857775E-2</v>
      </c>
    </row>
    <row r="67" spans="5:12" x14ac:dyDescent="0.25">
      <c r="E67">
        <v>19.8</v>
      </c>
      <c r="F67">
        <f t="shared" ref="F67:F98" si="20">IF(ISBLANK(E67),"",F66+1)</f>
        <v>66</v>
      </c>
      <c r="G67">
        <f t="shared" si="14"/>
        <v>18.7</v>
      </c>
      <c r="H67">
        <f t="shared" si="15"/>
        <v>0.46368258503060877</v>
      </c>
      <c r="I67">
        <f t="shared" si="16"/>
        <v>0.53631741496939123</v>
      </c>
      <c r="J67">
        <f t="shared" si="17"/>
        <v>0.46520243752255563</v>
      </c>
      <c r="K67">
        <f t="shared" si="18"/>
        <v>-200.93273391258739</v>
      </c>
      <c r="L67">
        <f t="shared" si="19"/>
        <v>-8.0427273686169864E-2</v>
      </c>
    </row>
    <row r="68" spans="5:12" x14ac:dyDescent="0.25">
      <c r="E68">
        <v>16.600000000000001</v>
      </c>
      <c r="F68">
        <f t="shared" si="20"/>
        <v>67</v>
      </c>
      <c r="G68">
        <f t="shared" si="14"/>
        <v>18.7</v>
      </c>
      <c r="H68">
        <f t="shared" si="15"/>
        <v>0.46368258503060877</v>
      </c>
      <c r="I68">
        <f t="shared" si="16"/>
        <v>0.53631741496939123</v>
      </c>
      <c r="J68">
        <f t="shared" si="17"/>
        <v>0.46520243752255563</v>
      </c>
      <c r="K68">
        <f t="shared" si="18"/>
        <v>-204.00040923949712</v>
      </c>
      <c r="L68">
        <f t="shared" si="19"/>
        <v>-6.2527892811020142E-2</v>
      </c>
    </row>
    <row r="69" spans="5:12" x14ac:dyDescent="0.25">
      <c r="E69">
        <v>19.399999999999999</v>
      </c>
      <c r="F69">
        <f t="shared" si="20"/>
        <v>68</v>
      </c>
      <c r="G69">
        <f t="shared" si="14"/>
        <v>18.7</v>
      </c>
      <c r="H69">
        <f t="shared" si="15"/>
        <v>0.46368258503060877</v>
      </c>
      <c r="I69">
        <f t="shared" si="16"/>
        <v>0.53631741496939123</v>
      </c>
      <c r="J69">
        <f t="shared" si="17"/>
        <v>0.50076295875495591</v>
      </c>
      <c r="K69">
        <f t="shared" si="18"/>
        <v>-197.12395857325998</v>
      </c>
      <c r="L69">
        <f t="shared" si="19"/>
        <v>-4.464852431723397E-2</v>
      </c>
    </row>
    <row r="70" spans="5:12" x14ac:dyDescent="0.25">
      <c r="E70">
        <v>19.3</v>
      </c>
      <c r="F70">
        <f t="shared" si="20"/>
        <v>69</v>
      </c>
      <c r="G70">
        <f t="shared" si="14"/>
        <v>18.8</v>
      </c>
      <c r="H70">
        <f t="shared" si="15"/>
        <v>0.49923704124504409</v>
      </c>
      <c r="I70">
        <f t="shared" si="16"/>
        <v>0.50076295875495591</v>
      </c>
      <c r="J70">
        <f t="shared" si="17"/>
        <v>0.50076295875495591</v>
      </c>
      <c r="K70">
        <f t="shared" si="18"/>
        <v>-189.92264646791824</v>
      </c>
      <c r="L70">
        <f t="shared" si="19"/>
        <v>-2.6783418452355736E-2</v>
      </c>
    </row>
    <row r="71" spans="5:12" x14ac:dyDescent="0.25">
      <c r="E71">
        <v>20.100000000000001</v>
      </c>
      <c r="F71">
        <f t="shared" si="20"/>
        <v>70</v>
      </c>
      <c r="G71">
        <f t="shared" si="14"/>
        <v>18.8</v>
      </c>
      <c r="H71">
        <f t="shared" si="15"/>
        <v>0.49923704124504409</v>
      </c>
      <c r="I71">
        <f t="shared" si="16"/>
        <v>0.50076295875495591</v>
      </c>
      <c r="J71">
        <f t="shared" si="17"/>
        <v>0.50076295875495591</v>
      </c>
      <c r="K71">
        <f t="shared" si="18"/>
        <v>-192.69523984701195</v>
      </c>
      <c r="L71">
        <f t="shared" si="19"/>
        <v>-8.9268574300863518E-3</v>
      </c>
    </row>
    <row r="72" spans="5:12" x14ac:dyDescent="0.25">
      <c r="E72">
        <v>20.5</v>
      </c>
      <c r="F72">
        <f t="shared" si="20"/>
        <v>71</v>
      </c>
      <c r="G72">
        <f t="shared" si="14"/>
        <v>18.8</v>
      </c>
      <c r="H72">
        <f t="shared" si="15"/>
        <v>0.49923704124504409</v>
      </c>
      <c r="I72">
        <f t="shared" si="16"/>
        <v>0.50076295875495591</v>
      </c>
      <c r="J72">
        <f t="shared" si="17"/>
        <v>0.50076295875495591</v>
      </c>
      <c r="K72">
        <f t="shared" si="18"/>
        <v>-195.46783322610563</v>
      </c>
      <c r="L72">
        <f t="shared" si="19"/>
        <v>8.9268574300863518E-3</v>
      </c>
    </row>
    <row r="73" spans="5:12" x14ac:dyDescent="0.25">
      <c r="E73">
        <v>20</v>
      </c>
      <c r="F73">
        <f t="shared" si="20"/>
        <v>72</v>
      </c>
      <c r="G73">
        <f t="shared" si="14"/>
        <v>18.8</v>
      </c>
      <c r="H73">
        <f t="shared" si="15"/>
        <v>0.49923704124504409</v>
      </c>
      <c r="I73">
        <f t="shared" si="16"/>
        <v>0.50076295875495591</v>
      </c>
      <c r="J73">
        <f t="shared" si="17"/>
        <v>0.50076295875495591</v>
      </c>
      <c r="K73">
        <f t="shared" si="18"/>
        <v>-198.24042660519933</v>
      </c>
      <c r="L73">
        <f t="shared" si="19"/>
        <v>2.6783418452355601E-2</v>
      </c>
    </row>
    <row r="74" spans="5:12" x14ac:dyDescent="0.25">
      <c r="E74">
        <v>20.8</v>
      </c>
      <c r="F74">
        <f t="shared" si="20"/>
        <v>73</v>
      </c>
      <c r="G74">
        <f t="shared" si="14"/>
        <v>18.8</v>
      </c>
      <c r="H74">
        <f t="shared" si="15"/>
        <v>0.49923704124504409</v>
      </c>
      <c r="I74">
        <f t="shared" si="16"/>
        <v>0.50076295875495591</v>
      </c>
      <c r="J74">
        <f t="shared" si="17"/>
        <v>0.53631741496939123</v>
      </c>
      <c r="K74">
        <f t="shared" si="18"/>
        <v>-191.06698785952938</v>
      </c>
      <c r="L74">
        <f t="shared" si="19"/>
        <v>4.464852431723397E-2</v>
      </c>
    </row>
    <row r="75" spans="5:12" x14ac:dyDescent="0.25">
      <c r="E75">
        <v>17.7</v>
      </c>
      <c r="F75">
        <f t="shared" si="20"/>
        <v>74</v>
      </c>
      <c r="G75">
        <f t="shared" si="14"/>
        <v>18.899999999999999</v>
      </c>
      <c r="H75">
        <f t="shared" si="15"/>
        <v>0.53479756247744437</v>
      </c>
      <c r="I75">
        <f t="shared" si="16"/>
        <v>0.46520243752255563</v>
      </c>
      <c r="J75">
        <f t="shared" si="17"/>
        <v>0.53631741496939123</v>
      </c>
      <c r="K75">
        <f t="shared" si="18"/>
        <v>-183.58772562195102</v>
      </c>
      <c r="L75">
        <f t="shared" si="19"/>
        <v>6.2527892811020003E-2</v>
      </c>
    </row>
    <row r="76" spans="5:12" x14ac:dyDescent="0.25">
      <c r="E76">
        <v>19.899999999999999</v>
      </c>
      <c r="F76">
        <f t="shared" si="20"/>
        <v>75</v>
      </c>
      <c r="G76">
        <f t="shared" si="14"/>
        <v>18.899999999999999</v>
      </c>
      <c r="H76">
        <f t="shared" si="15"/>
        <v>0.53479756247744437</v>
      </c>
      <c r="I76">
        <f t="shared" si="16"/>
        <v>0.46520243752255563</v>
      </c>
      <c r="J76">
        <f t="shared" si="17"/>
        <v>0.53631741496939123</v>
      </c>
      <c r="K76">
        <f t="shared" si="18"/>
        <v>-186.08551780728368</v>
      </c>
      <c r="L76">
        <f t="shared" si="19"/>
        <v>8.0427273686169864E-2</v>
      </c>
    </row>
    <row r="77" spans="5:12" x14ac:dyDescent="0.25">
      <c r="E77">
        <v>18.8</v>
      </c>
      <c r="F77">
        <f t="shared" si="20"/>
        <v>76</v>
      </c>
      <c r="G77">
        <f t="shared" si="14"/>
        <v>18.899999999999999</v>
      </c>
      <c r="H77">
        <f t="shared" si="15"/>
        <v>0.53479756247744437</v>
      </c>
      <c r="I77">
        <f t="shared" si="16"/>
        <v>0.46520243752255563</v>
      </c>
      <c r="J77">
        <f t="shared" si="17"/>
        <v>0.53631741496939123</v>
      </c>
      <c r="K77">
        <f t="shared" si="18"/>
        <v>-188.58330999261636</v>
      </c>
      <c r="L77">
        <f t="shared" si="19"/>
        <v>9.8352461707857913E-2</v>
      </c>
    </row>
    <row r="78" spans="5:12" x14ac:dyDescent="0.25">
      <c r="E78">
        <v>16.399999999999999</v>
      </c>
      <c r="F78">
        <f t="shared" si="20"/>
        <v>77</v>
      </c>
      <c r="G78">
        <f t="shared" si="14"/>
        <v>19</v>
      </c>
      <c r="H78">
        <f t="shared" si="15"/>
        <v>0.57008216693300917</v>
      </c>
      <c r="I78">
        <f t="shared" si="16"/>
        <v>0.42991783306699083</v>
      </c>
      <c r="J78">
        <f t="shared" si="17"/>
        <v>0.57158396862683247</v>
      </c>
      <c r="K78">
        <f t="shared" si="18"/>
        <v>-171.56175434310637</v>
      </c>
      <c r="L78">
        <f t="shared" si="19"/>
        <v>0.11630930996408784</v>
      </c>
    </row>
    <row r="79" spans="5:12" x14ac:dyDescent="0.25">
      <c r="E79">
        <v>18.5</v>
      </c>
      <c r="F79">
        <f t="shared" si="20"/>
        <v>78</v>
      </c>
      <c r="G79">
        <f t="shared" si="14"/>
        <v>19</v>
      </c>
      <c r="H79">
        <f t="shared" si="15"/>
        <v>0.57008216693300917</v>
      </c>
      <c r="I79">
        <f t="shared" si="16"/>
        <v>0.42991783306699083</v>
      </c>
      <c r="J79">
        <f t="shared" si="17"/>
        <v>0.57158396862683247</v>
      </c>
      <c r="K79">
        <f t="shared" si="18"/>
        <v>-173.80439165478097</v>
      </c>
      <c r="L79">
        <f t="shared" si="19"/>
        <v>0.1343037435196463</v>
      </c>
    </row>
    <row r="80" spans="5:12" x14ac:dyDescent="0.25">
      <c r="E80">
        <v>19</v>
      </c>
      <c r="F80">
        <f t="shared" si="20"/>
        <v>79</v>
      </c>
      <c r="G80">
        <f t="shared" si="14"/>
        <v>19</v>
      </c>
      <c r="H80">
        <f t="shared" si="15"/>
        <v>0.57008216693300917</v>
      </c>
      <c r="I80">
        <f t="shared" si="16"/>
        <v>0.42991783306699083</v>
      </c>
      <c r="J80">
        <f t="shared" si="17"/>
        <v>0.57158396862683247</v>
      </c>
      <c r="K80">
        <f t="shared" si="18"/>
        <v>-176.04702896645554</v>
      </c>
      <c r="L80">
        <f t="shared" si="19"/>
        <v>0.15234177349806091</v>
      </c>
    </row>
    <row r="81" spans="5:12" x14ac:dyDescent="0.25">
      <c r="E81">
        <v>20.6</v>
      </c>
      <c r="F81">
        <f t="shared" si="20"/>
        <v>80</v>
      </c>
      <c r="G81">
        <f t="shared" si="14"/>
        <v>19</v>
      </c>
      <c r="H81">
        <f t="shared" si="15"/>
        <v>0.57008216693300917</v>
      </c>
      <c r="I81">
        <f t="shared" si="16"/>
        <v>0.42991783306699083</v>
      </c>
      <c r="J81">
        <f t="shared" si="17"/>
        <v>0.57158396862683247</v>
      </c>
      <c r="K81">
        <f t="shared" si="18"/>
        <v>-178.28966627813014</v>
      </c>
      <c r="L81">
        <f t="shared" si="19"/>
        <v>0.17042951168060555</v>
      </c>
    </row>
    <row r="82" spans="5:12" x14ac:dyDescent="0.25">
      <c r="E82">
        <v>19.2</v>
      </c>
      <c r="F82">
        <f t="shared" si="20"/>
        <v>81</v>
      </c>
      <c r="G82">
        <f t="shared" si="14"/>
        <v>19</v>
      </c>
      <c r="H82">
        <f t="shared" si="15"/>
        <v>0.57008216693300917</v>
      </c>
      <c r="I82">
        <f t="shared" si="16"/>
        <v>0.42991783306699083</v>
      </c>
      <c r="J82">
        <f t="shared" si="17"/>
        <v>0.60628761104590445</v>
      </c>
      <c r="K82">
        <f t="shared" si="18"/>
        <v>-171.04246771098596</v>
      </c>
      <c r="L82">
        <f t="shared" si="19"/>
        <v>0.1885731857173448</v>
      </c>
    </row>
    <row r="83" spans="5:12" x14ac:dyDescent="0.25">
      <c r="E83">
        <v>17.100000000000001</v>
      </c>
      <c r="F83">
        <f t="shared" si="20"/>
        <v>82</v>
      </c>
      <c r="G83">
        <f t="shared" si="14"/>
        <v>19</v>
      </c>
      <c r="H83">
        <f t="shared" si="15"/>
        <v>0.57008216693300917</v>
      </c>
      <c r="I83">
        <f t="shared" si="16"/>
        <v>0.42991783306699083</v>
      </c>
      <c r="J83">
        <f t="shared" si="17"/>
        <v>0.60628761104590445</v>
      </c>
      <c r="K83">
        <f t="shared" si="18"/>
        <v>-173.16721886267524</v>
      </c>
      <c r="L83">
        <f t="shared" si="19"/>
        <v>0.20677915505239405</v>
      </c>
    </row>
    <row r="84" spans="5:12" x14ac:dyDescent="0.25">
      <c r="E84">
        <v>16.3</v>
      </c>
      <c r="F84">
        <f t="shared" si="20"/>
        <v>83</v>
      </c>
      <c r="G84">
        <f t="shared" si="14"/>
        <v>19.100000000000001</v>
      </c>
      <c r="H84">
        <f t="shared" si="15"/>
        <v>0.60481541886643031</v>
      </c>
      <c r="I84">
        <f t="shared" si="16"/>
        <v>0.39518458113356969</v>
      </c>
      <c r="J84">
        <f t="shared" si="17"/>
        <v>0.60628761104590445</v>
      </c>
      <c r="K84">
        <f t="shared" si="18"/>
        <v>-165.53340541658162</v>
      </c>
      <c r="L84">
        <f t="shared" si="19"/>
        <v>0.2250539276740682</v>
      </c>
    </row>
    <row r="85" spans="5:12" x14ac:dyDescent="0.25">
      <c r="E85">
        <v>17.2</v>
      </c>
      <c r="F85">
        <f t="shared" si="20"/>
        <v>84</v>
      </c>
      <c r="G85">
        <f t="shared" si="14"/>
        <v>19.100000000000001</v>
      </c>
      <c r="H85">
        <f t="shared" si="15"/>
        <v>0.60481541886643031</v>
      </c>
      <c r="I85">
        <f t="shared" si="16"/>
        <v>0.39518458113356969</v>
      </c>
      <c r="J85">
        <f t="shared" si="17"/>
        <v>0.60628761104590445</v>
      </c>
      <c r="K85">
        <f t="shared" si="18"/>
        <v>-167.53987093678262</v>
      </c>
      <c r="L85">
        <f t="shared" si="19"/>
        <v>0.24340417781063114</v>
      </c>
    </row>
    <row r="86" spans="5:12" x14ac:dyDescent="0.25">
      <c r="E86">
        <v>17.899999999999999</v>
      </c>
      <c r="F86">
        <f t="shared" si="20"/>
        <v>85</v>
      </c>
      <c r="G86">
        <f t="shared" si="14"/>
        <v>19.100000000000001</v>
      </c>
      <c r="H86">
        <f t="shared" si="15"/>
        <v>0.60481541886643031</v>
      </c>
      <c r="I86">
        <f t="shared" si="16"/>
        <v>0.39518458113356969</v>
      </c>
      <c r="J86">
        <f t="shared" si="17"/>
        <v>0.60628761104590445</v>
      </c>
      <c r="K86">
        <f t="shared" si="18"/>
        <v>-169.5463364569836</v>
      </c>
      <c r="L86">
        <f t="shared" si="19"/>
        <v>0.26183676470407691</v>
      </c>
    </row>
    <row r="87" spans="5:12" x14ac:dyDescent="0.25">
      <c r="E87">
        <v>19.100000000000001</v>
      </c>
      <c r="F87">
        <f t="shared" si="20"/>
        <v>86</v>
      </c>
      <c r="G87">
        <f t="shared" si="14"/>
        <v>19.100000000000001</v>
      </c>
      <c r="H87">
        <f t="shared" si="15"/>
        <v>0.60481541886643031</v>
      </c>
      <c r="I87">
        <f t="shared" si="16"/>
        <v>0.39518458113356969</v>
      </c>
      <c r="J87">
        <f t="shared" si="17"/>
        <v>0.60628761104590445</v>
      </c>
      <c r="K87">
        <f t="shared" si="18"/>
        <v>-171.5528019771846</v>
      </c>
      <c r="L87">
        <f t="shared" si="19"/>
        <v>0.28035875260808046</v>
      </c>
    </row>
    <row r="88" spans="5:12" x14ac:dyDescent="0.25">
      <c r="E88">
        <v>17.3</v>
      </c>
      <c r="F88">
        <f t="shared" si="20"/>
        <v>87</v>
      </c>
      <c r="G88">
        <f t="shared" si="14"/>
        <v>19.100000000000001</v>
      </c>
      <c r="H88">
        <f t="shared" si="15"/>
        <v>0.60481541886643031</v>
      </c>
      <c r="I88">
        <f t="shared" si="16"/>
        <v>0.39518458113356969</v>
      </c>
      <c r="J88">
        <f t="shared" si="17"/>
        <v>0.60628761104590445</v>
      </c>
      <c r="K88">
        <f t="shared" si="18"/>
        <v>-173.55926749738558</v>
      </c>
      <c r="L88">
        <f t="shared" si="19"/>
        <v>0.29897743217218092</v>
      </c>
    </row>
    <row r="89" spans="5:12" x14ac:dyDescent="0.25">
      <c r="E89">
        <v>19.399999999999999</v>
      </c>
      <c r="F89">
        <f t="shared" si="20"/>
        <v>88</v>
      </c>
      <c r="G89">
        <f t="shared" si="14"/>
        <v>19.2</v>
      </c>
      <c r="H89">
        <f t="shared" si="15"/>
        <v>0.63873486073149111</v>
      </c>
      <c r="I89">
        <f t="shared" si="16"/>
        <v>0.36126513926850889</v>
      </c>
      <c r="J89">
        <f t="shared" si="17"/>
        <v>0.60628761104590445</v>
      </c>
      <c r="K89">
        <f t="shared" si="18"/>
        <v>-166.01666181801983</v>
      </c>
      <c r="L89">
        <f t="shared" si="19"/>
        <v>0.31770034339279069</v>
      </c>
    </row>
    <row r="90" spans="5:12" x14ac:dyDescent="0.25">
      <c r="E90">
        <v>18.3</v>
      </c>
      <c r="F90">
        <f t="shared" si="20"/>
        <v>89</v>
      </c>
      <c r="G90">
        <f t="shared" si="14"/>
        <v>19.2</v>
      </c>
      <c r="H90">
        <f t="shared" si="15"/>
        <v>0.63873486073149111</v>
      </c>
      <c r="I90">
        <f t="shared" si="16"/>
        <v>0.36126513926850889</v>
      </c>
      <c r="J90">
        <f t="shared" si="17"/>
        <v>0.60628761104590445</v>
      </c>
      <c r="K90">
        <f t="shared" si="18"/>
        <v>-167.91399509594004</v>
      </c>
      <c r="L90">
        <f t="shared" si="19"/>
        <v>0.33653530033316909</v>
      </c>
    </row>
    <row r="91" spans="5:12" x14ac:dyDescent="0.25">
      <c r="E91">
        <v>19.3</v>
      </c>
      <c r="F91">
        <f t="shared" si="20"/>
        <v>90</v>
      </c>
      <c r="G91">
        <f t="shared" si="14"/>
        <v>19.2</v>
      </c>
      <c r="H91">
        <f t="shared" si="15"/>
        <v>0.63873486073149111</v>
      </c>
      <c r="I91">
        <f t="shared" si="16"/>
        <v>0.36126513926850889</v>
      </c>
      <c r="J91">
        <f t="shared" si="17"/>
        <v>0.64016657775713459</v>
      </c>
      <c r="K91">
        <f t="shared" si="18"/>
        <v>-160.07839292288602</v>
      </c>
      <c r="L91">
        <f t="shared" si="19"/>
        <v>0.35549041783953067</v>
      </c>
    </row>
    <row r="92" spans="5:12" x14ac:dyDescent="0.25">
      <c r="E92">
        <v>17.2</v>
      </c>
      <c r="F92">
        <f t="shared" si="20"/>
        <v>91</v>
      </c>
      <c r="G92">
        <f t="shared" si="14"/>
        <v>19.3</v>
      </c>
      <c r="H92">
        <f t="shared" si="15"/>
        <v>0.6715969375315578</v>
      </c>
      <c r="I92">
        <f t="shared" si="16"/>
        <v>0.3284030624684422</v>
      </c>
      <c r="J92">
        <f t="shared" si="17"/>
        <v>0.64016657775713459</v>
      </c>
      <c r="K92">
        <f t="shared" si="18"/>
        <v>-152.78640282202716</v>
      </c>
      <c r="L92">
        <f t="shared" si="19"/>
        <v>0.37457414050962989</v>
      </c>
    </row>
    <row r="93" spans="5:12" x14ac:dyDescent="0.25">
      <c r="E93">
        <v>17.5</v>
      </c>
      <c r="F93">
        <f t="shared" si="20"/>
        <v>92</v>
      </c>
      <c r="G93">
        <f t="shared" si="14"/>
        <v>19.3</v>
      </c>
      <c r="H93">
        <f t="shared" si="15"/>
        <v>0.6715969375315578</v>
      </c>
      <c r="I93">
        <f t="shared" si="16"/>
        <v>0.3284030624684422</v>
      </c>
      <c r="J93">
        <f t="shared" si="17"/>
        <v>0.64016657775713459</v>
      </c>
      <c r="K93">
        <f t="shared" si="18"/>
        <v>-154.47465036702195</v>
      </c>
      <c r="L93">
        <f t="shared" si="19"/>
        <v>0.3937952742041268</v>
      </c>
    </row>
    <row r="94" spans="5:12" x14ac:dyDescent="0.25">
      <c r="E94">
        <v>19.600000000000001</v>
      </c>
      <c r="F94">
        <f t="shared" si="20"/>
        <v>93</v>
      </c>
      <c r="G94">
        <f t="shared" si="14"/>
        <v>19.3</v>
      </c>
      <c r="H94">
        <f t="shared" si="15"/>
        <v>0.6715969375315578</v>
      </c>
      <c r="I94">
        <f t="shared" si="16"/>
        <v>0.3284030624684422</v>
      </c>
      <c r="J94">
        <f t="shared" si="17"/>
        <v>0.64016657775713459</v>
      </c>
      <c r="K94">
        <f t="shared" si="18"/>
        <v>-156.16289791201672</v>
      </c>
      <c r="L94">
        <f t="shared" si="19"/>
        <v>0.41316302043074504</v>
      </c>
    </row>
    <row r="95" spans="5:12" x14ac:dyDescent="0.25">
      <c r="E95">
        <v>17.600000000000001</v>
      </c>
      <c r="F95">
        <f t="shared" si="20"/>
        <v>94</v>
      </c>
      <c r="G95">
        <f t="shared" si="14"/>
        <v>19.3</v>
      </c>
      <c r="H95">
        <f t="shared" si="15"/>
        <v>0.6715969375315578</v>
      </c>
      <c r="I95">
        <f t="shared" si="16"/>
        <v>0.3284030624684422</v>
      </c>
      <c r="J95">
        <f t="shared" si="17"/>
        <v>0.67297824588845079</v>
      </c>
      <c r="K95">
        <f t="shared" si="18"/>
        <v>-148.50402809923466</v>
      </c>
      <c r="L95">
        <f t="shared" si="19"/>
        <v>0.43268701397766485</v>
      </c>
    </row>
    <row r="96" spans="5:12" x14ac:dyDescent="0.25">
      <c r="E96">
        <v>20</v>
      </c>
      <c r="F96">
        <f t="shared" si="20"/>
        <v>95</v>
      </c>
      <c r="G96">
        <f t="shared" si="14"/>
        <v>19.399999999999999</v>
      </c>
      <c r="H96">
        <f t="shared" si="15"/>
        <v>0.70318219146983929</v>
      </c>
      <c r="I96">
        <f t="shared" si="16"/>
        <v>0.29681780853016071</v>
      </c>
      <c r="J96">
        <f t="shared" si="17"/>
        <v>0.67297824588845079</v>
      </c>
      <c r="K96">
        <f t="shared" si="18"/>
        <v>-141.40630952270945</v>
      </c>
      <c r="L96">
        <f t="shared" si="19"/>
        <v>0.4523773642270823</v>
      </c>
    </row>
    <row r="97" spans="5:12" x14ac:dyDescent="0.25">
      <c r="E97">
        <v>19.899999999999999</v>
      </c>
      <c r="F97">
        <f t="shared" si="20"/>
        <v>96</v>
      </c>
      <c r="G97">
        <f t="shared" si="14"/>
        <v>19.399999999999999</v>
      </c>
      <c r="H97">
        <f t="shared" si="15"/>
        <v>0.70318219146983929</v>
      </c>
      <c r="I97">
        <f t="shared" si="16"/>
        <v>0.29681780853016071</v>
      </c>
      <c r="J97">
        <f t="shared" si="17"/>
        <v>0.67297824588845079</v>
      </c>
      <c r="K97">
        <f t="shared" si="18"/>
        <v>-142.90267258644181</v>
      </c>
      <c r="L97">
        <f t="shared" si="19"/>
        <v>0.47224470064397234</v>
      </c>
    </row>
    <row r="98" spans="5:12" x14ac:dyDescent="0.25">
      <c r="E98">
        <v>16.899999999999999</v>
      </c>
      <c r="F98">
        <f t="shared" si="20"/>
        <v>97</v>
      </c>
      <c r="G98">
        <f t="shared" ref="G98:G129" si="21">IF(ISBLANK(E98), NA(),SMALL(E$2:E$201,F98))</f>
        <v>19.399999999999999</v>
      </c>
      <c r="H98">
        <f t="shared" ref="H98:H129" si="22">IF(ISBLANK(E98),"",NORMDIST(G98, $B$3, $B$4, TRUE))</f>
        <v>0.70318219146983929</v>
      </c>
      <c r="I98">
        <f t="shared" ref="I98:I129" si="23">IF(ISBLANK(E98), "", 1-H98)</f>
        <v>0.29681780853016071</v>
      </c>
      <c r="J98">
        <f t="shared" ref="J98:J129" si="24">IF(ISBLANK(E98),"",SMALL(I$2:I$201,F98))</f>
        <v>0.67297824588845079</v>
      </c>
      <c r="K98">
        <f t="shared" ref="K98:K129" si="25">IF(ISBLANK(E98),"",(2*F98-1)*(LN(H98)+LN(J98)))</f>
        <v>-144.3990356501742</v>
      </c>
      <c r="L98">
        <f t="shared" ref="L98:L129" si="26">IF(E98="",NA(),NORMSINV((F98-0.3)/($B$5+0.4)))</f>
        <v>0.4923002230106982</v>
      </c>
    </row>
    <row r="99" spans="5:12" x14ac:dyDescent="0.25">
      <c r="E99">
        <v>19.5</v>
      </c>
      <c r="F99">
        <f t="shared" ref="F99:F130" si="27">IF(ISBLANK(E99),"",F98+1)</f>
        <v>98</v>
      </c>
      <c r="G99">
        <f t="shared" si="21"/>
        <v>19.399999999999999</v>
      </c>
      <c r="H99">
        <f t="shared" si="22"/>
        <v>0.70318219146983929</v>
      </c>
      <c r="I99">
        <f t="shared" si="23"/>
        <v>0.29681780853016071</v>
      </c>
      <c r="J99">
        <f t="shared" si="24"/>
        <v>0.67297824588845079</v>
      </c>
      <c r="K99">
        <f t="shared" si="25"/>
        <v>-145.89539871390656</v>
      </c>
      <c r="L99">
        <f t="shared" si="26"/>
        <v>0.51255575706762879</v>
      </c>
    </row>
    <row r="100" spans="5:12" x14ac:dyDescent="0.25">
      <c r="E100">
        <v>20.399999999999999</v>
      </c>
      <c r="F100">
        <f t="shared" si="27"/>
        <v>99</v>
      </c>
      <c r="G100">
        <f t="shared" si="21"/>
        <v>19.399999999999999</v>
      </c>
      <c r="H100">
        <f t="shared" si="22"/>
        <v>0.70318219146983929</v>
      </c>
      <c r="I100">
        <f t="shared" si="23"/>
        <v>0.29681780853016071</v>
      </c>
      <c r="J100">
        <f t="shared" si="24"/>
        <v>0.67297824588845079</v>
      </c>
      <c r="K100">
        <f t="shared" si="25"/>
        <v>-147.39176177763895</v>
      </c>
      <c r="L100">
        <f t="shared" si="26"/>
        <v>0.53302381632619555</v>
      </c>
    </row>
    <row r="101" spans="5:12" x14ac:dyDescent="0.25">
      <c r="E101">
        <v>19.100000000000001</v>
      </c>
      <c r="F101">
        <f t="shared" si="27"/>
        <v>100</v>
      </c>
      <c r="G101">
        <f t="shared" si="21"/>
        <v>19.5</v>
      </c>
      <c r="H101">
        <f t="shared" si="22"/>
        <v>0.7332995443238477</v>
      </c>
      <c r="I101">
        <f t="shared" si="23"/>
        <v>0.2667004556761523</v>
      </c>
      <c r="J101">
        <f t="shared" si="24"/>
        <v>0.67297824588845079</v>
      </c>
      <c r="K101">
        <f t="shared" si="25"/>
        <v>-140.54241256790837</v>
      </c>
      <c r="L101">
        <f t="shared" si="26"/>
        <v>0.553717670947528</v>
      </c>
    </row>
    <row r="102" spans="5:12" x14ac:dyDescent="0.25">
      <c r="E102">
        <v>18.5</v>
      </c>
      <c r="F102">
        <f t="shared" si="27"/>
        <v>101</v>
      </c>
      <c r="G102">
        <f t="shared" si="21"/>
        <v>19.5</v>
      </c>
      <c r="H102">
        <f t="shared" si="22"/>
        <v>0.7332995443238477</v>
      </c>
      <c r="I102">
        <f t="shared" si="23"/>
        <v>0.2667004556761523</v>
      </c>
      <c r="J102">
        <f t="shared" si="24"/>
        <v>0.67297824588845079</v>
      </c>
      <c r="K102">
        <f t="shared" si="25"/>
        <v>-141.95489912637979</v>
      </c>
      <c r="L102">
        <f t="shared" si="26"/>
        <v>0.57465142473135711</v>
      </c>
    </row>
    <row r="103" spans="5:12" x14ac:dyDescent="0.25">
      <c r="E103">
        <v>18.3</v>
      </c>
      <c r="F103">
        <f t="shared" si="27"/>
        <v>102</v>
      </c>
      <c r="G103">
        <f t="shared" si="21"/>
        <v>19.5</v>
      </c>
      <c r="H103">
        <f t="shared" si="22"/>
        <v>0.7332995443238477</v>
      </c>
      <c r="I103">
        <f t="shared" si="23"/>
        <v>0.2667004556761523</v>
      </c>
      <c r="J103">
        <f t="shared" si="24"/>
        <v>0.70450429314557261</v>
      </c>
      <c r="K103">
        <f t="shared" si="25"/>
        <v>-134.07375738903121</v>
      </c>
      <c r="L103">
        <f t="shared" si="26"/>
        <v>0.59584010144197597</v>
      </c>
    </row>
    <row r="104" spans="5:12" x14ac:dyDescent="0.25">
      <c r="E104">
        <v>19.8</v>
      </c>
      <c r="F104">
        <f t="shared" si="27"/>
        <v>103</v>
      </c>
      <c r="G104">
        <f t="shared" si="21"/>
        <v>19.5</v>
      </c>
      <c r="H104">
        <f t="shared" si="22"/>
        <v>0.7332995443238477</v>
      </c>
      <c r="I104">
        <f t="shared" si="23"/>
        <v>0.2667004556761523</v>
      </c>
      <c r="J104">
        <f t="shared" si="24"/>
        <v>0.70450429314557261</v>
      </c>
      <c r="K104">
        <f t="shared" si="25"/>
        <v>-135.39468110714975</v>
      </c>
      <c r="L104">
        <f t="shared" si="26"/>
        <v>0.61729974191771353</v>
      </c>
    </row>
    <row r="105" spans="5:12" x14ac:dyDescent="0.25">
      <c r="E105">
        <v>19.100000000000001</v>
      </c>
      <c r="F105">
        <f t="shared" si="27"/>
        <v>104</v>
      </c>
      <c r="G105">
        <f t="shared" si="21"/>
        <v>19.600000000000001</v>
      </c>
      <c r="H105">
        <f t="shared" si="22"/>
        <v>0.76178953315988984</v>
      </c>
      <c r="I105">
        <f t="shared" si="23"/>
        <v>0.23821046684011016</v>
      </c>
      <c r="J105">
        <f t="shared" si="24"/>
        <v>0.73455493771691294</v>
      </c>
      <c r="K105">
        <f t="shared" si="25"/>
        <v>-120.17911913105462</v>
      </c>
      <c r="L105">
        <f t="shared" si="26"/>
        <v>0.63904751367660539</v>
      </c>
    </row>
    <row r="106" spans="5:12" x14ac:dyDescent="0.25">
      <c r="E106">
        <v>17.5</v>
      </c>
      <c r="F106">
        <f t="shared" si="27"/>
        <v>105</v>
      </c>
      <c r="G106">
        <f t="shared" si="21"/>
        <v>19.600000000000001</v>
      </c>
      <c r="H106">
        <f t="shared" si="22"/>
        <v>0.76178953315988984</v>
      </c>
      <c r="I106">
        <f t="shared" si="23"/>
        <v>0.23821046684011016</v>
      </c>
      <c r="J106">
        <f t="shared" si="24"/>
        <v>0.73455493771691294</v>
      </c>
      <c r="K106">
        <f t="shared" si="25"/>
        <v>-121.34027004053341</v>
      </c>
      <c r="L106">
        <f t="shared" si="26"/>
        <v>0.66110183505512932</v>
      </c>
    </row>
    <row r="107" spans="5:12" x14ac:dyDescent="0.25">
      <c r="E107">
        <v>18.5</v>
      </c>
      <c r="F107">
        <f t="shared" si="27"/>
        <v>106</v>
      </c>
      <c r="G107">
        <f t="shared" si="21"/>
        <v>19.600000000000001</v>
      </c>
      <c r="H107">
        <f t="shared" si="22"/>
        <v>0.76178953315988984</v>
      </c>
      <c r="I107">
        <f t="shared" si="23"/>
        <v>0.23821046684011016</v>
      </c>
      <c r="J107">
        <f t="shared" si="24"/>
        <v>0.73455493771691294</v>
      </c>
      <c r="K107">
        <f t="shared" si="25"/>
        <v>-122.5014209500122</v>
      </c>
      <c r="L107">
        <f t="shared" si="26"/>
        <v>0.68348251631360402</v>
      </c>
    </row>
    <row r="108" spans="5:12" x14ac:dyDescent="0.25">
      <c r="E108">
        <v>19.3</v>
      </c>
      <c r="F108">
        <f t="shared" si="27"/>
        <v>107</v>
      </c>
      <c r="G108">
        <f t="shared" si="21"/>
        <v>19.600000000000001</v>
      </c>
      <c r="H108">
        <f t="shared" si="22"/>
        <v>0.76178953315988984</v>
      </c>
      <c r="I108">
        <f t="shared" si="23"/>
        <v>0.23821046684011016</v>
      </c>
      <c r="J108">
        <f t="shared" si="24"/>
        <v>0.73455493771691294</v>
      </c>
      <c r="K108">
        <f t="shared" si="25"/>
        <v>-123.662571859491</v>
      </c>
      <c r="L108">
        <f t="shared" si="26"/>
        <v>0.70621092062998536</v>
      </c>
    </row>
    <row r="109" spans="5:12" x14ac:dyDescent="0.25">
      <c r="E109">
        <v>19.100000000000001</v>
      </c>
      <c r="F109">
        <f t="shared" si="27"/>
        <v>108</v>
      </c>
      <c r="G109">
        <f t="shared" si="21"/>
        <v>19.600000000000001</v>
      </c>
      <c r="H109">
        <f t="shared" si="22"/>
        <v>0.76178953315988984</v>
      </c>
      <c r="I109">
        <f t="shared" si="23"/>
        <v>0.23821046684011016</v>
      </c>
      <c r="J109">
        <f t="shared" si="24"/>
        <v>0.76297212693412464</v>
      </c>
      <c r="K109">
        <f t="shared" si="25"/>
        <v>-116.66302993841977</v>
      </c>
      <c r="L109">
        <f t="shared" si="26"/>
        <v>0.72931014850769149</v>
      </c>
    </row>
    <row r="110" spans="5:12" x14ac:dyDescent="0.25">
      <c r="E110">
        <v>17.399999999999999</v>
      </c>
      <c r="F110">
        <f t="shared" si="27"/>
        <v>109</v>
      </c>
      <c r="G110">
        <f t="shared" si="21"/>
        <v>19.7</v>
      </c>
      <c r="H110">
        <f t="shared" si="22"/>
        <v>0.78852641879877505</v>
      </c>
      <c r="I110">
        <f t="shared" si="23"/>
        <v>0.21147358120122495</v>
      </c>
      <c r="J110">
        <f t="shared" si="24"/>
        <v>0.76297212693412464</v>
      </c>
      <c r="K110">
        <f t="shared" si="25"/>
        <v>-110.26272295461914</v>
      </c>
      <c r="L110">
        <f t="shared" si="26"/>
        <v>0.7528052498747434</v>
      </c>
    </row>
    <row r="111" spans="5:12" x14ac:dyDescent="0.25">
      <c r="E111">
        <v>16.3</v>
      </c>
      <c r="F111">
        <f t="shared" si="27"/>
        <v>110</v>
      </c>
      <c r="G111">
        <f t="shared" si="21"/>
        <v>19.7</v>
      </c>
      <c r="H111">
        <f t="shared" si="22"/>
        <v>0.78852641879877505</v>
      </c>
      <c r="I111">
        <f t="shared" si="23"/>
        <v>0.21147358120122495</v>
      </c>
      <c r="J111">
        <f t="shared" si="24"/>
        <v>0.76297212693412464</v>
      </c>
      <c r="K111">
        <f t="shared" si="25"/>
        <v>-111.27896924913175</v>
      </c>
      <c r="L111">
        <f t="shared" si="26"/>
        <v>0.77672346909285528</v>
      </c>
    </row>
    <row r="112" spans="5:12" x14ac:dyDescent="0.25">
      <c r="E112">
        <v>18.2</v>
      </c>
      <c r="F112">
        <f t="shared" si="27"/>
        <v>111</v>
      </c>
      <c r="G112">
        <f t="shared" si="21"/>
        <v>19.7</v>
      </c>
      <c r="H112">
        <f t="shared" si="22"/>
        <v>0.78852641879877505</v>
      </c>
      <c r="I112">
        <f t="shared" si="23"/>
        <v>0.21147358120122495</v>
      </c>
      <c r="J112">
        <f t="shared" si="24"/>
        <v>0.78963159647669512</v>
      </c>
      <c r="K112">
        <f t="shared" si="25"/>
        <v>-104.70496979477001</v>
      </c>
      <c r="L112">
        <f t="shared" si="26"/>
        <v>0.80109452928194935</v>
      </c>
    </row>
    <row r="113" spans="5:12" x14ac:dyDescent="0.25">
      <c r="E113">
        <v>18.8</v>
      </c>
      <c r="F113">
        <f t="shared" si="27"/>
        <v>112</v>
      </c>
      <c r="G113">
        <f t="shared" si="21"/>
        <v>19.8</v>
      </c>
      <c r="H113">
        <f t="shared" si="22"/>
        <v>0.81341914230495405</v>
      </c>
      <c r="I113">
        <f t="shared" si="23"/>
        <v>0.18658085769504595</v>
      </c>
      <c r="J113">
        <f t="shared" si="24"/>
        <v>0.78963159647669512</v>
      </c>
      <c r="K113">
        <f t="shared" si="25"/>
        <v>-98.721548734246483</v>
      </c>
      <c r="L113">
        <f t="shared" si="26"/>
        <v>0.8259509638725272</v>
      </c>
    </row>
    <row r="114" spans="5:12" x14ac:dyDescent="0.25">
      <c r="E114">
        <v>18.3</v>
      </c>
      <c r="F114">
        <f t="shared" si="27"/>
        <v>113</v>
      </c>
      <c r="G114">
        <f t="shared" si="21"/>
        <v>19.8</v>
      </c>
      <c r="H114">
        <f t="shared" si="22"/>
        <v>0.81341914230495405</v>
      </c>
      <c r="I114">
        <f t="shared" si="23"/>
        <v>0.18658085769504595</v>
      </c>
      <c r="J114">
        <f t="shared" si="24"/>
        <v>0.78963159647669512</v>
      </c>
      <c r="K114">
        <f t="shared" si="25"/>
        <v>-99.606943790159008</v>
      </c>
      <c r="L114">
        <f t="shared" si="26"/>
        <v>0.85132850522611758</v>
      </c>
    </row>
    <row r="115" spans="5:12" x14ac:dyDescent="0.25">
      <c r="E115">
        <v>17.899999999999999</v>
      </c>
      <c r="F115">
        <f t="shared" si="27"/>
        <v>114</v>
      </c>
      <c r="G115">
        <f t="shared" si="21"/>
        <v>19.8</v>
      </c>
      <c r="H115">
        <f t="shared" si="22"/>
        <v>0.81341914230495405</v>
      </c>
      <c r="I115">
        <f t="shared" si="23"/>
        <v>0.18658085769504595</v>
      </c>
      <c r="J115">
        <f t="shared" si="24"/>
        <v>0.81444377777867405</v>
      </c>
      <c r="K115">
        <f t="shared" si="25"/>
        <v>-93.469209483261807</v>
      </c>
      <c r="L115">
        <f t="shared" si="26"/>
        <v>0.87726654265007264</v>
      </c>
    </row>
    <row r="116" spans="5:12" x14ac:dyDescent="0.25">
      <c r="E116">
        <v>18.3</v>
      </c>
      <c r="F116">
        <f t="shared" si="27"/>
        <v>115</v>
      </c>
      <c r="G116">
        <f t="shared" si="21"/>
        <v>19.899999999999999</v>
      </c>
      <c r="H116">
        <f t="shared" si="22"/>
        <v>0.83641115916717079</v>
      </c>
      <c r="I116">
        <f t="shared" si="23"/>
        <v>0.16358884083282921</v>
      </c>
      <c r="J116">
        <f t="shared" si="24"/>
        <v>0.83735358555305162</v>
      </c>
      <c r="K116">
        <f t="shared" si="25"/>
        <v>-81.55693555877626</v>
      </c>
      <c r="L116">
        <f t="shared" si="26"/>
        <v>0.90380866536633531</v>
      </c>
    </row>
    <row r="117" spans="5:12" x14ac:dyDescent="0.25">
      <c r="E117">
        <v>19.600000000000001</v>
      </c>
      <c r="F117">
        <f t="shared" si="27"/>
        <v>116</v>
      </c>
      <c r="G117">
        <f t="shared" si="21"/>
        <v>19.899999999999999</v>
      </c>
      <c r="H117">
        <f t="shared" si="22"/>
        <v>0.83641115916717079</v>
      </c>
      <c r="I117">
        <f t="shared" si="23"/>
        <v>0.16358884083282921</v>
      </c>
      <c r="J117">
        <f t="shared" si="24"/>
        <v>0.83735358555305162</v>
      </c>
      <c r="K117">
        <f t="shared" si="25"/>
        <v>-82.269223205577788</v>
      </c>
      <c r="L117">
        <f t="shared" si="26"/>
        <v>0.93100331023794303</v>
      </c>
    </row>
    <row r="118" spans="5:12" x14ac:dyDescent="0.25">
      <c r="E118">
        <v>19.600000000000001</v>
      </c>
      <c r="F118">
        <f t="shared" si="27"/>
        <v>117</v>
      </c>
      <c r="G118">
        <f t="shared" si="21"/>
        <v>19.899999999999999</v>
      </c>
      <c r="H118">
        <f t="shared" si="22"/>
        <v>0.83641115916717079</v>
      </c>
      <c r="I118">
        <f t="shared" si="23"/>
        <v>0.16358884083282921</v>
      </c>
      <c r="J118">
        <f t="shared" si="24"/>
        <v>0.83735358555305162</v>
      </c>
      <c r="K118">
        <f t="shared" si="25"/>
        <v>-82.98151085237933</v>
      </c>
      <c r="L118">
        <f t="shared" si="26"/>
        <v>0.95890453968260358</v>
      </c>
    </row>
    <row r="119" spans="5:12" x14ac:dyDescent="0.25">
      <c r="E119">
        <v>21</v>
      </c>
      <c r="F119">
        <f t="shared" si="27"/>
        <v>118</v>
      </c>
      <c r="G119">
        <f t="shared" si="21"/>
        <v>19.899999999999999</v>
      </c>
      <c r="H119">
        <f t="shared" si="22"/>
        <v>0.83641115916717079</v>
      </c>
      <c r="I119">
        <f t="shared" si="23"/>
        <v>0.16358884083282921</v>
      </c>
      <c r="J119">
        <f t="shared" si="24"/>
        <v>0.85833916675858113</v>
      </c>
      <c r="K119">
        <f t="shared" si="25"/>
        <v>-77.876868072050328</v>
      </c>
      <c r="L119">
        <f t="shared" si="26"/>
        <v>0.98757298273868099</v>
      </c>
    </row>
    <row r="120" spans="5:12" x14ac:dyDescent="0.25">
      <c r="E120">
        <v>18</v>
      </c>
      <c r="F120">
        <f t="shared" si="27"/>
        <v>119</v>
      </c>
      <c r="G120">
        <f t="shared" si="21"/>
        <v>20</v>
      </c>
      <c r="H120">
        <f t="shared" si="22"/>
        <v>0.85747923051591513</v>
      </c>
      <c r="I120">
        <f t="shared" si="23"/>
        <v>0.14252076948408487</v>
      </c>
      <c r="J120">
        <f t="shared" si="24"/>
        <v>0.87740973417886847</v>
      </c>
      <c r="K120">
        <f t="shared" si="25"/>
        <v>-67.435865570235407</v>
      </c>
      <c r="L120">
        <f t="shared" si="26"/>
        <v>1.0170769824594872</v>
      </c>
    </row>
    <row r="121" spans="5:12" x14ac:dyDescent="0.25">
      <c r="E121">
        <v>17.899999999999999</v>
      </c>
      <c r="F121">
        <f t="shared" si="27"/>
        <v>120</v>
      </c>
      <c r="G121">
        <f t="shared" si="21"/>
        <v>20</v>
      </c>
      <c r="H121">
        <f t="shared" si="22"/>
        <v>0.85747923051591513</v>
      </c>
      <c r="I121">
        <f t="shared" si="23"/>
        <v>0.14252076948408487</v>
      </c>
      <c r="J121">
        <f t="shared" si="24"/>
        <v>0.87740973417886847</v>
      </c>
      <c r="K121">
        <f t="shared" si="25"/>
        <v>-68.004944604583386</v>
      </c>
      <c r="L121">
        <f t="shared" si="26"/>
        <v>1.0474940068175926</v>
      </c>
    </row>
    <row r="122" spans="5:12" x14ac:dyDescent="0.25">
      <c r="E122">
        <v>18.100000000000001</v>
      </c>
      <c r="F122">
        <f t="shared" si="27"/>
        <v>121</v>
      </c>
      <c r="G122">
        <f t="shared" si="21"/>
        <v>20</v>
      </c>
      <c r="H122">
        <f t="shared" si="22"/>
        <v>0.85747923051591513</v>
      </c>
      <c r="I122">
        <f t="shared" si="23"/>
        <v>0.14252076948408487</v>
      </c>
      <c r="J122">
        <f t="shared" si="24"/>
        <v>0.87740973417886847</v>
      </c>
      <c r="K122">
        <f t="shared" si="25"/>
        <v>-68.574023638931365</v>
      </c>
      <c r="L122">
        <f t="shared" si="26"/>
        <v>1.0789123997706274</v>
      </c>
    </row>
    <row r="123" spans="5:12" x14ac:dyDescent="0.25">
      <c r="E123">
        <v>19.5</v>
      </c>
      <c r="F123">
        <f t="shared" si="27"/>
        <v>122</v>
      </c>
      <c r="G123">
        <f t="shared" si="21"/>
        <v>20.100000000000001</v>
      </c>
      <c r="H123">
        <f t="shared" si="22"/>
        <v>0.8766312929389759</v>
      </c>
      <c r="I123">
        <f t="shared" si="23"/>
        <v>0.1233687070610241</v>
      </c>
      <c r="J123">
        <f t="shared" si="24"/>
        <v>0.89460264004271495</v>
      </c>
      <c r="K123">
        <f t="shared" si="25"/>
        <v>-59.059796600000979</v>
      </c>
      <c r="L123">
        <f t="shared" si="26"/>
        <v>1.1114335766029086</v>
      </c>
    </row>
    <row r="124" spans="5:12" x14ac:dyDescent="0.25">
      <c r="E124">
        <v>17.100000000000001</v>
      </c>
      <c r="F124">
        <f t="shared" si="27"/>
        <v>123</v>
      </c>
      <c r="G124">
        <f t="shared" si="21"/>
        <v>20.100000000000001</v>
      </c>
      <c r="H124">
        <f t="shared" si="22"/>
        <v>0.8766312929389759</v>
      </c>
      <c r="I124">
        <f t="shared" si="23"/>
        <v>0.1233687070610241</v>
      </c>
      <c r="J124">
        <f t="shared" si="24"/>
        <v>0.89460264004271495</v>
      </c>
      <c r="K124">
        <f t="shared" si="25"/>
        <v>-59.545885460906341</v>
      </c>
      <c r="L124">
        <f t="shared" si="26"/>
        <v>1.1451748070146457</v>
      </c>
    </row>
    <row r="125" spans="5:12" x14ac:dyDescent="0.25">
      <c r="E125">
        <v>18.899999999999999</v>
      </c>
      <c r="F125">
        <f t="shared" si="27"/>
        <v>124</v>
      </c>
      <c r="G125">
        <f t="shared" si="21"/>
        <v>20.2</v>
      </c>
      <c r="H125">
        <f t="shared" si="22"/>
        <v>0.89390356115745051</v>
      </c>
      <c r="I125">
        <f t="shared" si="23"/>
        <v>0.10609643884254949</v>
      </c>
      <c r="J125">
        <f t="shared" si="24"/>
        <v>0.90997986656660912</v>
      </c>
      <c r="K125">
        <f t="shared" si="25"/>
        <v>-51.003076293017344</v>
      </c>
      <c r="L125">
        <f t="shared" si="26"/>
        <v>1.1802727868295286</v>
      </c>
    </row>
    <row r="126" spans="5:12" x14ac:dyDescent="0.25">
      <c r="E126">
        <v>18.5</v>
      </c>
      <c r="F126">
        <f t="shared" si="27"/>
        <v>125</v>
      </c>
      <c r="G126">
        <f t="shared" si="21"/>
        <v>20.3</v>
      </c>
      <c r="H126">
        <f t="shared" si="22"/>
        <v>0.90935703975345916</v>
      </c>
      <c r="I126">
        <f t="shared" si="23"/>
        <v>9.0642960246540838E-2</v>
      </c>
      <c r="J126">
        <f t="shared" si="24"/>
        <v>0.90997986656660912</v>
      </c>
      <c r="K126">
        <f t="shared" si="25"/>
        <v>-47.148220537884661</v>
      </c>
      <c r="L126">
        <f t="shared" si="26"/>
        <v>1.2168882845316809</v>
      </c>
    </row>
    <row r="127" spans="5:12" x14ac:dyDescent="0.25">
      <c r="E127">
        <v>19.2</v>
      </c>
      <c r="F127">
        <f t="shared" si="27"/>
        <v>126</v>
      </c>
      <c r="G127">
        <f t="shared" si="21"/>
        <v>20.399999999999999</v>
      </c>
      <c r="H127">
        <f t="shared" si="22"/>
        <v>0.92307363087199978</v>
      </c>
      <c r="I127">
        <f t="shared" si="23"/>
        <v>7.6926369128000216E-2</v>
      </c>
      <c r="J127">
        <f t="shared" si="24"/>
        <v>0.90997986656660912</v>
      </c>
      <c r="K127">
        <f t="shared" si="25"/>
        <v>-43.769148729429077</v>
      </c>
      <c r="L127">
        <f t="shared" si="26"/>
        <v>1.2552122784689139</v>
      </c>
    </row>
    <row r="128" spans="5:12" x14ac:dyDescent="0.25">
      <c r="E128">
        <v>20.5</v>
      </c>
      <c r="F128">
        <f t="shared" si="27"/>
        <v>127</v>
      </c>
      <c r="G128">
        <f t="shared" si="21"/>
        <v>20.399999999999999</v>
      </c>
      <c r="H128">
        <f t="shared" si="22"/>
        <v>0.92307363087199978</v>
      </c>
      <c r="I128">
        <f t="shared" si="23"/>
        <v>7.6926369128000216E-2</v>
      </c>
      <c r="J128">
        <f t="shared" si="24"/>
        <v>0.90997986656660912</v>
      </c>
      <c r="K128">
        <f t="shared" si="25"/>
        <v>-44.11790688663568</v>
      </c>
      <c r="L128">
        <f t="shared" si="26"/>
        <v>1.2954742022093346</v>
      </c>
    </row>
    <row r="129" spans="5:12" x14ac:dyDescent="0.25">
      <c r="E129">
        <v>18.3</v>
      </c>
      <c r="F129">
        <f t="shared" si="27"/>
        <v>128</v>
      </c>
      <c r="G129">
        <f t="shared" si="21"/>
        <v>20.399999999999999</v>
      </c>
      <c r="H129">
        <f t="shared" si="22"/>
        <v>0.92307363087199978</v>
      </c>
      <c r="I129">
        <f t="shared" si="23"/>
        <v>7.6926369128000216E-2</v>
      </c>
      <c r="J129">
        <f t="shared" si="24"/>
        <v>0.92362412055436793</v>
      </c>
      <c r="K129">
        <f t="shared" si="25"/>
        <v>-40.671571870489018</v>
      </c>
      <c r="L129">
        <f t="shared" si="26"/>
        <v>1.3379532377585106</v>
      </c>
    </row>
    <row r="130" spans="5:12" x14ac:dyDescent="0.25">
      <c r="E130">
        <v>19.399999999999999</v>
      </c>
      <c r="F130">
        <f t="shared" si="27"/>
        <v>129</v>
      </c>
      <c r="G130">
        <f t="shared" ref="G130:G161" si="28">IF(ISBLANK(E130), NA(),SMALL(E$2:E$201,F130))</f>
        <v>20.5</v>
      </c>
      <c r="H130">
        <f t="shared" ref="H130:H161" si="29">IF(ISBLANK(E130),"",NORMDIST(G130, $B$3, $B$4, TRUE))</f>
        <v>0.93515202472139491</v>
      </c>
      <c r="I130">
        <f t="shared" ref="I130:I161" si="30">IF(ISBLANK(E130), "", 1-H130)</f>
        <v>6.4847975278605086E-2</v>
      </c>
      <c r="J130">
        <f t="shared" ref="J130:J161" si="31">IF(ISBLANK(E130),"",SMALL(I$2:I$201,F130))</f>
        <v>0.92362412055436793</v>
      </c>
      <c r="K130">
        <f t="shared" ref="K130:K161" si="32">IF(ISBLANK(E130),"",(2*F130-1)*(LN(H130)+LN(J130)))</f>
        <v>-37.649537706313268</v>
      </c>
      <c r="L130">
        <f t="shared" ref="L130:L161" si="33">IF(E130="",NA(),NORMSINV((F130-0.3)/($B$5+0.4)))</f>
        <v>1.3829941271006378</v>
      </c>
    </row>
    <row r="131" spans="5:12" x14ac:dyDescent="0.25">
      <c r="E131">
        <v>21.4</v>
      </c>
      <c r="F131">
        <f t="shared" ref="F131:F162" si="34">IF(ISBLANK(E131),"",F130+1)</f>
        <v>130</v>
      </c>
      <c r="G131">
        <f t="shared" si="28"/>
        <v>20.5</v>
      </c>
      <c r="H131">
        <f t="shared" si="29"/>
        <v>0.93515202472139491</v>
      </c>
      <c r="I131">
        <f t="shared" si="30"/>
        <v>6.4847975278605086E-2</v>
      </c>
      <c r="J131">
        <f t="shared" si="31"/>
        <v>0.93563471864611425</v>
      </c>
      <c r="K131">
        <f t="shared" si="32"/>
        <v>-34.596263294680398</v>
      </c>
      <c r="L131">
        <f t="shared" si="33"/>
        <v>1.4310298776354489</v>
      </c>
    </row>
    <row r="132" spans="5:12" x14ac:dyDescent="0.25">
      <c r="E132">
        <v>19</v>
      </c>
      <c r="F132">
        <f t="shared" si="34"/>
        <v>131</v>
      </c>
      <c r="G132">
        <f t="shared" si="28"/>
        <v>20.5</v>
      </c>
      <c r="H132">
        <f t="shared" si="29"/>
        <v>0.93515202472139491</v>
      </c>
      <c r="I132">
        <f t="shared" si="30"/>
        <v>6.4847975278605086E-2</v>
      </c>
      <c r="J132">
        <f t="shared" si="31"/>
        <v>0.93563471864611425</v>
      </c>
      <c r="K132">
        <f t="shared" si="32"/>
        <v>-34.863415906994533</v>
      </c>
      <c r="L132">
        <f t="shared" si="33"/>
        <v>1.4826153436092886</v>
      </c>
    </row>
    <row r="133" spans="5:12" x14ac:dyDescent="0.25">
      <c r="E133">
        <v>18.600000000000001</v>
      </c>
      <c r="F133">
        <f t="shared" si="34"/>
        <v>132</v>
      </c>
      <c r="G133">
        <f t="shared" si="28"/>
        <v>20.5</v>
      </c>
      <c r="H133">
        <f t="shared" si="29"/>
        <v>0.93515202472139491</v>
      </c>
      <c r="I133">
        <f t="shared" si="30"/>
        <v>6.4847975278605086E-2</v>
      </c>
      <c r="J133">
        <f t="shared" si="31"/>
        <v>0.93563471864611425</v>
      </c>
      <c r="K133">
        <f t="shared" si="32"/>
        <v>-35.130568519308667</v>
      </c>
      <c r="L133">
        <f t="shared" si="33"/>
        <v>1.5384786536137618</v>
      </c>
    </row>
    <row r="134" spans="5:12" x14ac:dyDescent="0.25">
      <c r="E134">
        <v>19.5</v>
      </c>
      <c r="F134">
        <f t="shared" si="34"/>
        <v>133</v>
      </c>
      <c r="G134">
        <f t="shared" si="28"/>
        <v>20.6</v>
      </c>
      <c r="H134">
        <f t="shared" si="29"/>
        <v>0.94570354983298455</v>
      </c>
      <c r="I134">
        <f t="shared" si="30"/>
        <v>5.4296450167015453E-2</v>
      </c>
      <c r="J134">
        <f t="shared" si="31"/>
        <v>0.93563471864611425</v>
      </c>
      <c r="K134">
        <f t="shared" si="32"/>
        <v>-32.424410978357137</v>
      </c>
      <c r="L134">
        <f t="shared" si="33"/>
        <v>1.599603328089954</v>
      </c>
    </row>
    <row r="135" spans="5:12" x14ac:dyDescent="0.25">
      <c r="E135">
        <v>17.399999999999999</v>
      </c>
      <c r="F135">
        <f t="shared" si="34"/>
        <v>134</v>
      </c>
      <c r="G135">
        <f t="shared" si="28"/>
        <v>20.6</v>
      </c>
      <c r="H135">
        <f t="shared" si="29"/>
        <v>0.94570354983298455</v>
      </c>
      <c r="I135">
        <f t="shared" si="30"/>
        <v>5.4296450167015453E-2</v>
      </c>
      <c r="J135">
        <f t="shared" si="31"/>
        <v>0.9552105013381671</v>
      </c>
      <c r="K135">
        <f t="shared" si="32"/>
        <v>-27.140462918530027</v>
      </c>
      <c r="L135">
        <f t="shared" si="33"/>
        <v>1.6673662758155794</v>
      </c>
    </row>
    <row r="136" spans="5:12" x14ac:dyDescent="0.25">
      <c r="E136">
        <v>18.5</v>
      </c>
      <c r="F136">
        <f t="shared" si="34"/>
        <v>135</v>
      </c>
      <c r="G136">
        <f t="shared" si="28"/>
        <v>20.7</v>
      </c>
      <c r="H136">
        <f t="shared" si="29"/>
        <v>0.95484814202237589</v>
      </c>
      <c r="I136">
        <f t="shared" si="30"/>
        <v>4.515185797762411E-2</v>
      </c>
      <c r="J136">
        <f t="shared" si="31"/>
        <v>0.9630207972228062</v>
      </c>
      <c r="K136">
        <f t="shared" si="32"/>
        <v>-22.564590448057935</v>
      </c>
      <c r="L136">
        <f t="shared" si="33"/>
        <v>1.7437850334621006</v>
      </c>
    </row>
    <row r="137" spans="5:12" x14ac:dyDescent="0.25">
      <c r="E137">
        <v>18.399999999999999</v>
      </c>
      <c r="F137">
        <f t="shared" si="34"/>
        <v>136</v>
      </c>
      <c r="G137">
        <f t="shared" si="28"/>
        <v>20.8</v>
      </c>
      <c r="H137">
        <f t="shared" si="29"/>
        <v>0.96271056680339862</v>
      </c>
      <c r="I137">
        <f t="shared" si="30"/>
        <v>3.7289433196601385E-2</v>
      </c>
      <c r="J137">
        <f t="shared" si="31"/>
        <v>0.97531407800048275</v>
      </c>
      <c r="K137">
        <f t="shared" si="32"/>
        <v>-17.07251074122718</v>
      </c>
      <c r="L137">
        <f t="shared" si="33"/>
        <v>1.8319990177530474</v>
      </c>
    </row>
    <row r="138" spans="5:12" x14ac:dyDescent="0.25">
      <c r="E138">
        <v>18.3</v>
      </c>
      <c r="F138">
        <f t="shared" si="34"/>
        <v>137</v>
      </c>
      <c r="G138">
        <f t="shared" si="28"/>
        <v>20.9</v>
      </c>
      <c r="H138">
        <f t="shared" si="29"/>
        <v>0.9694170018064111</v>
      </c>
      <c r="I138">
        <f t="shared" si="30"/>
        <v>3.0582998193588895E-2</v>
      </c>
      <c r="J138">
        <f t="shared" si="31"/>
        <v>0.9839780362132895</v>
      </c>
      <c r="K138">
        <f t="shared" si="32"/>
        <v>-12.888908853117441</v>
      </c>
      <c r="L138">
        <f t="shared" si="33"/>
        <v>1.9373174317326829</v>
      </c>
    </row>
    <row r="139" spans="5:12" x14ac:dyDescent="0.25">
      <c r="E139">
        <v>20.7</v>
      </c>
      <c r="F139">
        <f t="shared" si="34"/>
        <v>138</v>
      </c>
      <c r="G139">
        <f t="shared" si="28"/>
        <v>20.9</v>
      </c>
      <c r="H139">
        <f t="shared" si="29"/>
        <v>0.9694170018064111</v>
      </c>
      <c r="I139">
        <f t="shared" si="30"/>
        <v>3.0582998193588895E-2</v>
      </c>
      <c r="J139">
        <f t="shared" si="31"/>
        <v>0.9872291587579769</v>
      </c>
      <c r="K139">
        <f t="shared" si="32"/>
        <v>-12.076214336576713</v>
      </c>
      <c r="L139">
        <f t="shared" si="33"/>
        <v>2.0699018308950485</v>
      </c>
    </row>
    <row r="140" spans="5:12" x14ac:dyDescent="0.25">
      <c r="E140">
        <v>19.3</v>
      </c>
      <c r="F140">
        <f t="shared" si="34"/>
        <v>139</v>
      </c>
      <c r="G140">
        <f t="shared" si="28"/>
        <v>21</v>
      </c>
      <c r="H140">
        <f t="shared" si="29"/>
        <v>0.9750920557104219</v>
      </c>
      <c r="I140">
        <f t="shared" si="30"/>
        <v>2.4907944289578099E-2</v>
      </c>
      <c r="J140">
        <f t="shared" si="31"/>
        <v>0.9872291587579769</v>
      </c>
      <c r="K140">
        <f t="shared" si="32"/>
        <v>-10.547186557121458</v>
      </c>
      <c r="L140">
        <f t="shared" si="33"/>
        <v>2.2536765409986268</v>
      </c>
    </row>
    <row r="141" spans="5:12" x14ac:dyDescent="0.25">
      <c r="E141">
        <v>17.7</v>
      </c>
      <c r="F141">
        <f t="shared" si="34"/>
        <v>140</v>
      </c>
      <c r="G141">
        <f t="shared" si="28"/>
        <v>21.4</v>
      </c>
      <c r="H141">
        <f t="shared" si="29"/>
        <v>0.98978981773614483</v>
      </c>
      <c r="I141">
        <f t="shared" si="30"/>
        <v>1.0210182263855172E-2</v>
      </c>
      <c r="J141">
        <f t="shared" si="31"/>
        <v>0.99205878170058803</v>
      </c>
      <c r="K141">
        <f t="shared" si="32"/>
        <v>-5.0877272152724462</v>
      </c>
      <c r="L141">
        <f t="shared" si="33"/>
        <v>2.5768157056643521</v>
      </c>
    </row>
    <row r="142" spans="5:12" x14ac:dyDescent="0.25">
      <c r="F142" t="str">
        <f t="shared" si="34"/>
        <v/>
      </c>
      <c r="G142" t="e">
        <f t="shared" si="28"/>
        <v>#N/A</v>
      </c>
      <c r="H142" t="str">
        <f t="shared" si="29"/>
        <v/>
      </c>
      <c r="I142" t="str">
        <f t="shared" si="30"/>
        <v/>
      </c>
      <c r="J142" t="str">
        <f t="shared" si="31"/>
        <v/>
      </c>
      <c r="K142" t="str">
        <f t="shared" si="32"/>
        <v/>
      </c>
      <c r="L142" t="e">
        <f t="shared" si="33"/>
        <v>#N/A</v>
      </c>
    </row>
    <row r="143" spans="5:12" x14ac:dyDescent="0.25">
      <c r="F143" t="str">
        <f t="shared" si="34"/>
        <v/>
      </c>
      <c r="G143" t="e">
        <f t="shared" si="28"/>
        <v>#N/A</v>
      </c>
      <c r="H143" t="str">
        <f t="shared" si="29"/>
        <v/>
      </c>
      <c r="I143" t="str">
        <f t="shared" si="30"/>
        <v/>
      </c>
      <c r="J143" t="str">
        <f t="shared" si="31"/>
        <v/>
      </c>
      <c r="K143" t="str">
        <f t="shared" si="32"/>
        <v/>
      </c>
      <c r="L143" t="e">
        <f t="shared" si="33"/>
        <v>#N/A</v>
      </c>
    </row>
    <row r="144" spans="5:12" x14ac:dyDescent="0.25">
      <c r="F144" t="str">
        <f t="shared" si="34"/>
        <v/>
      </c>
      <c r="G144" t="e">
        <f t="shared" si="28"/>
        <v>#N/A</v>
      </c>
      <c r="H144" t="str">
        <f t="shared" si="29"/>
        <v/>
      </c>
      <c r="I144" t="str">
        <f t="shared" si="30"/>
        <v/>
      </c>
      <c r="J144" t="str">
        <f t="shared" si="31"/>
        <v/>
      </c>
      <c r="K144" t="str">
        <f t="shared" si="32"/>
        <v/>
      </c>
      <c r="L144" t="e">
        <f t="shared" si="33"/>
        <v>#N/A</v>
      </c>
    </row>
    <row r="145" spans="6:12" x14ac:dyDescent="0.25">
      <c r="F145" t="str">
        <f t="shared" si="34"/>
        <v/>
      </c>
      <c r="G145" t="e">
        <f t="shared" si="28"/>
        <v>#N/A</v>
      </c>
      <c r="H145" t="str">
        <f t="shared" si="29"/>
        <v/>
      </c>
      <c r="I145" t="str">
        <f t="shared" si="30"/>
        <v/>
      </c>
      <c r="J145" t="str">
        <f t="shared" si="31"/>
        <v/>
      </c>
      <c r="K145" t="str">
        <f t="shared" si="32"/>
        <v/>
      </c>
      <c r="L145" t="e">
        <f t="shared" si="33"/>
        <v>#N/A</v>
      </c>
    </row>
    <row r="146" spans="6:12" x14ac:dyDescent="0.25">
      <c r="F146" t="str">
        <f t="shared" si="34"/>
        <v/>
      </c>
      <c r="G146" t="e">
        <f t="shared" si="28"/>
        <v>#N/A</v>
      </c>
      <c r="H146" t="str">
        <f t="shared" si="29"/>
        <v/>
      </c>
      <c r="I146" t="str">
        <f t="shared" si="30"/>
        <v/>
      </c>
      <c r="J146" t="str">
        <f t="shared" si="31"/>
        <v/>
      </c>
      <c r="K146" t="str">
        <f t="shared" si="32"/>
        <v/>
      </c>
      <c r="L146" t="e">
        <f t="shared" si="33"/>
        <v>#N/A</v>
      </c>
    </row>
    <row r="147" spans="6:12" x14ac:dyDescent="0.25">
      <c r="F147" t="str">
        <f t="shared" si="34"/>
        <v/>
      </c>
      <c r="G147" t="e">
        <f t="shared" si="28"/>
        <v>#N/A</v>
      </c>
      <c r="H147" t="str">
        <f t="shared" si="29"/>
        <v/>
      </c>
      <c r="I147" t="str">
        <f t="shared" si="30"/>
        <v/>
      </c>
      <c r="J147" t="str">
        <f t="shared" si="31"/>
        <v/>
      </c>
      <c r="K147" t="str">
        <f t="shared" si="32"/>
        <v/>
      </c>
      <c r="L147" t="e">
        <f t="shared" si="33"/>
        <v>#N/A</v>
      </c>
    </row>
    <row r="148" spans="6:12" x14ac:dyDescent="0.25">
      <c r="F148" t="str">
        <f t="shared" si="34"/>
        <v/>
      </c>
      <c r="G148" t="e">
        <f t="shared" si="28"/>
        <v>#N/A</v>
      </c>
      <c r="H148" t="str">
        <f t="shared" si="29"/>
        <v/>
      </c>
      <c r="I148" t="str">
        <f t="shared" si="30"/>
        <v/>
      </c>
      <c r="J148" t="str">
        <f t="shared" si="31"/>
        <v/>
      </c>
      <c r="K148" t="str">
        <f t="shared" si="32"/>
        <v/>
      </c>
      <c r="L148" t="e">
        <f t="shared" si="33"/>
        <v>#N/A</v>
      </c>
    </row>
    <row r="149" spans="6:12" x14ac:dyDescent="0.25">
      <c r="F149" t="str">
        <f t="shared" si="34"/>
        <v/>
      </c>
      <c r="G149" t="e">
        <f t="shared" si="28"/>
        <v>#N/A</v>
      </c>
      <c r="H149" t="str">
        <f t="shared" si="29"/>
        <v/>
      </c>
      <c r="I149" t="str">
        <f t="shared" si="30"/>
        <v/>
      </c>
      <c r="J149" t="str">
        <f t="shared" si="31"/>
        <v/>
      </c>
      <c r="K149" t="str">
        <f t="shared" si="32"/>
        <v/>
      </c>
      <c r="L149" t="e">
        <f t="shared" si="33"/>
        <v>#N/A</v>
      </c>
    </row>
    <row r="150" spans="6:12" x14ac:dyDescent="0.25">
      <c r="F150" t="str">
        <f t="shared" si="34"/>
        <v/>
      </c>
      <c r="G150" t="e">
        <f t="shared" si="28"/>
        <v>#N/A</v>
      </c>
      <c r="H150" t="str">
        <f t="shared" si="29"/>
        <v/>
      </c>
      <c r="I150" t="str">
        <f t="shared" si="30"/>
        <v/>
      </c>
      <c r="J150" t="str">
        <f t="shared" si="31"/>
        <v/>
      </c>
      <c r="K150" t="str">
        <f t="shared" si="32"/>
        <v/>
      </c>
      <c r="L150" t="e">
        <f t="shared" si="33"/>
        <v>#N/A</v>
      </c>
    </row>
    <row r="151" spans="6:12" x14ac:dyDescent="0.25">
      <c r="F151" t="str">
        <f t="shared" si="34"/>
        <v/>
      </c>
      <c r="G151" t="e">
        <f t="shared" si="28"/>
        <v>#N/A</v>
      </c>
      <c r="H151" t="str">
        <f t="shared" si="29"/>
        <v/>
      </c>
      <c r="I151" t="str">
        <f t="shared" si="30"/>
        <v/>
      </c>
      <c r="J151" t="str">
        <f t="shared" si="31"/>
        <v/>
      </c>
      <c r="K151" t="str">
        <f t="shared" si="32"/>
        <v/>
      </c>
      <c r="L151" t="e">
        <f t="shared" si="33"/>
        <v>#N/A</v>
      </c>
    </row>
    <row r="152" spans="6:12" x14ac:dyDescent="0.25">
      <c r="F152" t="str">
        <f t="shared" si="34"/>
        <v/>
      </c>
      <c r="G152" t="e">
        <f t="shared" si="28"/>
        <v>#N/A</v>
      </c>
      <c r="H152" t="str">
        <f t="shared" si="29"/>
        <v/>
      </c>
      <c r="I152" t="str">
        <f t="shared" si="30"/>
        <v/>
      </c>
      <c r="J152" t="str">
        <f t="shared" si="31"/>
        <v/>
      </c>
      <c r="K152" t="str">
        <f t="shared" si="32"/>
        <v/>
      </c>
      <c r="L152" t="e">
        <f t="shared" si="33"/>
        <v>#N/A</v>
      </c>
    </row>
    <row r="153" spans="6:12" x14ac:dyDescent="0.25">
      <c r="F153" t="str">
        <f t="shared" si="34"/>
        <v/>
      </c>
      <c r="G153" t="e">
        <f t="shared" si="28"/>
        <v>#N/A</v>
      </c>
      <c r="H153" t="str">
        <f t="shared" si="29"/>
        <v/>
      </c>
      <c r="I153" t="str">
        <f t="shared" si="30"/>
        <v/>
      </c>
      <c r="J153" t="str">
        <f t="shared" si="31"/>
        <v/>
      </c>
      <c r="K153" t="str">
        <f t="shared" si="32"/>
        <v/>
      </c>
      <c r="L153" t="e">
        <f t="shared" si="33"/>
        <v>#N/A</v>
      </c>
    </row>
    <row r="154" spans="6:12" x14ac:dyDescent="0.25">
      <c r="F154" t="str">
        <f t="shared" si="34"/>
        <v/>
      </c>
      <c r="G154" t="e">
        <f t="shared" si="28"/>
        <v>#N/A</v>
      </c>
      <c r="H154" t="str">
        <f t="shared" si="29"/>
        <v/>
      </c>
      <c r="I154" t="str">
        <f t="shared" si="30"/>
        <v/>
      </c>
      <c r="J154" t="str">
        <f t="shared" si="31"/>
        <v/>
      </c>
      <c r="K154" t="str">
        <f t="shared" si="32"/>
        <v/>
      </c>
      <c r="L154" t="e">
        <f t="shared" si="33"/>
        <v>#N/A</v>
      </c>
    </row>
    <row r="155" spans="6:12" x14ac:dyDescent="0.25">
      <c r="F155" t="str">
        <f t="shared" si="34"/>
        <v/>
      </c>
      <c r="G155" t="e">
        <f t="shared" si="28"/>
        <v>#N/A</v>
      </c>
      <c r="H155" t="str">
        <f t="shared" si="29"/>
        <v/>
      </c>
      <c r="I155" t="str">
        <f t="shared" si="30"/>
        <v/>
      </c>
      <c r="J155" t="str">
        <f t="shared" si="31"/>
        <v/>
      </c>
      <c r="K155" t="str">
        <f t="shared" si="32"/>
        <v/>
      </c>
      <c r="L155" t="e">
        <f t="shared" si="33"/>
        <v>#N/A</v>
      </c>
    </row>
    <row r="156" spans="6:12" x14ac:dyDescent="0.25">
      <c r="F156" t="str">
        <f t="shared" si="34"/>
        <v/>
      </c>
      <c r="G156" t="e">
        <f t="shared" si="28"/>
        <v>#N/A</v>
      </c>
      <c r="H156" t="str">
        <f t="shared" si="29"/>
        <v/>
      </c>
      <c r="I156" t="str">
        <f t="shared" si="30"/>
        <v/>
      </c>
      <c r="J156" t="str">
        <f t="shared" si="31"/>
        <v/>
      </c>
      <c r="K156" t="str">
        <f t="shared" si="32"/>
        <v/>
      </c>
      <c r="L156" t="e">
        <f t="shared" si="33"/>
        <v>#N/A</v>
      </c>
    </row>
    <row r="157" spans="6:12" x14ac:dyDescent="0.25">
      <c r="F157" t="str">
        <f t="shared" si="34"/>
        <v/>
      </c>
      <c r="G157" t="e">
        <f t="shared" si="28"/>
        <v>#N/A</v>
      </c>
      <c r="H157" t="str">
        <f t="shared" si="29"/>
        <v/>
      </c>
      <c r="I157" t="str">
        <f t="shared" si="30"/>
        <v/>
      </c>
      <c r="J157" t="str">
        <f t="shared" si="31"/>
        <v/>
      </c>
      <c r="K157" t="str">
        <f t="shared" si="32"/>
        <v/>
      </c>
      <c r="L157" t="e">
        <f t="shared" si="33"/>
        <v>#N/A</v>
      </c>
    </row>
    <row r="158" spans="6:12" x14ac:dyDescent="0.25">
      <c r="F158" t="str">
        <f t="shared" si="34"/>
        <v/>
      </c>
      <c r="G158" t="e">
        <f t="shared" si="28"/>
        <v>#N/A</v>
      </c>
      <c r="H158" t="str">
        <f t="shared" si="29"/>
        <v/>
      </c>
      <c r="I158" t="str">
        <f t="shared" si="30"/>
        <v/>
      </c>
      <c r="J158" t="str">
        <f t="shared" si="31"/>
        <v/>
      </c>
      <c r="K158" t="str">
        <f t="shared" si="32"/>
        <v/>
      </c>
      <c r="L158" t="e">
        <f t="shared" si="33"/>
        <v>#N/A</v>
      </c>
    </row>
    <row r="159" spans="6:12" x14ac:dyDescent="0.25">
      <c r="F159" t="str">
        <f t="shared" si="34"/>
        <v/>
      </c>
      <c r="G159" t="e">
        <f t="shared" si="28"/>
        <v>#N/A</v>
      </c>
      <c r="H159" t="str">
        <f t="shared" si="29"/>
        <v/>
      </c>
      <c r="I159" t="str">
        <f t="shared" si="30"/>
        <v/>
      </c>
      <c r="J159" t="str">
        <f t="shared" si="31"/>
        <v/>
      </c>
      <c r="K159" t="str">
        <f t="shared" si="32"/>
        <v/>
      </c>
      <c r="L159" t="e">
        <f t="shared" si="33"/>
        <v>#N/A</v>
      </c>
    </row>
    <row r="160" spans="6:12" x14ac:dyDescent="0.25">
      <c r="F160" t="str">
        <f t="shared" si="34"/>
        <v/>
      </c>
      <c r="G160" t="e">
        <f t="shared" si="28"/>
        <v>#N/A</v>
      </c>
      <c r="H160" t="str">
        <f t="shared" si="29"/>
        <v/>
      </c>
      <c r="I160" t="str">
        <f t="shared" si="30"/>
        <v/>
      </c>
      <c r="J160" t="str">
        <f t="shared" si="31"/>
        <v/>
      </c>
      <c r="K160" t="str">
        <f t="shared" si="32"/>
        <v/>
      </c>
      <c r="L160" t="e">
        <f t="shared" si="33"/>
        <v>#N/A</v>
      </c>
    </row>
    <row r="161" spans="6:12" x14ac:dyDescent="0.25">
      <c r="F161" t="str">
        <f t="shared" si="34"/>
        <v/>
      </c>
      <c r="G161" t="e">
        <f t="shared" si="28"/>
        <v>#N/A</v>
      </c>
      <c r="H161" t="str">
        <f t="shared" si="29"/>
        <v/>
      </c>
      <c r="I161" t="str">
        <f t="shared" si="30"/>
        <v/>
      </c>
      <c r="J161" t="str">
        <f t="shared" si="31"/>
        <v/>
      </c>
      <c r="K161" t="str">
        <f t="shared" si="32"/>
        <v/>
      </c>
      <c r="L161" t="e">
        <f t="shared" si="33"/>
        <v>#N/A</v>
      </c>
    </row>
    <row r="162" spans="6:12" x14ac:dyDescent="0.25">
      <c r="F162" t="str">
        <f t="shared" si="34"/>
        <v/>
      </c>
      <c r="G162" t="e">
        <f t="shared" ref="G162:G193" si="35">IF(ISBLANK(E162), NA(),SMALL(E$2:E$201,F162))</f>
        <v>#N/A</v>
      </c>
      <c r="H162" t="str">
        <f t="shared" ref="H162:H193" si="36">IF(ISBLANK(E162),"",NORMDIST(G162, $B$3, $B$4, TRUE))</f>
        <v/>
      </c>
      <c r="I162" t="str">
        <f t="shared" ref="I162:I193" si="37">IF(ISBLANK(E162), "", 1-H162)</f>
        <v/>
      </c>
      <c r="J162" t="str">
        <f t="shared" ref="J162:J193" si="38">IF(ISBLANK(E162),"",SMALL(I$2:I$201,F162))</f>
        <v/>
      </c>
      <c r="K162" t="str">
        <f t="shared" ref="K162:K193" si="39">IF(ISBLANK(E162),"",(2*F162-1)*(LN(H162)+LN(J162)))</f>
        <v/>
      </c>
      <c r="L162" t="e">
        <f t="shared" ref="L162:L193" si="40">IF(E162="",NA(),NORMSINV((F162-0.3)/($B$5+0.4)))</f>
        <v>#N/A</v>
      </c>
    </row>
    <row r="163" spans="6:12" x14ac:dyDescent="0.25">
      <c r="F163" t="str">
        <f t="shared" ref="F163:F194" si="41">IF(ISBLANK(E163),"",F162+1)</f>
        <v/>
      </c>
      <c r="G163" t="e">
        <f t="shared" si="35"/>
        <v>#N/A</v>
      </c>
      <c r="H163" t="str">
        <f t="shared" si="36"/>
        <v/>
      </c>
      <c r="I163" t="str">
        <f t="shared" si="37"/>
        <v/>
      </c>
      <c r="J163" t="str">
        <f t="shared" si="38"/>
        <v/>
      </c>
      <c r="K163" t="str">
        <f t="shared" si="39"/>
        <v/>
      </c>
      <c r="L163" t="e">
        <f t="shared" si="40"/>
        <v>#N/A</v>
      </c>
    </row>
    <row r="164" spans="6:12" x14ac:dyDescent="0.25">
      <c r="F164" t="str">
        <f t="shared" si="41"/>
        <v/>
      </c>
      <c r="G164" t="e">
        <f t="shared" si="35"/>
        <v>#N/A</v>
      </c>
      <c r="H164" t="str">
        <f t="shared" si="36"/>
        <v/>
      </c>
      <c r="I164" t="str">
        <f t="shared" si="37"/>
        <v/>
      </c>
      <c r="J164" t="str">
        <f t="shared" si="38"/>
        <v/>
      </c>
      <c r="K164" t="str">
        <f t="shared" si="39"/>
        <v/>
      </c>
      <c r="L164" t="e">
        <f t="shared" si="40"/>
        <v>#N/A</v>
      </c>
    </row>
    <row r="165" spans="6:12" x14ac:dyDescent="0.25">
      <c r="F165" t="str">
        <f t="shared" si="41"/>
        <v/>
      </c>
      <c r="G165" t="e">
        <f t="shared" si="35"/>
        <v>#N/A</v>
      </c>
      <c r="H165" t="str">
        <f t="shared" si="36"/>
        <v/>
      </c>
      <c r="I165" t="str">
        <f t="shared" si="37"/>
        <v/>
      </c>
      <c r="J165" t="str">
        <f t="shared" si="38"/>
        <v/>
      </c>
      <c r="K165" t="str">
        <f t="shared" si="39"/>
        <v/>
      </c>
      <c r="L165" t="e">
        <f t="shared" si="40"/>
        <v>#N/A</v>
      </c>
    </row>
    <row r="166" spans="6:12" x14ac:dyDescent="0.25">
      <c r="F166" t="str">
        <f t="shared" si="41"/>
        <v/>
      </c>
      <c r="G166" t="e">
        <f t="shared" si="35"/>
        <v>#N/A</v>
      </c>
      <c r="H166" t="str">
        <f t="shared" si="36"/>
        <v/>
      </c>
      <c r="I166" t="str">
        <f t="shared" si="37"/>
        <v/>
      </c>
      <c r="J166" t="str">
        <f t="shared" si="38"/>
        <v/>
      </c>
      <c r="K166" t="str">
        <f t="shared" si="39"/>
        <v/>
      </c>
      <c r="L166" t="e">
        <f t="shared" si="40"/>
        <v>#N/A</v>
      </c>
    </row>
    <row r="167" spans="6:12" x14ac:dyDescent="0.25">
      <c r="F167" t="str">
        <f t="shared" si="41"/>
        <v/>
      </c>
      <c r="G167" t="e">
        <f t="shared" si="35"/>
        <v>#N/A</v>
      </c>
      <c r="H167" t="str">
        <f t="shared" si="36"/>
        <v/>
      </c>
      <c r="I167" t="str">
        <f t="shared" si="37"/>
        <v/>
      </c>
      <c r="J167" t="str">
        <f t="shared" si="38"/>
        <v/>
      </c>
      <c r="K167" t="str">
        <f t="shared" si="39"/>
        <v/>
      </c>
      <c r="L167" t="e">
        <f t="shared" si="40"/>
        <v>#N/A</v>
      </c>
    </row>
    <row r="168" spans="6:12" x14ac:dyDescent="0.25">
      <c r="F168" t="str">
        <f t="shared" si="41"/>
        <v/>
      </c>
      <c r="G168" t="e">
        <f t="shared" si="35"/>
        <v>#N/A</v>
      </c>
      <c r="H168" t="str">
        <f t="shared" si="36"/>
        <v/>
      </c>
      <c r="I168" t="str">
        <f t="shared" si="37"/>
        <v/>
      </c>
      <c r="J168" t="str">
        <f t="shared" si="38"/>
        <v/>
      </c>
      <c r="K168" t="str">
        <f t="shared" si="39"/>
        <v/>
      </c>
      <c r="L168" t="e">
        <f t="shared" si="40"/>
        <v>#N/A</v>
      </c>
    </row>
    <row r="169" spans="6:12" x14ac:dyDescent="0.25">
      <c r="F169" t="str">
        <f t="shared" si="41"/>
        <v/>
      </c>
      <c r="G169" t="e">
        <f t="shared" si="35"/>
        <v>#N/A</v>
      </c>
      <c r="H169" t="str">
        <f t="shared" si="36"/>
        <v/>
      </c>
      <c r="I169" t="str">
        <f t="shared" si="37"/>
        <v/>
      </c>
      <c r="J169" t="str">
        <f t="shared" si="38"/>
        <v/>
      </c>
      <c r="K169" t="str">
        <f t="shared" si="39"/>
        <v/>
      </c>
      <c r="L169" t="e">
        <f t="shared" si="40"/>
        <v>#N/A</v>
      </c>
    </row>
    <row r="170" spans="6:12" x14ac:dyDescent="0.25">
      <c r="F170" t="str">
        <f t="shared" si="41"/>
        <v/>
      </c>
      <c r="G170" t="e">
        <f t="shared" si="35"/>
        <v>#N/A</v>
      </c>
      <c r="H170" t="str">
        <f t="shared" si="36"/>
        <v/>
      </c>
      <c r="I170" t="str">
        <f t="shared" si="37"/>
        <v/>
      </c>
      <c r="J170" t="str">
        <f t="shared" si="38"/>
        <v/>
      </c>
      <c r="K170" t="str">
        <f t="shared" si="39"/>
        <v/>
      </c>
      <c r="L170" t="e">
        <f t="shared" si="40"/>
        <v>#N/A</v>
      </c>
    </row>
    <row r="171" spans="6:12" x14ac:dyDescent="0.25">
      <c r="F171" t="str">
        <f t="shared" si="41"/>
        <v/>
      </c>
      <c r="G171" t="e">
        <f t="shared" si="35"/>
        <v>#N/A</v>
      </c>
      <c r="H171" t="str">
        <f t="shared" si="36"/>
        <v/>
      </c>
      <c r="I171" t="str">
        <f t="shared" si="37"/>
        <v/>
      </c>
      <c r="J171" t="str">
        <f t="shared" si="38"/>
        <v/>
      </c>
      <c r="K171" t="str">
        <f t="shared" si="39"/>
        <v/>
      </c>
      <c r="L171" t="e">
        <f t="shared" si="40"/>
        <v>#N/A</v>
      </c>
    </row>
    <row r="172" spans="6:12" x14ac:dyDescent="0.25">
      <c r="F172" t="str">
        <f t="shared" si="41"/>
        <v/>
      </c>
      <c r="G172" t="e">
        <f t="shared" si="35"/>
        <v>#N/A</v>
      </c>
      <c r="H172" t="str">
        <f t="shared" si="36"/>
        <v/>
      </c>
      <c r="I172" t="str">
        <f t="shared" si="37"/>
        <v/>
      </c>
      <c r="J172" t="str">
        <f t="shared" si="38"/>
        <v/>
      </c>
      <c r="K172" t="str">
        <f t="shared" si="39"/>
        <v/>
      </c>
      <c r="L172" t="e">
        <f t="shared" si="40"/>
        <v>#N/A</v>
      </c>
    </row>
    <row r="173" spans="6:12" x14ac:dyDescent="0.25">
      <c r="F173" t="str">
        <f t="shared" si="41"/>
        <v/>
      </c>
      <c r="G173" t="e">
        <f t="shared" si="35"/>
        <v>#N/A</v>
      </c>
      <c r="H173" t="str">
        <f t="shared" si="36"/>
        <v/>
      </c>
      <c r="I173" t="str">
        <f t="shared" si="37"/>
        <v/>
      </c>
      <c r="J173" t="str">
        <f t="shared" si="38"/>
        <v/>
      </c>
      <c r="K173" t="str">
        <f t="shared" si="39"/>
        <v/>
      </c>
      <c r="L173" t="e">
        <f t="shared" si="40"/>
        <v>#N/A</v>
      </c>
    </row>
    <row r="174" spans="6:12" x14ac:dyDescent="0.25">
      <c r="F174" t="str">
        <f t="shared" si="41"/>
        <v/>
      </c>
      <c r="G174" t="e">
        <f t="shared" si="35"/>
        <v>#N/A</v>
      </c>
      <c r="H174" t="str">
        <f t="shared" si="36"/>
        <v/>
      </c>
      <c r="I174" t="str">
        <f t="shared" si="37"/>
        <v/>
      </c>
      <c r="J174" t="str">
        <f t="shared" si="38"/>
        <v/>
      </c>
      <c r="K174" t="str">
        <f t="shared" si="39"/>
        <v/>
      </c>
      <c r="L174" t="e">
        <f t="shared" si="40"/>
        <v>#N/A</v>
      </c>
    </row>
    <row r="175" spans="6:12" x14ac:dyDescent="0.25">
      <c r="F175" t="str">
        <f t="shared" si="41"/>
        <v/>
      </c>
      <c r="G175" t="e">
        <f t="shared" si="35"/>
        <v>#N/A</v>
      </c>
      <c r="H175" t="str">
        <f t="shared" si="36"/>
        <v/>
      </c>
      <c r="I175" t="str">
        <f t="shared" si="37"/>
        <v/>
      </c>
      <c r="J175" t="str">
        <f t="shared" si="38"/>
        <v/>
      </c>
      <c r="K175" t="str">
        <f t="shared" si="39"/>
        <v/>
      </c>
      <c r="L175" t="e">
        <f t="shared" si="40"/>
        <v>#N/A</v>
      </c>
    </row>
    <row r="176" spans="6:12" x14ac:dyDescent="0.25">
      <c r="F176" t="str">
        <f t="shared" si="41"/>
        <v/>
      </c>
      <c r="G176" t="e">
        <f t="shared" si="35"/>
        <v>#N/A</v>
      </c>
      <c r="H176" t="str">
        <f t="shared" si="36"/>
        <v/>
      </c>
      <c r="I176" t="str">
        <f t="shared" si="37"/>
        <v/>
      </c>
      <c r="J176" t="str">
        <f t="shared" si="38"/>
        <v/>
      </c>
      <c r="K176" t="str">
        <f t="shared" si="39"/>
        <v/>
      </c>
      <c r="L176" t="e">
        <f t="shared" si="40"/>
        <v>#N/A</v>
      </c>
    </row>
    <row r="177" spans="6:12" x14ac:dyDescent="0.25">
      <c r="F177" t="str">
        <f t="shared" si="41"/>
        <v/>
      </c>
      <c r="G177" t="e">
        <f t="shared" si="35"/>
        <v>#N/A</v>
      </c>
      <c r="H177" t="str">
        <f t="shared" si="36"/>
        <v/>
      </c>
      <c r="I177" t="str">
        <f t="shared" si="37"/>
        <v/>
      </c>
      <c r="J177" t="str">
        <f t="shared" si="38"/>
        <v/>
      </c>
      <c r="K177" t="str">
        <f t="shared" si="39"/>
        <v/>
      </c>
      <c r="L177" t="e">
        <f t="shared" si="40"/>
        <v>#N/A</v>
      </c>
    </row>
    <row r="178" spans="6:12" x14ac:dyDescent="0.25">
      <c r="F178" t="str">
        <f t="shared" si="41"/>
        <v/>
      </c>
      <c r="G178" t="e">
        <f t="shared" si="35"/>
        <v>#N/A</v>
      </c>
      <c r="H178" t="str">
        <f t="shared" si="36"/>
        <v/>
      </c>
      <c r="I178" t="str">
        <f t="shared" si="37"/>
        <v/>
      </c>
      <c r="J178" t="str">
        <f t="shared" si="38"/>
        <v/>
      </c>
      <c r="K178" t="str">
        <f t="shared" si="39"/>
        <v/>
      </c>
      <c r="L178" t="e">
        <f t="shared" si="40"/>
        <v>#N/A</v>
      </c>
    </row>
    <row r="179" spans="6:12" x14ac:dyDescent="0.25">
      <c r="F179" t="str">
        <f t="shared" si="41"/>
        <v/>
      </c>
      <c r="G179" t="e">
        <f t="shared" si="35"/>
        <v>#N/A</v>
      </c>
      <c r="H179" t="str">
        <f t="shared" si="36"/>
        <v/>
      </c>
      <c r="I179" t="str">
        <f t="shared" si="37"/>
        <v/>
      </c>
      <c r="J179" t="str">
        <f t="shared" si="38"/>
        <v/>
      </c>
      <c r="K179" t="str">
        <f t="shared" si="39"/>
        <v/>
      </c>
      <c r="L179" t="e">
        <f t="shared" si="40"/>
        <v>#N/A</v>
      </c>
    </row>
    <row r="180" spans="6:12" x14ac:dyDescent="0.25">
      <c r="F180" t="str">
        <f t="shared" si="41"/>
        <v/>
      </c>
      <c r="G180" t="e">
        <f t="shared" si="35"/>
        <v>#N/A</v>
      </c>
      <c r="H180" t="str">
        <f t="shared" si="36"/>
        <v/>
      </c>
      <c r="I180" t="str">
        <f t="shared" si="37"/>
        <v/>
      </c>
      <c r="J180" t="str">
        <f t="shared" si="38"/>
        <v/>
      </c>
      <c r="K180" t="str">
        <f t="shared" si="39"/>
        <v/>
      </c>
      <c r="L180" t="e">
        <f t="shared" si="40"/>
        <v>#N/A</v>
      </c>
    </row>
    <row r="181" spans="6:12" x14ac:dyDescent="0.25">
      <c r="F181" t="str">
        <f t="shared" si="41"/>
        <v/>
      </c>
      <c r="G181" t="e">
        <f t="shared" si="35"/>
        <v>#N/A</v>
      </c>
      <c r="H181" t="str">
        <f t="shared" si="36"/>
        <v/>
      </c>
      <c r="I181" t="str">
        <f t="shared" si="37"/>
        <v/>
      </c>
      <c r="J181" t="str">
        <f t="shared" si="38"/>
        <v/>
      </c>
      <c r="K181" t="str">
        <f t="shared" si="39"/>
        <v/>
      </c>
      <c r="L181" t="e">
        <f t="shared" si="40"/>
        <v>#N/A</v>
      </c>
    </row>
    <row r="182" spans="6:12" x14ac:dyDescent="0.25">
      <c r="F182" t="str">
        <f t="shared" si="41"/>
        <v/>
      </c>
      <c r="G182" t="e">
        <f t="shared" si="35"/>
        <v>#N/A</v>
      </c>
      <c r="H182" t="str">
        <f t="shared" si="36"/>
        <v/>
      </c>
      <c r="I182" t="str">
        <f t="shared" si="37"/>
        <v/>
      </c>
      <c r="J182" t="str">
        <f t="shared" si="38"/>
        <v/>
      </c>
      <c r="K182" t="str">
        <f t="shared" si="39"/>
        <v/>
      </c>
      <c r="L182" t="e">
        <f t="shared" si="40"/>
        <v>#N/A</v>
      </c>
    </row>
    <row r="183" spans="6:12" x14ac:dyDescent="0.25">
      <c r="F183" t="str">
        <f t="shared" si="41"/>
        <v/>
      </c>
      <c r="G183" t="e">
        <f t="shared" si="35"/>
        <v>#N/A</v>
      </c>
      <c r="H183" t="str">
        <f t="shared" si="36"/>
        <v/>
      </c>
      <c r="I183" t="str">
        <f t="shared" si="37"/>
        <v/>
      </c>
      <c r="J183" t="str">
        <f t="shared" si="38"/>
        <v/>
      </c>
      <c r="K183" t="str">
        <f t="shared" si="39"/>
        <v/>
      </c>
      <c r="L183" t="e">
        <f t="shared" si="40"/>
        <v>#N/A</v>
      </c>
    </row>
    <row r="184" spans="6:12" x14ac:dyDescent="0.25">
      <c r="F184" t="str">
        <f t="shared" si="41"/>
        <v/>
      </c>
      <c r="G184" t="e">
        <f t="shared" si="35"/>
        <v>#N/A</v>
      </c>
      <c r="H184" t="str">
        <f t="shared" si="36"/>
        <v/>
      </c>
      <c r="I184" t="str">
        <f t="shared" si="37"/>
        <v/>
      </c>
      <c r="J184" t="str">
        <f t="shared" si="38"/>
        <v/>
      </c>
      <c r="K184" t="str">
        <f t="shared" si="39"/>
        <v/>
      </c>
      <c r="L184" t="e">
        <f t="shared" si="40"/>
        <v>#N/A</v>
      </c>
    </row>
    <row r="185" spans="6:12" x14ac:dyDescent="0.25">
      <c r="F185" t="str">
        <f t="shared" si="41"/>
        <v/>
      </c>
      <c r="G185" t="e">
        <f t="shared" si="35"/>
        <v>#N/A</v>
      </c>
      <c r="H185" t="str">
        <f t="shared" si="36"/>
        <v/>
      </c>
      <c r="I185" t="str">
        <f t="shared" si="37"/>
        <v/>
      </c>
      <c r="J185" t="str">
        <f t="shared" si="38"/>
        <v/>
      </c>
      <c r="K185" t="str">
        <f t="shared" si="39"/>
        <v/>
      </c>
      <c r="L185" t="e">
        <f t="shared" si="40"/>
        <v>#N/A</v>
      </c>
    </row>
    <row r="186" spans="6:12" x14ac:dyDescent="0.25">
      <c r="F186" t="str">
        <f t="shared" si="41"/>
        <v/>
      </c>
      <c r="G186" t="e">
        <f t="shared" si="35"/>
        <v>#N/A</v>
      </c>
      <c r="H186" t="str">
        <f t="shared" si="36"/>
        <v/>
      </c>
      <c r="I186" t="str">
        <f t="shared" si="37"/>
        <v/>
      </c>
      <c r="J186" t="str">
        <f t="shared" si="38"/>
        <v/>
      </c>
      <c r="K186" t="str">
        <f t="shared" si="39"/>
        <v/>
      </c>
      <c r="L186" t="e">
        <f t="shared" si="40"/>
        <v>#N/A</v>
      </c>
    </row>
    <row r="187" spans="6:12" x14ac:dyDescent="0.25">
      <c r="F187" t="str">
        <f t="shared" si="41"/>
        <v/>
      </c>
      <c r="G187" t="e">
        <f t="shared" si="35"/>
        <v>#N/A</v>
      </c>
      <c r="H187" t="str">
        <f t="shared" si="36"/>
        <v/>
      </c>
      <c r="I187" t="str">
        <f t="shared" si="37"/>
        <v/>
      </c>
      <c r="J187" t="str">
        <f t="shared" si="38"/>
        <v/>
      </c>
      <c r="K187" t="str">
        <f t="shared" si="39"/>
        <v/>
      </c>
      <c r="L187" t="e">
        <f t="shared" si="40"/>
        <v>#N/A</v>
      </c>
    </row>
    <row r="188" spans="6:12" x14ac:dyDescent="0.25">
      <c r="F188" t="str">
        <f t="shared" si="41"/>
        <v/>
      </c>
      <c r="G188" t="e">
        <f t="shared" si="35"/>
        <v>#N/A</v>
      </c>
      <c r="H188" t="str">
        <f t="shared" si="36"/>
        <v/>
      </c>
      <c r="I188" t="str">
        <f t="shared" si="37"/>
        <v/>
      </c>
      <c r="J188" t="str">
        <f t="shared" si="38"/>
        <v/>
      </c>
      <c r="K188" t="str">
        <f t="shared" si="39"/>
        <v/>
      </c>
      <c r="L188" t="e">
        <f t="shared" si="40"/>
        <v>#N/A</v>
      </c>
    </row>
    <row r="189" spans="6:12" x14ac:dyDescent="0.25">
      <c r="F189" t="str">
        <f t="shared" si="41"/>
        <v/>
      </c>
      <c r="G189" t="e">
        <f t="shared" si="35"/>
        <v>#N/A</v>
      </c>
      <c r="H189" t="str">
        <f t="shared" si="36"/>
        <v/>
      </c>
      <c r="I189" t="str">
        <f t="shared" si="37"/>
        <v/>
      </c>
      <c r="J189" t="str">
        <f t="shared" si="38"/>
        <v/>
      </c>
      <c r="K189" t="str">
        <f t="shared" si="39"/>
        <v/>
      </c>
      <c r="L189" t="e">
        <f t="shared" si="40"/>
        <v>#N/A</v>
      </c>
    </row>
    <row r="190" spans="6:12" x14ac:dyDescent="0.25">
      <c r="F190" t="str">
        <f t="shared" si="41"/>
        <v/>
      </c>
      <c r="G190" t="e">
        <f t="shared" si="35"/>
        <v>#N/A</v>
      </c>
      <c r="H190" t="str">
        <f t="shared" si="36"/>
        <v/>
      </c>
      <c r="I190" t="str">
        <f t="shared" si="37"/>
        <v/>
      </c>
      <c r="J190" t="str">
        <f t="shared" si="38"/>
        <v/>
      </c>
      <c r="K190" t="str">
        <f t="shared" si="39"/>
        <v/>
      </c>
      <c r="L190" t="e">
        <f t="shared" si="40"/>
        <v>#N/A</v>
      </c>
    </row>
    <row r="191" spans="6:12" x14ac:dyDescent="0.25">
      <c r="F191" t="str">
        <f t="shared" si="41"/>
        <v/>
      </c>
      <c r="G191" t="e">
        <f t="shared" si="35"/>
        <v>#N/A</v>
      </c>
      <c r="H191" t="str">
        <f t="shared" si="36"/>
        <v/>
      </c>
      <c r="I191" t="str">
        <f t="shared" si="37"/>
        <v/>
      </c>
      <c r="J191" t="str">
        <f t="shared" si="38"/>
        <v/>
      </c>
      <c r="K191" t="str">
        <f t="shared" si="39"/>
        <v/>
      </c>
      <c r="L191" t="e">
        <f t="shared" si="40"/>
        <v>#N/A</v>
      </c>
    </row>
    <row r="192" spans="6:12" x14ac:dyDescent="0.25">
      <c r="F192" t="str">
        <f t="shared" si="41"/>
        <v/>
      </c>
      <c r="G192" t="e">
        <f t="shared" si="35"/>
        <v>#N/A</v>
      </c>
      <c r="H192" t="str">
        <f t="shared" si="36"/>
        <v/>
      </c>
      <c r="I192" t="str">
        <f t="shared" si="37"/>
        <v/>
      </c>
      <c r="J192" t="str">
        <f t="shared" si="38"/>
        <v/>
      </c>
      <c r="K192" t="str">
        <f t="shared" si="39"/>
        <v/>
      </c>
      <c r="L192" t="e">
        <f t="shared" si="40"/>
        <v>#N/A</v>
      </c>
    </row>
    <row r="193" spans="6:12" x14ac:dyDescent="0.25">
      <c r="F193" t="str">
        <f t="shared" si="41"/>
        <v/>
      </c>
      <c r="G193" t="e">
        <f t="shared" si="35"/>
        <v>#N/A</v>
      </c>
      <c r="H193" t="str">
        <f t="shared" si="36"/>
        <v/>
      </c>
      <c r="I193" t="str">
        <f t="shared" si="37"/>
        <v/>
      </c>
      <c r="J193" t="str">
        <f t="shared" si="38"/>
        <v/>
      </c>
      <c r="K193" t="str">
        <f t="shared" si="39"/>
        <v/>
      </c>
      <c r="L193" t="e">
        <f t="shared" si="40"/>
        <v>#N/A</v>
      </c>
    </row>
    <row r="194" spans="6:12" x14ac:dyDescent="0.25">
      <c r="F194" t="str">
        <f t="shared" si="41"/>
        <v/>
      </c>
      <c r="G194" t="e">
        <f t="shared" ref="G194:G201" si="42">IF(ISBLANK(E194), NA(),SMALL(E$2:E$201,F194))</f>
        <v>#N/A</v>
      </c>
      <c r="H194" t="str">
        <f t="shared" ref="H194:H201" si="43">IF(ISBLANK(E194),"",NORMDIST(G194, $B$3, $B$4, TRUE))</f>
        <v/>
      </c>
      <c r="I194" t="str">
        <f t="shared" ref="I194:I201" si="44">IF(ISBLANK(E194), "", 1-H194)</f>
        <v/>
      </c>
      <c r="J194" t="str">
        <f t="shared" ref="J194:J201" si="45">IF(ISBLANK(E194),"",SMALL(I$2:I$201,F194))</f>
        <v/>
      </c>
      <c r="K194" t="str">
        <f t="shared" ref="K194:K201" si="46">IF(ISBLANK(E194),"",(2*F194-1)*(LN(H194)+LN(J194)))</f>
        <v/>
      </c>
      <c r="L194" t="e">
        <f t="shared" ref="L194:L201" si="47">IF(E194="",NA(),NORMSINV((F194-0.3)/($B$5+0.4)))</f>
        <v>#N/A</v>
      </c>
    </row>
    <row r="195" spans="6:12" x14ac:dyDescent="0.25">
      <c r="F195" t="str">
        <f t="shared" ref="F195:F201" si="48">IF(ISBLANK(E195),"",F194+1)</f>
        <v/>
      </c>
      <c r="G195" t="e">
        <f t="shared" si="42"/>
        <v>#N/A</v>
      </c>
      <c r="H195" t="str">
        <f t="shared" si="43"/>
        <v/>
      </c>
      <c r="I195" t="str">
        <f t="shared" si="44"/>
        <v/>
      </c>
      <c r="J195" t="str">
        <f t="shared" si="45"/>
        <v/>
      </c>
      <c r="K195" t="str">
        <f t="shared" si="46"/>
        <v/>
      </c>
      <c r="L195" t="e">
        <f t="shared" si="47"/>
        <v>#N/A</v>
      </c>
    </row>
    <row r="196" spans="6:12" x14ac:dyDescent="0.25">
      <c r="F196" t="str">
        <f t="shared" si="48"/>
        <v/>
      </c>
      <c r="G196" t="e">
        <f t="shared" si="42"/>
        <v>#N/A</v>
      </c>
      <c r="H196" t="str">
        <f t="shared" si="43"/>
        <v/>
      </c>
      <c r="I196" t="str">
        <f t="shared" si="44"/>
        <v/>
      </c>
      <c r="J196" t="str">
        <f t="shared" si="45"/>
        <v/>
      </c>
      <c r="K196" t="str">
        <f t="shared" si="46"/>
        <v/>
      </c>
      <c r="L196" t="e">
        <f t="shared" si="47"/>
        <v>#N/A</v>
      </c>
    </row>
    <row r="197" spans="6:12" x14ac:dyDescent="0.25">
      <c r="F197" t="str">
        <f t="shared" si="48"/>
        <v/>
      </c>
      <c r="G197" t="e">
        <f t="shared" si="42"/>
        <v>#N/A</v>
      </c>
      <c r="H197" t="str">
        <f t="shared" si="43"/>
        <v/>
      </c>
      <c r="I197" t="str">
        <f t="shared" si="44"/>
        <v/>
      </c>
      <c r="J197" t="str">
        <f t="shared" si="45"/>
        <v/>
      </c>
      <c r="K197" t="str">
        <f t="shared" si="46"/>
        <v/>
      </c>
      <c r="L197" t="e">
        <f t="shared" si="47"/>
        <v>#N/A</v>
      </c>
    </row>
    <row r="198" spans="6:12" x14ac:dyDescent="0.25">
      <c r="F198" t="str">
        <f t="shared" si="48"/>
        <v/>
      </c>
      <c r="G198" t="e">
        <f t="shared" si="42"/>
        <v>#N/A</v>
      </c>
      <c r="H198" t="str">
        <f t="shared" si="43"/>
        <v/>
      </c>
      <c r="I198" t="str">
        <f t="shared" si="44"/>
        <v/>
      </c>
      <c r="J198" t="str">
        <f t="shared" si="45"/>
        <v/>
      </c>
      <c r="K198" t="str">
        <f t="shared" si="46"/>
        <v/>
      </c>
      <c r="L198" t="e">
        <f t="shared" si="47"/>
        <v>#N/A</v>
      </c>
    </row>
    <row r="199" spans="6:12" x14ac:dyDescent="0.25">
      <c r="F199" t="str">
        <f t="shared" si="48"/>
        <v/>
      </c>
      <c r="G199" t="e">
        <f t="shared" si="42"/>
        <v>#N/A</v>
      </c>
      <c r="H199" t="str">
        <f t="shared" si="43"/>
        <v/>
      </c>
      <c r="I199" t="str">
        <f t="shared" si="44"/>
        <v/>
      </c>
      <c r="J199" t="str">
        <f t="shared" si="45"/>
        <v/>
      </c>
      <c r="K199" t="str">
        <f t="shared" si="46"/>
        <v/>
      </c>
      <c r="L199" t="e">
        <f t="shared" si="47"/>
        <v>#N/A</v>
      </c>
    </row>
    <row r="200" spans="6:12" x14ac:dyDescent="0.25">
      <c r="F200" t="str">
        <f t="shared" si="48"/>
        <v/>
      </c>
      <c r="G200" t="e">
        <f t="shared" si="42"/>
        <v>#N/A</v>
      </c>
      <c r="H200" t="str">
        <f t="shared" si="43"/>
        <v/>
      </c>
      <c r="I200" t="str">
        <f t="shared" si="44"/>
        <v/>
      </c>
      <c r="J200" t="str">
        <f t="shared" si="45"/>
        <v/>
      </c>
      <c r="K200" t="str">
        <f t="shared" si="46"/>
        <v/>
      </c>
      <c r="L200" t="e">
        <f t="shared" si="47"/>
        <v>#N/A</v>
      </c>
    </row>
    <row r="201" spans="6:12" x14ac:dyDescent="0.25">
      <c r="F201" t="str">
        <f t="shared" si="48"/>
        <v/>
      </c>
      <c r="G201" t="e">
        <f t="shared" si="42"/>
        <v>#N/A</v>
      </c>
      <c r="H201" t="str">
        <f t="shared" si="43"/>
        <v/>
      </c>
      <c r="I201" t="str">
        <f t="shared" si="44"/>
        <v/>
      </c>
      <c r="J201" t="str">
        <f t="shared" si="45"/>
        <v/>
      </c>
      <c r="K201" t="str">
        <f t="shared" si="46"/>
        <v/>
      </c>
      <c r="L201" t="e">
        <f t="shared" si="47"/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4"/>
  <sheetViews>
    <sheetView showGridLines="0" zoomScale="90" workbookViewId="0"/>
  </sheetViews>
  <sheetFormatPr defaultColWidth="0" defaultRowHeight="15" zeroHeight="1" x14ac:dyDescent="0.25"/>
  <cols>
    <col min="1" max="1" width="9.42578125" style="23" bestFit="1" customWidth="1"/>
    <col min="2" max="3" width="9.140625" style="23" customWidth="1"/>
    <col min="4" max="4" width="11.85546875" style="23" customWidth="1"/>
    <col min="5" max="5" width="11.85546875" style="23" bestFit="1" customWidth="1"/>
    <col min="6" max="6" width="12.5703125" style="23" customWidth="1"/>
    <col min="7" max="7" width="13.85546875" style="23" customWidth="1"/>
    <col min="8" max="9" width="11" style="23" customWidth="1"/>
    <col min="10" max="10" width="11.28515625" style="23" customWidth="1"/>
    <col min="11" max="11" width="16.5703125" style="23" customWidth="1"/>
    <col min="12" max="12" width="17.28515625" style="23" customWidth="1"/>
    <col min="13" max="13" width="15.5703125" style="23" customWidth="1"/>
    <col min="14" max="14" width="9.140625" style="23" customWidth="1"/>
    <col min="15" max="16384" width="0" style="23" hidden="1"/>
  </cols>
  <sheetData>
    <row r="1" spans="1:13" x14ac:dyDescent="0.25"/>
    <row r="2" spans="1:13" x14ac:dyDescent="0.25">
      <c r="C2" s="43" t="s">
        <v>59</v>
      </c>
    </row>
    <row r="3" spans="1:13" x14ac:dyDescent="0.25">
      <c r="C3" s="43" t="s">
        <v>58</v>
      </c>
    </row>
    <row r="4" spans="1:13" x14ac:dyDescent="0.25"/>
    <row r="5" spans="1:13" ht="60" x14ac:dyDescent="0.25">
      <c r="A5" s="57" t="s">
        <v>54</v>
      </c>
      <c r="B5" s="57" t="s">
        <v>57</v>
      </c>
      <c r="C5" s="57" t="s">
        <v>56</v>
      </c>
      <c r="D5" s="57" t="s">
        <v>51</v>
      </c>
      <c r="E5" s="57" t="s">
        <v>50</v>
      </c>
      <c r="F5" s="57" t="s">
        <v>49</v>
      </c>
      <c r="G5" s="57" t="s">
        <v>48</v>
      </c>
      <c r="H5" s="57" t="s">
        <v>47</v>
      </c>
      <c r="I5" s="57" t="s">
        <v>46</v>
      </c>
      <c r="J5" s="57" t="s">
        <v>45</v>
      </c>
      <c r="K5" s="57" t="s">
        <v>44</v>
      </c>
      <c r="L5" s="57" t="s">
        <v>43</v>
      </c>
      <c r="M5" s="57" t="s">
        <v>42</v>
      </c>
    </row>
    <row r="6" spans="1:13" x14ac:dyDescent="0.25">
      <c r="A6" s="41" t="s">
        <v>55</v>
      </c>
      <c r="B6" s="77">
        <v>5.5E-2</v>
      </c>
      <c r="C6" s="77">
        <v>8.5000000000000006E-2</v>
      </c>
      <c r="D6" s="78">
        <v>800</v>
      </c>
      <c r="E6" s="78">
        <v>500</v>
      </c>
      <c r="F6" s="32">
        <f>((B6*D6)+(C6*E6))/(D6+E6)</f>
        <v>6.6538461538461532E-2</v>
      </c>
      <c r="G6" s="31">
        <f>(F6*(1-F6)*((1/D6)+(1/E6)))^(1/2)</f>
        <v>1.4207781589407536E-2</v>
      </c>
      <c r="H6" s="30">
        <f>ABS((C6-B6)/G6)</f>
        <v>2.1115189455309613</v>
      </c>
      <c r="I6" s="79">
        <v>0.98260000000000003</v>
      </c>
      <c r="J6" s="30">
        <f>(1-I6)*2</f>
        <v>3.4799999999999942E-2</v>
      </c>
      <c r="K6" s="30" t="str">
        <f>IF(J6&lt;0.01,"Reject Null","Accept Null")</f>
        <v>Accept Null</v>
      </c>
      <c r="L6" s="30" t="str">
        <f>IF(J6&lt;0.05,"Reject Null","Accept Null")</f>
        <v>Reject Null</v>
      </c>
      <c r="M6" s="30" t="str">
        <f>IF(J6&lt;0.1,"Reject Null","Accept Null")</f>
        <v>Reject Null</v>
      </c>
    </row>
    <row r="7" spans="1:13" hidden="1" x14ac:dyDescent="0.25">
      <c r="A7" s="41" t="s">
        <v>40</v>
      </c>
      <c r="B7" s="42">
        <v>0.59</v>
      </c>
      <c r="C7" s="42">
        <v>0.47</v>
      </c>
      <c r="D7" s="41">
        <v>470</v>
      </c>
      <c r="E7" s="41">
        <v>113</v>
      </c>
      <c r="F7" s="32">
        <f>((B7*D7)+(C7*E7))/(D7+E7)</f>
        <v>0.56674099485420248</v>
      </c>
      <c r="G7" s="31">
        <f>(F7*(1-F7)*((1/D7)+(1/E7)))^(1/2)</f>
        <v>5.1917316890178207E-2</v>
      </c>
      <c r="H7" s="30">
        <f>ABS((C7-B7)/G7)</f>
        <v>2.3113675202791879</v>
      </c>
      <c r="I7" s="30">
        <v>0.98958999999999997</v>
      </c>
      <c r="J7" s="30">
        <f>(1-I7)*2</f>
        <v>2.0820000000000061E-2</v>
      </c>
      <c r="K7" s="30" t="str">
        <f>IF(J7&lt;0.01,"Reject Null","Accept Null")</f>
        <v>Accept Null</v>
      </c>
      <c r="L7" s="30" t="str">
        <f>IF(J7&lt;0.05,"Reject Null","Accept Null")</f>
        <v>Reject Null</v>
      </c>
      <c r="M7" s="30" t="str">
        <f>IF(J7&lt;0.1,"Reject Null","Accept Null")</f>
        <v>Reject Null</v>
      </c>
    </row>
    <row r="8" spans="1:13" hidden="1" x14ac:dyDescent="0.25">
      <c r="A8" s="41" t="s">
        <v>39</v>
      </c>
      <c r="B8" s="42">
        <v>0.64</v>
      </c>
      <c r="C8" s="42">
        <v>0.69</v>
      </c>
      <c r="D8" s="41">
        <v>273</v>
      </c>
      <c r="E8" s="41">
        <v>45</v>
      </c>
      <c r="F8" s="32">
        <f>((B8*D8)+(C8*E8))/(D8+E8)</f>
        <v>0.64707547169811319</v>
      </c>
      <c r="G8" s="31">
        <f>(F8*(1-F8)*((1/D8)+(1/E8)))^(1/2)</f>
        <v>7.688548704883523E-2</v>
      </c>
      <c r="H8" s="30">
        <f>ABS((C8-B8)/G8)</f>
        <v>0.65031778973112986</v>
      </c>
      <c r="I8" s="30">
        <v>0.74226000000000003</v>
      </c>
      <c r="J8" s="30">
        <f>(1-I8)*2</f>
        <v>0.51547999999999994</v>
      </c>
      <c r="K8" s="30" t="str">
        <f>IF(J8&lt;0.01,"Reject Null","Accept Null")</f>
        <v>Accept Null</v>
      </c>
      <c r="L8" s="30" t="str">
        <f>IF(J8&lt;0.05,"Reject Null","Accept Null")</f>
        <v>Accept Null</v>
      </c>
      <c r="M8" s="30" t="str">
        <f>IF(J8&lt;0.1,"Reject Null","Accept Null")</f>
        <v>Accept Null</v>
      </c>
    </row>
    <row r="9" spans="1:13" hidden="1" x14ac:dyDescent="0.25">
      <c r="A9" s="41" t="s">
        <v>38</v>
      </c>
      <c r="B9" s="42">
        <v>0.86</v>
      </c>
      <c r="C9" s="42">
        <v>1</v>
      </c>
      <c r="D9" s="41">
        <v>64</v>
      </c>
      <c r="E9" s="41">
        <v>4</v>
      </c>
      <c r="F9" s="32">
        <f>((B9*D9)+(C9*E9))/(D9+E9)</f>
        <v>0.86823529411764699</v>
      </c>
      <c r="G9" s="31">
        <f>(F9*(1-F9)*((1/D9)+(1/E9)))^(1/2)</f>
        <v>0.17432221686898564</v>
      </c>
      <c r="H9" s="30">
        <f>ABS((C9-B9)/G9)</f>
        <v>0.80311048422025877</v>
      </c>
      <c r="I9" s="30">
        <v>0.78903999999999996</v>
      </c>
      <c r="J9" s="30">
        <f>(1-I9)*2</f>
        <v>0.42192000000000007</v>
      </c>
      <c r="K9" s="30" t="str">
        <f>IF(J9&lt;0.01,"Reject Null","Accept Null")</f>
        <v>Accept Null</v>
      </c>
      <c r="L9" s="30" t="str">
        <f>IF(J9&lt;0.05,"Reject Null","Accept Null")</f>
        <v>Accept Null</v>
      </c>
      <c r="M9" s="30" t="str">
        <f>IF(J9&lt;0.1,"Reject Null","Accept Null")</f>
        <v>Accept Null</v>
      </c>
    </row>
    <row r="10" spans="1:13" hidden="1" x14ac:dyDescent="0.25">
      <c r="I10" s="36"/>
      <c r="J10" s="36"/>
      <c r="K10" s="36"/>
      <c r="L10" s="36"/>
      <c r="M10" s="36"/>
    </row>
    <row r="11" spans="1:13" hidden="1" x14ac:dyDescent="0.25">
      <c r="I11" s="36"/>
      <c r="J11" s="36"/>
      <c r="K11" s="36"/>
      <c r="L11" s="36"/>
      <c r="M11" s="36"/>
    </row>
    <row r="12" spans="1:13" ht="60" hidden="1" x14ac:dyDescent="0.25">
      <c r="A12" s="35" t="s">
        <v>54</v>
      </c>
      <c r="B12" s="35" t="s">
        <v>53</v>
      </c>
      <c r="C12" s="35" t="s">
        <v>52</v>
      </c>
      <c r="D12" s="35" t="s">
        <v>51</v>
      </c>
      <c r="E12" s="35" t="s">
        <v>50</v>
      </c>
      <c r="F12" s="35" t="s">
        <v>49</v>
      </c>
      <c r="G12" s="35" t="s">
        <v>48</v>
      </c>
      <c r="H12" s="35" t="s">
        <v>47</v>
      </c>
      <c r="I12" s="35" t="s">
        <v>46</v>
      </c>
      <c r="J12" s="35" t="s">
        <v>45</v>
      </c>
      <c r="K12" s="35" t="s">
        <v>44</v>
      </c>
      <c r="L12" s="35" t="s">
        <v>43</v>
      </c>
      <c r="M12" s="35" t="s">
        <v>42</v>
      </c>
    </row>
    <row r="13" spans="1:13" hidden="1" x14ac:dyDescent="0.25">
      <c r="A13" s="41" t="s">
        <v>41</v>
      </c>
      <c r="B13" s="42">
        <v>0.44209702660406885</v>
      </c>
      <c r="C13" s="42">
        <v>0.34599999999999997</v>
      </c>
      <c r="D13" s="41">
        <v>1278</v>
      </c>
      <c r="E13" s="41">
        <v>500</v>
      </c>
      <c r="F13" s="32">
        <f>((B13*D13)+(C13*E13))/(D13+E13)</f>
        <v>0.41507311586051743</v>
      </c>
      <c r="G13" s="31">
        <f>(F13*(1-F13)*((1/D13)+(1/E13)))^(1/2)</f>
        <v>2.5991332384989577E-2</v>
      </c>
      <c r="H13" s="30">
        <f>ABS((C13-B13)/G13)</f>
        <v>3.6972720436435376</v>
      </c>
      <c r="I13" s="30">
        <v>0.99988999999999995</v>
      </c>
      <c r="J13" s="30">
        <f>(1-I13)*2</f>
        <v>2.20000000000109E-4</v>
      </c>
      <c r="K13" s="30" t="str">
        <f>IF(J13&lt;0.01,"Reject Null","Accept Null")</f>
        <v>Reject Null</v>
      </c>
      <c r="L13" s="30" t="str">
        <f>IF(J13&lt;0.05,"Reject Null","Accept Null")</f>
        <v>Reject Null</v>
      </c>
      <c r="M13" s="30" t="str">
        <f>IF(J13&lt;0.1,"Reject Null","Accept Null")</f>
        <v>Reject Null</v>
      </c>
    </row>
    <row r="14" spans="1:13" hidden="1" x14ac:dyDescent="0.25">
      <c r="A14" s="41" t="s">
        <v>40</v>
      </c>
      <c r="B14" s="42">
        <v>0.5714285714285714</v>
      </c>
      <c r="C14" s="42">
        <v>0.45</v>
      </c>
      <c r="D14" s="41">
        <v>280</v>
      </c>
      <c r="E14" s="41">
        <v>60</v>
      </c>
      <c r="F14" s="32">
        <f>((B14*D14)+(C14*E14))/(D14+E14)</f>
        <v>0.55000000000000004</v>
      </c>
      <c r="G14" s="31">
        <f>(F14*(1-F14)*((1/D14)+(1/E14)))^(1/2)</f>
        <v>7.0773784492766612E-2</v>
      </c>
      <c r="H14" s="30">
        <f>ABS((C14-B14)/G14)</f>
        <v>1.7157281089155536</v>
      </c>
      <c r="I14" s="30">
        <v>0.95689000000000002</v>
      </c>
      <c r="J14" s="30">
        <f>(1-I14)*2</f>
        <v>8.6219999999999963E-2</v>
      </c>
      <c r="K14" s="30" t="str">
        <f>IF(J14&lt;0.01,"Reject Null","Accept Null")</f>
        <v>Accept Null</v>
      </c>
      <c r="L14" s="30" t="str">
        <f>IF(J14&lt;0.05,"Reject Null","Accept Null")</f>
        <v>Accept Null</v>
      </c>
      <c r="M14" s="30" t="str">
        <f>IF(J14&lt;0.1,"Reject Null","Accept Null")</f>
        <v>Reject Null</v>
      </c>
    </row>
    <row r="15" spans="1:13" hidden="1" x14ac:dyDescent="0.25">
      <c r="A15" s="41" t="s">
        <v>39</v>
      </c>
      <c r="B15" s="42">
        <v>0.60406091370558368</v>
      </c>
      <c r="C15" s="42">
        <v>0.64</v>
      </c>
      <c r="D15" s="41">
        <v>197</v>
      </c>
      <c r="E15" s="41">
        <v>25</v>
      </c>
      <c r="F15" s="32">
        <f>((B15*D15)+(C15*E15))/(D15+E15)</f>
        <v>0.60810810810810811</v>
      </c>
      <c r="G15" s="31">
        <f>(F15*(1-F15)*((1/D15)+(1/E15)))^(1/2)</f>
        <v>0.10364465396494789</v>
      </c>
      <c r="H15" s="30">
        <f>ABS((C15-B15)/G15)</f>
        <v>0.34675291893560428</v>
      </c>
      <c r="I15" s="30">
        <v>0.63561000000000001</v>
      </c>
      <c r="J15" s="30">
        <f>(1-I15)*2</f>
        <v>0.72877999999999998</v>
      </c>
      <c r="K15" s="30" t="str">
        <f>IF(J15&lt;0.01,"Reject Null","Accept Null")</f>
        <v>Accept Null</v>
      </c>
      <c r="L15" s="30" t="str">
        <f>IF(J15&lt;0.05,"Reject Null","Accept Null")</f>
        <v>Accept Null</v>
      </c>
      <c r="M15" s="30" t="str">
        <f>IF(J15&lt;0.1,"Reject Null","Accept Null")</f>
        <v>Accept Null</v>
      </c>
    </row>
    <row r="16" spans="1:13" hidden="1" x14ac:dyDescent="0.25">
      <c r="A16" s="39" t="s">
        <v>38</v>
      </c>
      <c r="B16" s="40">
        <v>0.8214285714285714</v>
      </c>
      <c r="C16" s="40">
        <v>0</v>
      </c>
      <c r="D16" s="39">
        <v>28</v>
      </c>
      <c r="E16" s="39">
        <v>0</v>
      </c>
      <c r="F16" s="27">
        <f>((B16*D16)+(C16*E16))/(D16+E16)</f>
        <v>0.8214285714285714</v>
      </c>
      <c r="G16" s="26" t="e">
        <f>(F16*(1-F16)*((1/D16)+(1/E16)))^(1/2)</f>
        <v>#DIV/0!</v>
      </c>
      <c r="H16" s="25" t="e">
        <f>ABS((C16-B16)/G16)</f>
        <v>#DIV/0!</v>
      </c>
      <c r="I16" s="25">
        <v>0</v>
      </c>
      <c r="J16" s="25">
        <f>(1-I16)*2</f>
        <v>2</v>
      </c>
      <c r="K16" s="25" t="str">
        <f>IF(J16&lt;0.01,"Reject Null","Accept Null")</f>
        <v>Accept Null</v>
      </c>
      <c r="L16" s="25" t="str">
        <f>IF(J16&lt;0.05,"Reject Null","Accept Null")</f>
        <v>Accept Null</v>
      </c>
      <c r="M16" s="25" t="str">
        <f>IF(J16&lt;0.1,"Reject Null","Accept Null")</f>
        <v>Accept Null</v>
      </c>
    </row>
    <row r="17" spans="1:13" hidden="1" x14ac:dyDescent="0.25">
      <c r="I17" s="36"/>
      <c r="J17" s="36"/>
      <c r="K17" s="36"/>
      <c r="L17" s="36"/>
      <c r="M17" s="36"/>
    </row>
    <row r="18" spans="1:13" hidden="1" x14ac:dyDescent="0.25">
      <c r="I18" s="36"/>
      <c r="J18" s="36"/>
      <c r="K18" s="36"/>
      <c r="L18" s="36"/>
      <c r="M18" s="36"/>
    </row>
    <row r="19" spans="1:13" ht="60" hidden="1" x14ac:dyDescent="0.25">
      <c r="A19" s="35" t="s">
        <v>54</v>
      </c>
      <c r="B19" s="35" t="s">
        <v>53</v>
      </c>
      <c r="C19" s="35" t="s">
        <v>52</v>
      </c>
      <c r="D19" s="35" t="s">
        <v>51</v>
      </c>
      <c r="E19" s="35" t="s">
        <v>50</v>
      </c>
      <c r="F19" s="35" t="s">
        <v>49</v>
      </c>
      <c r="G19" s="35" t="s">
        <v>48</v>
      </c>
      <c r="H19" s="35" t="s">
        <v>47</v>
      </c>
      <c r="I19" s="35" t="s">
        <v>46</v>
      </c>
      <c r="J19" s="35" t="s">
        <v>45</v>
      </c>
      <c r="K19" s="35" t="s">
        <v>44</v>
      </c>
      <c r="L19" s="35" t="s">
        <v>43</v>
      </c>
      <c r="M19" s="35" t="s">
        <v>42</v>
      </c>
    </row>
    <row r="20" spans="1:13" hidden="1" x14ac:dyDescent="0.25">
      <c r="A20" s="34" t="s">
        <v>41</v>
      </c>
      <c r="B20" s="38">
        <v>0.43991416309012876</v>
      </c>
      <c r="C20" s="38">
        <v>0.34601449275362317</v>
      </c>
      <c r="D20" s="34">
        <v>932</v>
      </c>
      <c r="E20" s="34">
        <v>552</v>
      </c>
      <c r="F20" s="32">
        <f>((B20*D20)+(C20*E20))/(D20+E20)</f>
        <v>0.40498652291105119</v>
      </c>
      <c r="G20" s="31">
        <f>(F20*(1-F20)*((1/D20)+(1/E20)))^(1/2)</f>
        <v>2.6364718719228648E-2</v>
      </c>
      <c r="H20" s="30">
        <f>ABS((C20-B20)/G20)</f>
        <v>3.5615654138582373</v>
      </c>
      <c r="I20" s="30">
        <v>0.99982000000000004</v>
      </c>
      <c r="J20" s="30">
        <f>(1-I20)*2</f>
        <v>3.5999999999991594E-4</v>
      </c>
      <c r="K20" s="30" t="str">
        <f>IF(J20&lt;0.01,"Reject Null","Accept Null")</f>
        <v>Reject Null</v>
      </c>
      <c r="L20" s="30" t="str">
        <f>IF(J20&lt;0.05,"Reject Null","Accept Null")</f>
        <v>Reject Null</v>
      </c>
      <c r="M20" s="30" t="str">
        <f>IF(J20&lt;0.1,"Reject Null","Accept Null")</f>
        <v>Reject Null</v>
      </c>
    </row>
    <row r="21" spans="1:13" hidden="1" x14ac:dyDescent="0.25">
      <c r="A21" s="34" t="s">
        <v>40</v>
      </c>
      <c r="B21" s="38">
        <v>0.63888888888888884</v>
      </c>
      <c r="C21" s="38">
        <v>0.62962962962962965</v>
      </c>
      <c r="D21" s="34">
        <v>144</v>
      </c>
      <c r="E21" s="34">
        <v>27</v>
      </c>
      <c r="F21" s="32">
        <f>((B21*D21)+(C21*E21))/(D21+E21)</f>
        <v>0.63742690058479534</v>
      </c>
      <c r="G21" s="31">
        <f>(F21*(1-F21)*((1/D21)+(1/E21)))^(1/2)</f>
        <v>0.10082028259112064</v>
      </c>
      <c r="H21" s="30">
        <f>ABS((C21-B21)/G21)</f>
        <v>9.1839251203156849E-2</v>
      </c>
      <c r="I21" s="30">
        <v>0.53659000000000001</v>
      </c>
      <c r="J21" s="30">
        <f>(1-I21)*2</f>
        <v>0.92681999999999998</v>
      </c>
      <c r="K21" s="30" t="str">
        <f>IF(J21&lt;0.01,"Reject Null","Accept Null")</f>
        <v>Accept Null</v>
      </c>
      <c r="L21" s="30" t="str">
        <f>IF(J21&lt;0.05,"Reject Null","Accept Null")</f>
        <v>Accept Null</v>
      </c>
      <c r="M21" s="30" t="str">
        <f>IF(J21&lt;0.1,"Reject Null","Accept Null")</f>
        <v>Accept Null</v>
      </c>
    </row>
    <row r="22" spans="1:13" hidden="1" x14ac:dyDescent="0.25">
      <c r="A22" s="34" t="s">
        <v>39</v>
      </c>
      <c r="B22" s="38">
        <v>0.86363636363636365</v>
      </c>
      <c r="C22" s="38">
        <v>0.71428571428571419</v>
      </c>
      <c r="D22" s="34">
        <v>22</v>
      </c>
      <c r="E22" s="34">
        <v>7</v>
      </c>
      <c r="F22" s="32">
        <f>((B22*D22)+(C22*E22))/(D22+E22)</f>
        <v>0.82758620689655171</v>
      </c>
      <c r="G22" s="31">
        <f>(F22*(1-F22)*((1/D22)+(1/E22)))^(1/2)</f>
        <v>0.16391974268554668</v>
      </c>
      <c r="H22" s="30">
        <f>ABS((C22-B22)/G22)</f>
        <v>0.9111205697604976</v>
      </c>
      <c r="I22" s="30">
        <v>0.81888000000000005</v>
      </c>
      <c r="J22" s="30">
        <f>(1-I22)*2</f>
        <v>0.3622399999999999</v>
      </c>
      <c r="K22" s="30" t="str">
        <f>IF(J22&lt;0.01,"Reject Null","Accept Null")</f>
        <v>Accept Null</v>
      </c>
      <c r="L22" s="30" t="str">
        <f>IF(J22&lt;0.05,"Reject Null","Accept Null")</f>
        <v>Accept Null</v>
      </c>
      <c r="M22" s="30" t="str">
        <f>IF(J22&lt;0.1,"Reject Null","Accept Null")</f>
        <v>Accept Null</v>
      </c>
    </row>
    <row r="23" spans="1:13" hidden="1" x14ac:dyDescent="0.25">
      <c r="A23" s="29" t="s">
        <v>38</v>
      </c>
      <c r="B23" s="37">
        <v>1</v>
      </c>
      <c r="C23" s="37">
        <v>0</v>
      </c>
      <c r="D23" s="29">
        <v>8</v>
      </c>
      <c r="E23" s="29">
        <v>0</v>
      </c>
      <c r="F23" s="27">
        <f>((B23*D23)+(C23*E23))/(D23+E23)</f>
        <v>1</v>
      </c>
      <c r="G23" s="26" t="e">
        <f>(F23*(1-F23)*((1/D23)+(1/E23)))^(1/2)</f>
        <v>#DIV/0!</v>
      </c>
      <c r="H23" s="25" t="e">
        <f>ABS((C23-B23)/G23)</f>
        <v>#DIV/0!</v>
      </c>
      <c r="I23" s="25">
        <v>0</v>
      </c>
      <c r="J23" s="25">
        <f>(1-I23)*2</f>
        <v>2</v>
      </c>
      <c r="K23" s="25" t="str">
        <f>IF(J23&lt;0.01,"Reject Null","Accept Null")</f>
        <v>Accept Null</v>
      </c>
      <c r="L23" s="25" t="str">
        <f>IF(J23&lt;0.05,"Reject Null","Accept Null")</f>
        <v>Accept Null</v>
      </c>
      <c r="M23" s="25" t="str">
        <f>IF(J23&lt;0.1,"Reject Null","Accept Null")</f>
        <v>Accept Null</v>
      </c>
    </row>
    <row r="24" spans="1:13" hidden="1" x14ac:dyDescent="0.25">
      <c r="I24" s="36"/>
      <c r="J24" s="36"/>
      <c r="K24" s="36"/>
      <c r="L24" s="36"/>
      <c r="M24" s="36"/>
    </row>
    <row r="25" spans="1:13" hidden="1" x14ac:dyDescent="0.25">
      <c r="I25" s="36"/>
      <c r="J25" s="36"/>
      <c r="K25" s="36"/>
      <c r="L25" s="36"/>
      <c r="M25" s="36"/>
    </row>
    <row r="26" spans="1:13" ht="60" hidden="1" x14ac:dyDescent="0.25">
      <c r="A26" s="35" t="s">
        <v>54</v>
      </c>
      <c r="B26" s="35" t="s">
        <v>53</v>
      </c>
      <c r="C26" s="35" t="s">
        <v>52</v>
      </c>
      <c r="D26" s="35" t="s">
        <v>51</v>
      </c>
      <c r="E26" s="35" t="s">
        <v>50</v>
      </c>
      <c r="F26" s="35" t="s">
        <v>49</v>
      </c>
      <c r="G26" s="35" t="s">
        <v>48</v>
      </c>
      <c r="H26" s="35" t="s">
        <v>47</v>
      </c>
      <c r="I26" s="35" t="s">
        <v>46</v>
      </c>
      <c r="J26" s="35" t="s">
        <v>45</v>
      </c>
      <c r="K26" s="35" t="s">
        <v>44</v>
      </c>
      <c r="L26" s="35" t="s">
        <v>43</v>
      </c>
      <c r="M26" s="35" t="s">
        <v>42</v>
      </c>
    </row>
    <row r="27" spans="1:13" hidden="1" x14ac:dyDescent="0.25">
      <c r="A27" s="34" t="s">
        <v>41</v>
      </c>
      <c r="B27" s="38">
        <v>0.51020408163265307</v>
      </c>
      <c r="C27" s="38">
        <v>0.26666666666666666</v>
      </c>
      <c r="D27" s="34">
        <v>98</v>
      </c>
      <c r="E27" s="34">
        <v>30</v>
      </c>
      <c r="F27" s="32">
        <f>((B27*D27)+(C27*E27))/(D27+E27)</f>
        <v>0.453125</v>
      </c>
      <c r="G27" s="31">
        <f>(F27*(1-F27)*((1/D27)+(1/E27)))^(1/2)</f>
        <v>0.10386862122985208</v>
      </c>
      <c r="H27" s="30">
        <f>ABS((C27-B27)/G27)</f>
        <v>2.3446678321363259</v>
      </c>
      <c r="I27" s="30">
        <v>0.99048000000000003</v>
      </c>
      <c r="J27" s="30">
        <f>(1-I27)*2</f>
        <v>1.9039999999999946E-2</v>
      </c>
      <c r="K27" s="30" t="str">
        <f>IF(J27&lt;0.01,"Reject Null","Accept Null")</f>
        <v>Accept Null</v>
      </c>
      <c r="L27" s="30" t="str">
        <f>IF(J27&lt;0.05,"Reject Null","Accept Null")</f>
        <v>Reject Null</v>
      </c>
      <c r="M27" s="30" t="str">
        <f>IF(J27&lt;0.1,"Reject Null","Accept Null")</f>
        <v>Reject Null</v>
      </c>
    </row>
    <row r="28" spans="1:13" hidden="1" x14ac:dyDescent="0.25">
      <c r="A28" s="34" t="s">
        <v>40</v>
      </c>
      <c r="B28" s="38">
        <v>0.58333333333333337</v>
      </c>
      <c r="C28" s="38">
        <v>0.14285714285714285</v>
      </c>
      <c r="D28" s="34">
        <v>12</v>
      </c>
      <c r="E28" s="34">
        <v>7</v>
      </c>
      <c r="F28" s="32">
        <f>((B28*D28)+(C28*E28))/(D28+E28)</f>
        <v>0.42105263157894735</v>
      </c>
      <c r="G28" s="31">
        <f>(F28*(1-F28)*((1/D28)+(1/E28)))^(1/2)</f>
        <v>0.23481448978188893</v>
      </c>
      <c r="H28" s="30">
        <f>ABS((C28-B28)/G28)</f>
        <v>1.8758475717803176</v>
      </c>
      <c r="I28" s="30">
        <v>0.96965999999999997</v>
      </c>
      <c r="J28" s="30">
        <f>(1-I28)*2</f>
        <v>6.0680000000000067E-2</v>
      </c>
      <c r="K28" s="30" t="str">
        <f>IF(J28&lt;0.01,"Reject Null","Accept Null")</f>
        <v>Accept Null</v>
      </c>
      <c r="L28" s="30" t="str">
        <f>IF(J28&lt;0.05,"Reject Null","Accept Null")</f>
        <v>Accept Null</v>
      </c>
      <c r="M28" s="30" t="str">
        <f>IF(J28&lt;0.1,"Reject Null","Accept Null")</f>
        <v>Reject Null</v>
      </c>
    </row>
    <row r="29" spans="1:13" hidden="1" x14ac:dyDescent="0.25">
      <c r="A29" s="34" t="s">
        <v>39</v>
      </c>
      <c r="B29" s="38">
        <v>0.5625</v>
      </c>
      <c r="C29" s="38">
        <v>0.83333333333333326</v>
      </c>
      <c r="D29" s="34">
        <v>16</v>
      </c>
      <c r="E29" s="34">
        <v>6</v>
      </c>
      <c r="F29" s="32">
        <f>((B29*D29)+(C29*E29))/(D29+E29)</f>
        <v>0.63636363636363635</v>
      </c>
      <c r="G29" s="31">
        <f>(F29*(1-F29)*((1/D29)+(1/E29)))^(1/2)</f>
        <v>0.23028309323591914</v>
      </c>
      <c r="H29" s="30">
        <f>ABS((C29-B29)/G29)</f>
        <v>1.1760886547405869</v>
      </c>
      <c r="I29" s="30">
        <v>0.88022</v>
      </c>
      <c r="J29" s="30">
        <f>(1-I29)*2</f>
        <v>0.23956</v>
      </c>
      <c r="K29" s="30" t="str">
        <f>IF(J29&lt;0.01,"Reject Null","Accept Null")</f>
        <v>Accept Null</v>
      </c>
      <c r="L29" s="30" t="str">
        <f>IF(J29&lt;0.05,"Reject Null","Accept Null")</f>
        <v>Accept Null</v>
      </c>
      <c r="M29" s="30" t="str">
        <f>IF(J29&lt;0.1,"Reject Null","Accept Null")</f>
        <v>Accept Null</v>
      </c>
    </row>
    <row r="30" spans="1:13" hidden="1" x14ac:dyDescent="0.25">
      <c r="A30" s="29" t="s">
        <v>38</v>
      </c>
      <c r="B30" s="37">
        <v>1</v>
      </c>
      <c r="C30" s="37">
        <v>0</v>
      </c>
      <c r="D30" s="29">
        <v>6</v>
      </c>
      <c r="E30" s="29">
        <v>0</v>
      </c>
      <c r="F30" s="27">
        <f>((B30*D30)+(C30*E30))/(D30+E30)</f>
        <v>1</v>
      </c>
      <c r="G30" s="26" t="e">
        <f>(F30*(1-F30)*((1/D30)+(1/E30)))^(1/2)</f>
        <v>#DIV/0!</v>
      </c>
      <c r="H30" s="25" t="e">
        <f>ABS((C30-B30)/G30)</f>
        <v>#DIV/0!</v>
      </c>
      <c r="I30" s="25">
        <v>0</v>
      </c>
      <c r="J30" s="25">
        <f>(1-I30)*2</f>
        <v>2</v>
      </c>
      <c r="K30" s="25" t="str">
        <f>IF(J30&lt;0.01,"Reject Null","Accept Null")</f>
        <v>Accept Null</v>
      </c>
      <c r="L30" s="25" t="str">
        <f>IF(J30&lt;0.05,"Reject Null","Accept Null")</f>
        <v>Accept Null</v>
      </c>
      <c r="M30" s="25" t="str">
        <f>IF(J30&lt;0.1,"Reject Null","Accept Null")</f>
        <v>Accept Null</v>
      </c>
    </row>
    <row r="31" spans="1:13" hidden="1" x14ac:dyDescent="0.25">
      <c r="I31" s="36"/>
      <c r="J31" s="36"/>
      <c r="K31" s="36"/>
      <c r="L31" s="36"/>
      <c r="M31" s="36"/>
    </row>
    <row r="32" spans="1:13" hidden="1" x14ac:dyDescent="0.25">
      <c r="I32" s="36"/>
      <c r="J32" s="36"/>
      <c r="K32" s="36"/>
      <c r="L32" s="36"/>
      <c r="M32" s="36"/>
    </row>
    <row r="33" spans="1:13" ht="60" hidden="1" x14ac:dyDescent="0.25">
      <c r="A33" s="35" t="s">
        <v>54</v>
      </c>
      <c r="B33" s="35" t="s">
        <v>53</v>
      </c>
      <c r="C33" s="35" t="s">
        <v>52</v>
      </c>
      <c r="D33" s="35" t="s">
        <v>51</v>
      </c>
      <c r="E33" s="35" t="s">
        <v>50</v>
      </c>
      <c r="F33" s="35" t="s">
        <v>49</v>
      </c>
      <c r="G33" s="35" t="s">
        <v>48</v>
      </c>
      <c r="H33" s="35" t="s">
        <v>47</v>
      </c>
      <c r="I33" s="35" t="s">
        <v>46</v>
      </c>
      <c r="J33" s="35" t="s">
        <v>45</v>
      </c>
      <c r="K33" s="35" t="s">
        <v>44</v>
      </c>
      <c r="L33" s="35" t="s">
        <v>43</v>
      </c>
      <c r="M33" s="35" t="s">
        <v>42</v>
      </c>
    </row>
    <row r="34" spans="1:13" hidden="1" x14ac:dyDescent="0.25">
      <c r="A34" s="34" t="s">
        <v>41</v>
      </c>
      <c r="B34" s="33">
        <v>0.40425531914893614</v>
      </c>
      <c r="C34" s="33">
        <v>0.5714285714285714</v>
      </c>
      <c r="D34" s="30">
        <v>47</v>
      </c>
      <c r="E34" s="30">
        <v>21</v>
      </c>
      <c r="F34" s="32">
        <f>((B34*D34)+(C34*E34))/(D34+E34)</f>
        <v>0.45588235294117646</v>
      </c>
      <c r="G34" s="31">
        <f>(F34*(1-F34)*((1/D34)+(1/E34)))^(1/2)</f>
        <v>0.13072801784339866</v>
      </c>
      <c r="H34" s="30">
        <f>ABS((C34-B34)/G34)</f>
        <v>1.2787867133417028</v>
      </c>
      <c r="I34" s="30">
        <v>0.89951000000000003</v>
      </c>
      <c r="J34" s="30">
        <f>(1-I34)*2</f>
        <v>0.20097999999999994</v>
      </c>
      <c r="K34" s="30" t="str">
        <f>IF(J34&lt;0.01,"Reject Null","Accept Null")</f>
        <v>Accept Null</v>
      </c>
      <c r="L34" s="30" t="str">
        <f>IF(J34&lt;0.05,"Reject Null","Accept Null")</f>
        <v>Accept Null</v>
      </c>
      <c r="M34" s="30" t="str">
        <f>IF(J34&lt;0.1,"Reject Null","Accept Null")</f>
        <v>Accept Null</v>
      </c>
    </row>
    <row r="35" spans="1:13" hidden="1" x14ac:dyDescent="0.25">
      <c r="A35" s="34" t="s">
        <v>40</v>
      </c>
      <c r="B35" s="33">
        <v>0.55000000000000004</v>
      </c>
      <c r="C35" s="33">
        <v>0.33333333333333331</v>
      </c>
      <c r="D35" s="30">
        <v>20</v>
      </c>
      <c r="E35" s="30">
        <v>9</v>
      </c>
      <c r="F35" s="32">
        <f>((B35*D35)+(C35*E35))/(D35+E35)</f>
        <v>0.48275862068965519</v>
      </c>
      <c r="G35" s="31">
        <f>(F35*(1-F35)*((1/D35)+(1/E35)))^(1/2)</f>
        <v>0.20057388927143846</v>
      </c>
      <c r="H35" s="30">
        <f>ABS((C35-B35)/G35)</f>
        <v>1.0802336607904619</v>
      </c>
      <c r="I35" s="30">
        <v>0.85997999999999997</v>
      </c>
      <c r="J35" s="30">
        <f>(1-I35)*2</f>
        <v>0.28004000000000007</v>
      </c>
      <c r="K35" s="30" t="str">
        <f>IF(J35&lt;0.01,"Reject Null","Accept Null")</f>
        <v>Accept Null</v>
      </c>
      <c r="L35" s="30" t="str">
        <f>IF(J35&lt;0.05,"Reject Null","Accept Null")</f>
        <v>Accept Null</v>
      </c>
      <c r="M35" s="30" t="str">
        <f>IF(J35&lt;0.1,"Reject Null","Accept Null")</f>
        <v>Accept Null</v>
      </c>
    </row>
    <row r="36" spans="1:13" hidden="1" x14ac:dyDescent="0.25">
      <c r="A36" s="34" t="s">
        <v>39</v>
      </c>
      <c r="B36" s="33">
        <v>0.72727272727272718</v>
      </c>
      <c r="C36" s="33">
        <v>1</v>
      </c>
      <c r="D36" s="30">
        <v>22</v>
      </c>
      <c r="E36" s="30">
        <v>3</v>
      </c>
      <c r="F36" s="32">
        <f>((B36*D36)+(C36*E36))/(D36+E36)</f>
        <v>0.76</v>
      </c>
      <c r="G36" s="31">
        <f>(F36*(1-F36)*((1/D36)+(1/E36)))^(1/2)</f>
        <v>0.26285149626910836</v>
      </c>
      <c r="H36" s="30">
        <f>ABS((C36-B36)/G36)</f>
        <v>1.0375716957991123</v>
      </c>
      <c r="I36" s="30">
        <v>0.85026999999999997</v>
      </c>
      <c r="J36" s="30">
        <f>(1-I36)*2</f>
        <v>0.29946000000000006</v>
      </c>
      <c r="K36" s="30" t="str">
        <f>IF(J36&lt;0.01,"Reject Null","Accept Null")</f>
        <v>Accept Null</v>
      </c>
      <c r="L36" s="30" t="str">
        <f>IF(J36&lt;0.05,"Reject Null","Accept Null")</f>
        <v>Accept Null</v>
      </c>
      <c r="M36" s="30" t="str">
        <f>IF(J36&lt;0.1,"Reject Null","Accept Null")</f>
        <v>Accept Null</v>
      </c>
    </row>
    <row r="37" spans="1:13" hidden="1" x14ac:dyDescent="0.25">
      <c r="A37" s="34" t="s">
        <v>38</v>
      </c>
      <c r="B37" s="33">
        <v>0.5</v>
      </c>
      <c r="C37" s="33">
        <v>1</v>
      </c>
      <c r="D37" s="30">
        <v>8</v>
      </c>
      <c r="E37" s="30">
        <v>3</v>
      </c>
      <c r="F37" s="32">
        <f>((B37*D37)+(C37*E37))/(D37+E37)</f>
        <v>0.63636363636363635</v>
      </c>
      <c r="G37" s="31">
        <f>(F37*(1-F37)*((1/D37)+(1/E37)))^(1/2)</f>
        <v>0.3256694736394648</v>
      </c>
      <c r="H37" s="30">
        <f>ABS((C37-B37)/G37)</f>
        <v>1.5352989471574769</v>
      </c>
      <c r="I37" s="30">
        <v>0.93764000000000003</v>
      </c>
      <c r="J37" s="30">
        <f>(1-I37)*2</f>
        <v>0.12471999999999994</v>
      </c>
      <c r="K37" s="30" t="str">
        <f>IF(J37&lt;0.01,"Reject Null","Accept Null")</f>
        <v>Accept Null</v>
      </c>
      <c r="L37" s="30" t="str">
        <f>IF(J37&lt;0.05,"Reject Null","Accept Null")</f>
        <v>Accept Null</v>
      </c>
      <c r="M37" s="30" t="str">
        <f>IF(J37&lt;0.1,"Reject Null","Accept Null")</f>
        <v>Accept Null</v>
      </c>
    </row>
    <row r="38" spans="1:13" hidden="1" x14ac:dyDescent="0.25">
      <c r="I38" s="36"/>
      <c r="J38" s="36"/>
      <c r="K38" s="36"/>
      <c r="L38" s="36"/>
      <c r="M38" s="36"/>
    </row>
    <row r="39" spans="1:13" hidden="1" x14ac:dyDescent="0.25">
      <c r="I39" s="36"/>
      <c r="J39" s="36"/>
      <c r="K39" s="36"/>
      <c r="L39" s="36"/>
      <c r="M39" s="36"/>
    </row>
    <row r="40" spans="1:13" ht="60" hidden="1" x14ac:dyDescent="0.25">
      <c r="A40" s="35" t="s">
        <v>54</v>
      </c>
      <c r="B40" s="35" t="s">
        <v>53</v>
      </c>
      <c r="C40" s="35" t="s">
        <v>52</v>
      </c>
      <c r="D40" s="35" t="s">
        <v>51</v>
      </c>
      <c r="E40" s="35" t="s">
        <v>50</v>
      </c>
      <c r="F40" s="35" t="s">
        <v>49</v>
      </c>
      <c r="G40" s="35" t="s">
        <v>48</v>
      </c>
      <c r="H40" s="35" t="s">
        <v>47</v>
      </c>
      <c r="I40" s="35" t="s">
        <v>46</v>
      </c>
      <c r="J40" s="35" t="s">
        <v>45</v>
      </c>
      <c r="K40" s="35" t="s">
        <v>44</v>
      </c>
      <c r="L40" s="35" t="s">
        <v>43</v>
      </c>
      <c r="M40" s="35" t="s">
        <v>42</v>
      </c>
    </row>
    <row r="41" spans="1:13" hidden="1" x14ac:dyDescent="0.25">
      <c r="A41" s="34" t="s">
        <v>41</v>
      </c>
      <c r="B41" s="33">
        <v>0.47368421052631576</v>
      </c>
      <c r="C41" s="33">
        <v>0.25</v>
      </c>
      <c r="D41" s="30">
        <v>19</v>
      </c>
      <c r="E41" s="30">
        <v>8</v>
      </c>
      <c r="F41" s="32">
        <f>((B41*D41)+(C41*E41))/(D41+E41)</f>
        <v>0.40740740740740738</v>
      </c>
      <c r="G41" s="31">
        <f>(F41*(1-F41)*((1/D41)+(1/E41)))^(1/2)</f>
        <v>0.20708691473246515</v>
      </c>
      <c r="H41" s="30">
        <f>ABS((C41-B41)/G41)</f>
        <v>1.080146521161381</v>
      </c>
      <c r="I41" s="30">
        <v>0.85995999999999995</v>
      </c>
      <c r="J41" s="30">
        <f>(1-I41)*2</f>
        <v>0.28008000000000011</v>
      </c>
      <c r="K41" s="30" t="str">
        <f>IF(J41&lt;0.01,"Reject Null","Accept Null")</f>
        <v>Accept Null</v>
      </c>
      <c r="L41" s="30" t="str">
        <f>IF(J41&lt;0.05,"Reject Null","Accept Null")</f>
        <v>Accept Null</v>
      </c>
      <c r="M41" s="30" t="str">
        <f>IF(J41&lt;0.1,"Reject Null","Accept Null")</f>
        <v>Accept Null</v>
      </c>
    </row>
    <row r="42" spans="1:13" hidden="1" x14ac:dyDescent="0.25">
      <c r="A42" s="34" t="s">
        <v>40</v>
      </c>
      <c r="B42" s="33">
        <v>0.4</v>
      </c>
      <c r="C42" s="33">
        <v>0.5</v>
      </c>
      <c r="D42" s="30">
        <v>10</v>
      </c>
      <c r="E42" s="30">
        <v>2</v>
      </c>
      <c r="F42" s="32">
        <f>((B42*D42)+(C42*E42))/(D42+E42)</f>
        <v>0.41666666666666669</v>
      </c>
      <c r="G42" s="31">
        <f>(F42*(1-F42)*((1/D42)+(1/E42)))^(1/2)</f>
        <v>0.38188130791298663</v>
      </c>
      <c r="H42" s="30">
        <f>ABS((C42-B42)/G42)</f>
        <v>0.26186146828319085</v>
      </c>
      <c r="I42" s="30">
        <v>0.60328999999999999</v>
      </c>
      <c r="J42" s="30">
        <f>(1-I42)*2</f>
        <v>0.79342000000000001</v>
      </c>
      <c r="K42" s="30" t="str">
        <f>IF(J42&lt;0.01,"Reject Null","Accept Null")</f>
        <v>Accept Null</v>
      </c>
      <c r="L42" s="30" t="str">
        <f>IF(J42&lt;0.05,"Reject Null","Accept Null")</f>
        <v>Accept Null</v>
      </c>
      <c r="M42" s="30" t="str">
        <f>IF(J42&lt;0.1,"Reject Null","Accept Null")</f>
        <v>Accept Null</v>
      </c>
    </row>
    <row r="43" spans="1:13" hidden="1" x14ac:dyDescent="0.25">
      <c r="A43" s="34" t="s">
        <v>39</v>
      </c>
      <c r="B43" s="33">
        <v>0.77777777777777768</v>
      </c>
      <c r="C43" s="33">
        <v>0.5</v>
      </c>
      <c r="D43" s="30">
        <v>9</v>
      </c>
      <c r="E43" s="30">
        <v>2</v>
      </c>
      <c r="F43" s="32">
        <f>((B43*D43)+(C43*E43))/(D43+E43)</f>
        <v>0.72727272727272718</v>
      </c>
      <c r="G43" s="31">
        <f>(F43*(1-F43)*((1/D43)+(1/E43)))^(1/2)</f>
        <v>0.3481553119113957</v>
      </c>
      <c r="H43" s="30">
        <f>ABS((C43-B43)/G43)</f>
        <v>0.79785592313028142</v>
      </c>
      <c r="I43" s="30">
        <v>0.78752</v>
      </c>
      <c r="J43" s="30">
        <f>(1-I43)*2</f>
        <v>0.42496</v>
      </c>
      <c r="K43" s="30" t="str">
        <f>IF(J43&lt;0.01,"Reject Null","Accept Null")</f>
        <v>Accept Null</v>
      </c>
      <c r="L43" s="30" t="str">
        <f>IF(J43&lt;0.05,"Reject Null","Accept Null")</f>
        <v>Accept Null</v>
      </c>
      <c r="M43" s="30" t="str">
        <f>IF(J43&lt;0.1,"Reject Null","Accept Null")</f>
        <v>Accept Null</v>
      </c>
    </row>
    <row r="44" spans="1:13" hidden="1" x14ac:dyDescent="0.25">
      <c r="A44" s="29" t="s">
        <v>38</v>
      </c>
      <c r="B44" s="28">
        <v>1</v>
      </c>
      <c r="C44" s="28">
        <v>0</v>
      </c>
      <c r="D44" s="25">
        <v>3</v>
      </c>
      <c r="E44" s="25">
        <v>0</v>
      </c>
      <c r="F44" s="27">
        <f>((B44*D44)+(C44*E44))/(D44+E44)</f>
        <v>1</v>
      </c>
      <c r="G44" s="26" t="e">
        <f>(F44*(1-F44)*((1/D44)+(1/E44)))^(1/2)</f>
        <v>#DIV/0!</v>
      </c>
      <c r="H44" s="25" t="e">
        <f>ABS((C44-B44)/G44)</f>
        <v>#DIV/0!</v>
      </c>
      <c r="I44" s="25">
        <v>0</v>
      </c>
      <c r="J44" s="25">
        <f>(1-I44)*2</f>
        <v>2</v>
      </c>
      <c r="K44" s="25" t="str">
        <f>IF(J44&lt;0.01,"Reject Null","Accept Null")</f>
        <v>Accept Null</v>
      </c>
      <c r="L44" s="25" t="str">
        <f>IF(J44&lt;0.05,"Reject Null","Accept Null")</f>
        <v>Accept Null</v>
      </c>
      <c r="M44" s="25" t="str">
        <f>IF(J44&lt;0.1,"Reject Null","Accept Null")</f>
        <v>Accept Null</v>
      </c>
    </row>
    <row r="45" spans="1:13" hidden="1" x14ac:dyDescent="0.25">
      <c r="I45" s="36"/>
      <c r="J45" s="36"/>
      <c r="K45" s="36"/>
      <c r="L45" s="36"/>
      <c r="M45" s="36"/>
    </row>
    <row r="46" spans="1:13" hidden="1" x14ac:dyDescent="0.25">
      <c r="I46" s="36"/>
      <c r="J46" s="36"/>
      <c r="K46" s="36"/>
      <c r="L46" s="36"/>
      <c r="M46" s="36"/>
    </row>
    <row r="47" spans="1:13" ht="60" hidden="1" x14ac:dyDescent="0.25">
      <c r="A47" s="35" t="s">
        <v>54</v>
      </c>
      <c r="B47" s="35" t="s">
        <v>53</v>
      </c>
      <c r="C47" s="35" t="s">
        <v>52</v>
      </c>
      <c r="D47" s="35" t="s">
        <v>51</v>
      </c>
      <c r="E47" s="35" t="s">
        <v>50</v>
      </c>
      <c r="F47" s="35" t="s">
        <v>49</v>
      </c>
      <c r="G47" s="35" t="s">
        <v>48</v>
      </c>
      <c r="H47" s="35" t="s">
        <v>47</v>
      </c>
      <c r="I47" s="35" t="s">
        <v>46</v>
      </c>
      <c r="J47" s="35" t="s">
        <v>45</v>
      </c>
      <c r="K47" s="35" t="s">
        <v>44</v>
      </c>
      <c r="L47" s="35" t="s">
        <v>43</v>
      </c>
      <c r="M47" s="35" t="s">
        <v>42</v>
      </c>
    </row>
    <row r="48" spans="1:13" hidden="1" x14ac:dyDescent="0.25">
      <c r="A48" s="34" t="s">
        <v>41</v>
      </c>
      <c r="B48" s="33">
        <v>0.66666666666666663</v>
      </c>
      <c r="C48" s="33">
        <v>0.60869565217391308</v>
      </c>
      <c r="D48" s="30">
        <v>12</v>
      </c>
      <c r="E48" s="30">
        <v>23</v>
      </c>
      <c r="F48" s="32">
        <f>((B48*D48)+(C48*E48))/(D48+E48)</f>
        <v>0.62857142857142856</v>
      </c>
      <c r="G48" s="31">
        <f>(F48*(1-F48)*((1/D48)+(1/E48)))^(1/2)</f>
        <v>0.17206575853085695</v>
      </c>
      <c r="H48" s="30">
        <f>ABS((C48-B48)/G48)</f>
        <v>0.33691197474573342</v>
      </c>
      <c r="I48" s="30">
        <v>0.63190999999999997</v>
      </c>
      <c r="J48" s="30">
        <f>(1-I48)*2</f>
        <v>0.73618000000000006</v>
      </c>
      <c r="K48" s="30" t="str">
        <f>IF(J48&lt;0.01,"Reject Null","Accept Null")</f>
        <v>Accept Null</v>
      </c>
      <c r="L48" s="30" t="str">
        <f>IF(J48&lt;0.05,"Reject Null","Accept Null")</f>
        <v>Accept Null</v>
      </c>
      <c r="M48" s="30" t="str">
        <f>IF(J48&lt;0.1,"Reject Null","Accept Null")</f>
        <v>Accept Null</v>
      </c>
    </row>
    <row r="49" spans="1:13" hidden="1" x14ac:dyDescent="0.25">
      <c r="A49" s="34" t="s">
        <v>40</v>
      </c>
      <c r="B49" s="33">
        <v>0.5</v>
      </c>
      <c r="C49" s="33">
        <v>0.42857142857142855</v>
      </c>
      <c r="D49" s="30">
        <v>4</v>
      </c>
      <c r="E49" s="30">
        <v>7</v>
      </c>
      <c r="F49" s="32">
        <f>((B49*D49)+(C49*E49))/(D49+E49)</f>
        <v>0.45454545454545453</v>
      </c>
      <c r="G49" s="31">
        <f>(F49*(1-F49)*((1/D49)+(1/E49)))^(1/2)</f>
        <v>0.31209389196617959</v>
      </c>
      <c r="H49" s="30">
        <f>ABS((C49-B49)/G49)</f>
        <v>0.22886885410853183</v>
      </c>
      <c r="I49" s="30">
        <v>0.59050999999999998</v>
      </c>
      <c r="J49" s="30">
        <f>(1-I49)*2</f>
        <v>0.81898000000000004</v>
      </c>
      <c r="K49" s="30" t="str">
        <f>IF(J49&lt;0.01,"Reject Null","Accept Null")</f>
        <v>Accept Null</v>
      </c>
      <c r="L49" s="30" t="str">
        <f>IF(J49&lt;0.05,"Reject Null","Accept Null")</f>
        <v>Accept Null</v>
      </c>
      <c r="M49" s="30" t="str">
        <f>IF(J49&lt;0.1,"Reject Null","Accept Null")</f>
        <v>Accept Null</v>
      </c>
    </row>
    <row r="50" spans="1:13" hidden="1" x14ac:dyDescent="0.25">
      <c r="A50" s="34" t="s">
        <v>39</v>
      </c>
      <c r="B50" s="33">
        <v>0.66666666666666663</v>
      </c>
      <c r="C50" s="33">
        <v>0</v>
      </c>
      <c r="D50" s="30">
        <v>6</v>
      </c>
      <c r="E50" s="30">
        <v>1</v>
      </c>
      <c r="F50" s="32">
        <f>((B50*D50)+(C50*E50))/(D50+E50)</f>
        <v>0.5714285714285714</v>
      </c>
      <c r="G50" s="31">
        <f>(F50*(1-F50)*((1/D50)+(1/E50)))^(1/2)</f>
        <v>0.53452248382484879</v>
      </c>
      <c r="H50" s="30">
        <f>ABS((C50-B50)/G50)</f>
        <v>1.247219128924647</v>
      </c>
      <c r="I50" s="30">
        <v>0.89383999999999997</v>
      </c>
      <c r="J50" s="30">
        <f>(1-I50)*2</f>
        <v>0.21232000000000006</v>
      </c>
      <c r="K50" s="30" t="str">
        <f>IF(J50&lt;0.01,"Reject Null","Accept Null")</f>
        <v>Accept Null</v>
      </c>
      <c r="L50" s="30" t="str">
        <f>IF(J50&lt;0.05,"Reject Null","Accept Null")</f>
        <v>Accept Null</v>
      </c>
      <c r="M50" s="30" t="str">
        <f>IF(J50&lt;0.1,"Reject Null","Accept Null")</f>
        <v>Accept Null</v>
      </c>
    </row>
    <row r="51" spans="1:13" hidden="1" x14ac:dyDescent="0.25">
      <c r="A51" s="29" t="s">
        <v>38</v>
      </c>
      <c r="B51" s="28">
        <v>1</v>
      </c>
      <c r="C51" s="28">
        <v>1</v>
      </c>
      <c r="D51" s="25">
        <v>6</v>
      </c>
      <c r="E51" s="25">
        <v>1</v>
      </c>
      <c r="F51" s="27">
        <f>((B51*D51)+(C51*E51))/(D51+E51)</f>
        <v>1</v>
      </c>
      <c r="G51" s="26">
        <f>(F51*(1-F51)*((1/D51)+(1/E51)))^(1/2)</f>
        <v>0</v>
      </c>
      <c r="H51" s="25" t="e">
        <f>ABS((C51-B51)/G51)</f>
        <v>#DIV/0!</v>
      </c>
      <c r="I51" s="25">
        <v>0</v>
      </c>
      <c r="J51" s="25">
        <f>(1-I51)*2</f>
        <v>2</v>
      </c>
      <c r="K51" s="25" t="str">
        <f>IF(J51&lt;0.01,"Reject Null","Accept Null")</f>
        <v>Accept Null</v>
      </c>
      <c r="L51" s="25" t="str">
        <f>IF(J51&lt;0.05,"Reject Null","Accept Null")</f>
        <v>Accept Null</v>
      </c>
      <c r="M51" s="25" t="str">
        <f>IF(J51&lt;0.1,"Reject Null","Accept Null")</f>
        <v>Accept Null</v>
      </c>
    </row>
    <row r="52" spans="1:13" hidden="1" x14ac:dyDescent="0.25"/>
    <row r="53" spans="1:13" x14ac:dyDescent="0.25">
      <c r="A53" s="81" t="s">
        <v>37</v>
      </c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1:13" x14ac:dyDescent="0.25">
      <c r="E54" s="24" t="s">
        <v>36</v>
      </c>
    </row>
  </sheetData>
  <mergeCells count="1">
    <mergeCell ref="A53:L53"/>
  </mergeCells>
  <hyperlinks>
    <hyperlink ref="E54" r:id="rId1" xr:uid="{00000000-0004-0000-0300-000000000000}"/>
  </hyperlinks>
  <pageMargins left="0.7" right="0.7" top="0.75" bottom="0.75" header="0.3" footer="0.3"/>
  <pageSetup orientation="portrait" r:id="rId2"/>
  <headerFooter>
    <oddFooter>&amp;L&amp;"Tahoma,Regular"&amp;10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topLeftCell="A2" workbookViewId="0">
      <selection activeCell="A2" sqref="A2"/>
    </sheetView>
  </sheetViews>
  <sheetFormatPr defaultColWidth="0" defaultRowHeight="15" zeroHeight="1" x14ac:dyDescent="0.25"/>
  <cols>
    <col min="1" max="1" width="58.85546875" bestFit="1" customWidth="1"/>
    <col min="2" max="2" width="9.140625" customWidth="1"/>
    <col min="3" max="3" width="9.140625" hidden="1" customWidth="1"/>
    <col min="4" max="5" width="9.140625" customWidth="1"/>
    <col min="6" max="7" width="9.140625" hidden="1" customWidth="1"/>
    <col min="8" max="8" width="26" hidden="1" customWidth="1"/>
    <col min="9" max="16384" width="9.140625" hidden="1"/>
  </cols>
  <sheetData>
    <row r="1" spans="1:10" hidden="1" x14ac:dyDescent="0.25">
      <c r="A1" s="10" t="s">
        <v>83</v>
      </c>
    </row>
    <row r="2" spans="1:10" x14ac:dyDescent="0.25"/>
    <row r="3" spans="1:10" x14ac:dyDescent="0.25">
      <c r="A3" t="s">
        <v>89</v>
      </c>
      <c r="B3">
        <v>50000</v>
      </c>
      <c r="C3">
        <f>B3</f>
        <v>50000</v>
      </c>
      <c r="H3">
        <v>90</v>
      </c>
      <c r="I3">
        <v>1.645</v>
      </c>
      <c r="J3">
        <f>I3^2</f>
        <v>2.7060249999999999</v>
      </c>
    </row>
    <row r="4" spans="1:10" x14ac:dyDescent="0.25">
      <c r="A4" t="s">
        <v>84</v>
      </c>
      <c r="B4">
        <v>95</v>
      </c>
      <c r="C4">
        <f>VLOOKUP(B4,$H$3:$J$5,3,0)</f>
        <v>3.8415999999999997</v>
      </c>
      <c r="H4">
        <v>95</v>
      </c>
      <c r="I4">
        <v>1.96</v>
      </c>
      <c r="J4">
        <f t="shared" ref="J4:J5" si="0">I4^2</f>
        <v>3.8415999999999997</v>
      </c>
    </row>
    <row r="5" spans="1:10" x14ac:dyDescent="0.25">
      <c r="A5" t="s">
        <v>85</v>
      </c>
      <c r="B5" s="56">
        <v>0.5</v>
      </c>
      <c r="C5">
        <f>B5</f>
        <v>0.5</v>
      </c>
      <c r="H5">
        <v>99</v>
      </c>
      <c r="I5">
        <v>2.5760000000000001</v>
      </c>
      <c r="J5">
        <f t="shared" si="0"/>
        <v>6.6357760000000008</v>
      </c>
    </row>
    <row r="6" spans="1:10" x14ac:dyDescent="0.25">
      <c r="A6" t="s">
        <v>86</v>
      </c>
      <c r="B6" s="56">
        <v>0.04</v>
      </c>
      <c r="C6">
        <f>B6</f>
        <v>0.04</v>
      </c>
    </row>
    <row r="7" spans="1:10" hidden="1" x14ac:dyDescent="0.25"/>
    <row r="8" spans="1:10" hidden="1" x14ac:dyDescent="0.25">
      <c r="A8" s="21" t="s">
        <v>87</v>
      </c>
      <c r="B8" s="55">
        <f>ROUND((C4*C5*(1-C5))/(B6^2),0)</f>
        <v>600</v>
      </c>
    </row>
    <row r="9" spans="1:10" hidden="1" x14ac:dyDescent="0.25"/>
    <row r="10" spans="1:10" hidden="1" x14ac:dyDescent="0.25"/>
    <row r="11" spans="1:10" hidden="1" x14ac:dyDescent="0.25">
      <c r="A11" s="55" t="s">
        <v>88</v>
      </c>
      <c r="B11" s="55">
        <f>ROUND(B8/(1+((B8-1)/C3)),0)</f>
        <v>593</v>
      </c>
    </row>
    <row r="12" spans="1:10" hidden="1" x14ac:dyDescent="0.25"/>
    <row r="13" spans="1:10" x14ac:dyDescent="0.25"/>
    <row r="14" spans="1:10" x14ac:dyDescent="0.25">
      <c r="A14" s="21" t="s">
        <v>90</v>
      </c>
      <c r="B14" s="21">
        <f>IF(B3&lt;50000,B11,B8)</f>
        <v>600</v>
      </c>
    </row>
    <row r="15" spans="1:10" x14ac:dyDescent="0.25"/>
  </sheetData>
  <dataValidations count="1">
    <dataValidation type="list" allowBlank="1" showInputMessage="1" showErrorMessage="1" sqref="B4" xr:uid="{00000000-0002-0000-0400-000000000000}">
      <formula1>$H$3:$H$5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"/>
  <sheetViews>
    <sheetView showGridLines="0" zoomScaleNormal="100" workbookViewId="0"/>
  </sheetViews>
  <sheetFormatPr defaultColWidth="0" defaultRowHeight="15" zeroHeight="1" x14ac:dyDescent="0.25"/>
  <cols>
    <col min="1" max="1" width="15.28515625" customWidth="1"/>
    <col min="2" max="2" width="16.85546875" bestFit="1" customWidth="1"/>
    <col min="3" max="3" width="14.85546875" customWidth="1"/>
    <col min="4" max="8" width="9.140625" customWidth="1"/>
    <col min="9" max="16" width="0" hidden="1" customWidth="1"/>
    <col min="17" max="16384" width="9.140625" hidden="1"/>
  </cols>
  <sheetData>
    <row r="1" spans="1:16" x14ac:dyDescent="0.25">
      <c r="A1" s="53" t="s">
        <v>82</v>
      </c>
      <c r="B1" s="54">
        <v>0.1</v>
      </c>
      <c r="C1" s="47" t="s">
        <v>81</v>
      </c>
      <c r="D1" s="47"/>
      <c r="E1" s="47"/>
      <c r="F1" s="47"/>
    </row>
    <row r="2" spans="1:16" x14ac:dyDescent="0.25">
      <c r="A2" s="53" t="s">
        <v>80</v>
      </c>
      <c r="B2" s="54">
        <v>0.02</v>
      </c>
      <c r="C2" s="47" t="s">
        <v>79</v>
      </c>
      <c r="D2" s="47"/>
      <c r="E2" s="47"/>
      <c r="F2" s="47"/>
      <c r="O2" s="44" t="s">
        <v>78</v>
      </c>
      <c r="P2" s="44">
        <f>B6*(2*B1*(1-B1))^0.5-B2</f>
        <v>0.67785229220600396</v>
      </c>
    </row>
    <row r="3" spans="1:16" x14ac:dyDescent="0.25">
      <c r="A3" s="53" t="s">
        <v>77</v>
      </c>
      <c r="B3" s="52">
        <v>0.05</v>
      </c>
      <c r="C3" s="47" t="s">
        <v>137</v>
      </c>
      <c r="D3" s="47"/>
      <c r="E3" s="47"/>
      <c r="F3" s="47"/>
      <c r="O3" s="44" t="s">
        <v>76</v>
      </c>
      <c r="P3" s="44">
        <f>B1*(1-B1)</f>
        <v>9.0000000000000011E-2</v>
      </c>
    </row>
    <row r="4" spans="1:16" x14ac:dyDescent="0.25">
      <c r="A4" s="53" t="s">
        <v>75</v>
      </c>
      <c r="B4" s="52">
        <v>0.02</v>
      </c>
      <c r="C4" s="47" t="s">
        <v>74</v>
      </c>
      <c r="D4" s="47"/>
      <c r="E4" s="47"/>
      <c r="F4" s="47"/>
      <c r="O4" s="44" t="s">
        <v>73</v>
      </c>
      <c r="P4" s="44">
        <f>(B1+B2)*(1-B1-B2)</f>
        <v>0.10560000000000001</v>
      </c>
    </row>
    <row r="5" spans="1:16" x14ac:dyDescent="0.25">
      <c r="A5" s="50" t="s">
        <v>72</v>
      </c>
      <c r="B5" s="50">
        <f>1-B4</f>
        <v>0.98</v>
      </c>
      <c r="C5" s="47"/>
      <c r="D5" s="47"/>
      <c r="E5" s="47"/>
      <c r="F5" s="47"/>
      <c r="O5" s="44" t="s">
        <v>71</v>
      </c>
      <c r="P5" s="44">
        <f>SUM(P3:P4)</f>
        <v>0.19560000000000002</v>
      </c>
    </row>
    <row r="6" spans="1:16" x14ac:dyDescent="0.25">
      <c r="A6" s="50" t="s">
        <v>70</v>
      </c>
      <c r="B6" s="51">
        <f>_xlfn.NORM.S.INV(1-B3)</f>
        <v>1.6448536269514715</v>
      </c>
      <c r="C6" s="82" t="s">
        <v>69</v>
      </c>
      <c r="D6" s="47"/>
      <c r="E6" s="47"/>
      <c r="F6" s="47"/>
      <c r="O6" s="44" t="s">
        <v>68</v>
      </c>
      <c r="P6" s="44">
        <f>P5^0.5</f>
        <v>0.44226688774991962</v>
      </c>
    </row>
    <row r="7" spans="1:16" x14ac:dyDescent="0.25">
      <c r="A7" s="50" t="s">
        <v>67</v>
      </c>
      <c r="B7" s="51">
        <f>-_xlfn.NORM.S.INV(B4)</f>
        <v>2.0537489106318225</v>
      </c>
      <c r="C7" s="82"/>
      <c r="D7" s="47"/>
      <c r="E7" s="47"/>
      <c r="F7" s="47"/>
      <c r="O7" s="44"/>
      <c r="P7" s="44"/>
    </row>
    <row r="8" spans="1:16" x14ac:dyDescent="0.25">
      <c r="A8" s="50"/>
      <c r="B8" s="50"/>
      <c r="C8" s="47"/>
      <c r="D8" s="47"/>
      <c r="E8" s="47"/>
      <c r="F8" s="47"/>
      <c r="O8" s="44" t="s">
        <v>66</v>
      </c>
      <c r="P8" s="44">
        <f>P6*B7/P2</f>
        <v>1.3399750201757579</v>
      </c>
    </row>
    <row r="9" spans="1:16" ht="26.25" x14ac:dyDescent="0.25">
      <c r="A9" s="50" t="s">
        <v>65</v>
      </c>
      <c r="B9" s="49">
        <f>P12+0.5</f>
        <v>4015.8935778273194</v>
      </c>
      <c r="C9" s="48" t="s">
        <v>64</v>
      </c>
      <c r="D9" s="47"/>
      <c r="E9" s="47"/>
      <c r="F9" s="47"/>
      <c r="O9" s="44"/>
      <c r="P9" s="44"/>
    </row>
    <row r="10" spans="1:16" x14ac:dyDescent="0.25">
      <c r="A10" s="47"/>
      <c r="B10" s="47"/>
      <c r="C10" s="47"/>
      <c r="D10" s="47"/>
      <c r="E10" s="47"/>
      <c r="F10" s="47"/>
      <c r="O10" s="44" t="s">
        <v>63</v>
      </c>
      <c r="P10" s="44">
        <f>B6*(2*B1*(1-B1))^0.5</f>
        <v>0.69785229220600398</v>
      </c>
    </row>
    <row r="11" spans="1:16" x14ac:dyDescent="0.25">
      <c r="A11" s="46"/>
      <c r="B11" s="45" t="s">
        <v>62</v>
      </c>
      <c r="O11" s="44" t="s">
        <v>61</v>
      </c>
      <c r="P11" s="44">
        <f>B7*((B1*(1-B1)+(B1+B2)*(1-B1-B2))^0.5)</f>
        <v>0.90830513892492393</v>
      </c>
    </row>
    <row r="12" spans="1:16" hidden="1" x14ac:dyDescent="0.25">
      <c r="O12" s="44" t="s">
        <v>60</v>
      </c>
      <c r="P12" s="44">
        <f>(P10+P11)/B2^2</f>
        <v>4015.3935778273194</v>
      </c>
    </row>
  </sheetData>
  <mergeCells count="1">
    <mergeCell ref="C6:C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16"/>
  <sheetViews>
    <sheetView showGridLines="0" workbookViewId="0"/>
  </sheetViews>
  <sheetFormatPr defaultRowHeight="15" x14ac:dyDescent="0.25"/>
  <cols>
    <col min="3" max="3" width="22.7109375" customWidth="1"/>
    <col min="4" max="4" width="51.42578125" bestFit="1" customWidth="1"/>
    <col min="5" max="5" width="34.85546875" bestFit="1" customWidth="1"/>
    <col min="6" max="6" width="10.7109375" bestFit="1" customWidth="1"/>
    <col min="8" max="9" width="0" hidden="1" customWidth="1"/>
  </cols>
  <sheetData>
    <row r="3" spans="2:9" x14ac:dyDescent="0.25">
      <c r="C3" s="59" t="s">
        <v>91</v>
      </c>
      <c r="D3" s="30">
        <f>AVERAGE(Calculation!E2:E129)</f>
        <v>4.3638352343750038</v>
      </c>
      <c r="E3" s="20"/>
    </row>
    <row r="4" spans="2:9" x14ac:dyDescent="0.25">
      <c r="C4" s="59" t="s">
        <v>92</v>
      </c>
      <c r="D4" s="30">
        <f ca="1">D3*(1+RAND())</f>
        <v>6.8114903078685298</v>
      </c>
      <c r="E4" s="20"/>
    </row>
    <row r="5" spans="2:9" x14ac:dyDescent="0.25">
      <c r="C5" s="59" t="s">
        <v>93</v>
      </c>
      <c r="D5" s="30">
        <f>STDEV(Calculation!E2:E129)</f>
        <v>0.39699474039627625</v>
      </c>
      <c r="E5" s="20"/>
    </row>
    <row r="6" spans="2:9" x14ac:dyDescent="0.25">
      <c r="C6" s="59" t="s">
        <v>87</v>
      </c>
      <c r="D6" s="30">
        <f>COUNT(Calculation!D2:D129)</f>
        <v>128</v>
      </c>
      <c r="E6" s="20"/>
    </row>
    <row r="7" spans="2:9" x14ac:dyDescent="0.25">
      <c r="C7" s="20"/>
      <c r="D7" s="20"/>
      <c r="E7" s="20"/>
    </row>
    <row r="8" spans="2:9" hidden="1" x14ac:dyDescent="0.25">
      <c r="C8" s="20" t="s">
        <v>94</v>
      </c>
      <c r="D8" s="20">
        <f ca="1">(D3-D4)/(D5/(D6^0.5))</f>
        <v>-69.754213821384482</v>
      </c>
      <c r="E8" s="20"/>
    </row>
    <row r="9" spans="2:9" x14ac:dyDescent="0.25">
      <c r="C9" s="30" t="s">
        <v>96</v>
      </c>
      <c r="D9" s="60">
        <v>0.95</v>
      </c>
      <c r="E9" s="30">
        <f>VLOOKUP(D9,$H$9:$I$11,2,0)</f>
        <v>0.51990000000000003</v>
      </c>
      <c r="F9" s="30" t="str">
        <f ca="1">IF(D8&lt;E9,"Reject Null","Accept Null")</f>
        <v>Reject Null</v>
      </c>
      <c r="H9" s="58">
        <v>0.9</v>
      </c>
      <c r="I9">
        <v>0.53979999999999995</v>
      </c>
    </row>
    <row r="10" spans="2:9" x14ac:dyDescent="0.25">
      <c r="C10" s="20"/>
      <c r="D10" s="20"/>
      <c r="H10" s="58">
        <v>0.95</v>
      </c>
      <c r="I10">
        <v>0.51990000000000003</v>
      </c>
    </row>
    <row r="11" spans="2:9" x14ac:dyDescent="0.25">
      <c r="H11" s="58">
        <v>0.99</v>
      </c>
      <c r="I11">
        <v>0.504</v>
      </c>
    </row>
    <row r="12" spans="2:9" x14ac:dyDescent="0.25">
      <c r="C12" t="s">
        <v>99</v>
      </c>
      <c r="D12" t="s">
        <v>95</v>
      </c>
    </row>
    <row r="14" spans="2:9" x14ac:dyDescent="0.25">
      <c r="D14" s="20"/>
    </row>
    <row r="16" spans="2:9" x14ac:dyDescent="0.25">
      <c r="B16" s="10" t="s">
        <v>98</v>
      </c>
      <c r="C16" t="s">
        <v>97</v>
      </c>
    </row>
  </sheetData>
  <dataValidations count="1">
    <dataValidation type="list" allowBlank="1" showInputMessage="1" showErrorMessage="1" sqref="D9" xr:uid="{00000000-0002-0000-0600-000000000000}">
      <formula1>$H$9:$H$11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2"/>
  <sheetViews>
    <sheetView showGridLines="0" zoomScale="80" zoomScaleNormal="80" workbookViewId="0"/>
  </sheetViews>
  <sheetFormatPr defaultRowHeight="15" x14ac:dyDescent="0.25"/>
  <cols>
    <col min="1" max="1" width="19.5703125" customWidth="1"/>
    <col min="2" max="2" width="13.85546875" customWidth="1"/>
    <col min="3" max="3" width="13.5703125" customWidth="1"/>
    <col min="7" max="7" width="14.140625" customWidth="1"/>
    <col min="8" max="8" width="9.140625" customWidth="1"/>
    <col min="9" max="9" width="22.140625" customWidth="1"/>
    <col min="10" max="10" width="16" customWidth="1"/>
    <col min="11" max="11" width="11.28515625" customWidth="1"/>
    <col min="12" max="12" width="11.85546875" customWidth="1"/>
    <col min="15" max="15" width="21" bestFit="1" customWidth="1"/>
    <col min="17" max="17" width="6.5703125" bestFit="1" customWidth="1"/>
    <col min="19" max="21" width="13" bestFit="1" customWidth="1"/>
  </cols>
  <sheetData>
    <row r="1" spans="1:21" x14ac:dyDescent="0.25">
      <c r="A1" s="68" t="s">
        <v>100</v>
      </c>
      <c r="B1" s="68" t="s">
        <v>101</v>
      </c>
      <c r="C1" s="68" t="s">
        <v>113</v>
      </c>
      <c r="J1" s="68">
        <v>1</v>
      </c>
      <c r="K1" s="68">
        <v>2</v>
      </c>
      <c r="L1" s="68">
        <v>3</v>
      </c>
      <c r="M1" s="68">
        <v>4</v>
      </c>
    </row>
    <row r="2" spans="1:21" x14ac:dyDescent="0.25">
      <c r="A2" s="30">
        <v>17.3</v>
      </c>
      <c r="B2" s="30">
        <v>1</v>
      </c>
      <c r="C2" s="69">
        <f t="shared" ref="C2:C33" si="0">(A2-AVERAGE($A$2:$A$101))^2</f>
        <v>2.3286760000000211</v>
      </c>
      <c r="J2" s="30">
        <v>17.3</v>
      </c>
      <c r="K2" s="30">
        <v>19</v>
      </c>
      <c r="L2" s="30">
        <v>19</v>
      </c>
      <c r="M2" s="30">
        <v>19</v>
      </c>
    </row>
    <row r="3" spans="1:21" x14ac:dyDescent="0.25">
      <c r="A3" s="30">
        <v>18.2</v>
      </c>
      <c r="B3" s="30">
        <v>1</v>
      </c>
      <c r="C3" s="69">
        <f t="shared" si="0"/>
        <v>0.39187600000001044</v>
      </c>
      <c r="J3" s="30">
        <v>18.2</v>
      </c>
      <c r="K3" s="30">
        <v>18.7</v>
      </c>
      <c r="L3" s="30">
        <v>18.399999999999999</v>
      </c>
      <c r="M3" s="30">
        <v>19.899999999999999</v>
      </c>
    </row>
    <row r="4" spans="1:21" x14ac:dyDescent="0.25">
      <c r="A4" s="30">
        <v>20.399999999999999</v>
      </c>
      <c r="B4" s="30">
        <v>1</v>
      </c>
      <c r="C4" s="69">
        <f t="shared" si="0"/>
        <v>2.4774759999999714</v>
      </c>
      <c r="E4" s="62" t="s">
        <v>109</v>
      </c>
      <c r="F4" t="s">
        <v>111</v>
      </c>
      <c r="G4" t="s">
        <v>112</v>
      </c>
      <c r="H4" s="65" t="s">
        <v>27</v>
      </c>
      <c r="J4" s="30">
        <v>20.399999999999999</v>
      </c>
      <c r="K4" s="30">
        <v>19.100000000000001</v>
      </c>
      <c r="L4" s="30">
        <v>19.399999999999999</v>
      </c>
      <c r="M4" s="30">
        <v>17.7</v>
      </c>
      <c r="O4" t="s">
        <v>114</v>
      </c>
    </row>
    <row r="5" spans="1:21" x14ac:dyDescent="0.25">
      <c r="A5" s="30">
        <v>18.3</v>
      </c>
      <c r="B5" s="30">
        <v>1</v>
      </c>
      <c r="C5" s="69">
        <f t="shared" si="0"/>
        <v>0.27667600000000725</v>
      </c>
      <c r="E5" s="63">
        <v>1</v>
      </c>
      <c r="F5" s="64">
        <v>451.2000000000001</v>
      </c>
      <c r="G5" s="64">
        <v>24</v>
      </c>
      <c r="H5" s="30">
        <f>F5/G5</f>
        <v>18.800000000000004</v>
      </c>
      <c r="J5" s="30">
        <v>18.3</v>
      </c>
      <c r="K5" s="30">
        <v>18.100000000000001</v>
      </c>
      <c r="L5" s="30">
        <v>20.5</v>
      </c>
      <c r="M5" s="30">
        <v>19.7</v>
      </c>
    </row>
    <row r="6" spans="1:21" ht="15.75" thickBot="1" x14ac:dyDescent="0.3">
      <c r="A6" s="30">
        <v>20.9</v>
      </c>
      <c r="B6" s="30">
        <v>1</v>
      </c>
      <c r="C6" s="69">
        <f t="shared" si="0"/>
        <v>4.3014759999999628</v>
      </c>
      <c r="E6" s="63">
        <v>2</v>
      </c>
      <c r="F6" s="64">
        <v>690.10000000000014</v>
      </c>
      <c r="G6" s="64">
        <v>37</v>
      </c>
      <c r="H6" s="30">
        <f t="shared" ref="H6:H9" si="1">F6/G6</f>
        <v>18.651351351351355</v>
      </c>
      <c r="J6" s="30">
        <v>20.9</v>
      </c>
      <c r="K6" s="30">
        <v>17.5</v>
      </c>
      <c r="L6" s="30">
        <v>18.100000000000001</v>
      </c>
      <c r="M6" s="30">
        <v>19</v>
      </c>
      <c r="O6" t="s">
        <v>115</v>
      </c>
    </row>
    <row r="7" spans="1:21" x14ac:dyDescent="0.25">
      <c r="A7" s="30">
        <v>18.3</v>
      </c>
      <c r="B7" s="30">
        <v>1</v>
      </c>
      <c r="C7" s="69">
        <f t="shared" si="0"/>
        <v>0.27667600000000725</v>
      </c>
      <c r="E7" s="63">
        <v>3</v>
      </c>
      <c r="F7" s="64">
        <v>362.9</v>
      </c>
      <c r="G7" s="64">
        <v>19</v>
      </c>
      <c r="H7" s="30">
        <f t="shared" si="1"/>
        <v>19.099999999999998</v>
      </c>
      <c r="J7" s="30">
        <v>18.3</v>
      </c>
      <c r="K7" s="30">
        <v>18.899999999999999</v>
      </c>
      <c r="L7" s="30">
        <v>19.5</v>
      </c>
      <c r="M7" s="30">
        <v>18.399999999999999</v>
      </c>
      <c r="O7" s="14" t="s">
        <v>116</v>
      </c>
      <c r="P7" s="14" t="s">
        <v>15</v>
      </c>
      <c r="Q7" s="14" t="s">
        <v>14</v>
      </c>
      <c r="R7" s="14" t="s">
        <v>27</v>
      </c>
      <c r="S7" s="14" t="s">
        <v>117</v>
      </c>
    </row>
    <row r="8" spans="1:21" x14ac:dyDescent="0.25">
      <c r="A8" s="30">
        <v>18.600000000000001</v>
      </c>
      <c r="B8" s="30">
        <v>1</v>
      </c>
      <c r="C8" s="69">
        <f t="shared" si="0"/>
        <v>5.10760000000028E-2</v>
      </c>
      <c r="E8" s="63">
        <v>4</v>
      </c>
      <c r="F8" s="64">
        <v>378.4</v>
      </c>
      <c r="G8" s="64">
        <v>20</v>
      </c>
      <c r="H8" s="30">
        <f t="shared" si="1"/>
        <v>18.919999999999998</v>
      </c>
      <c r="J8" s="30">
        <v>18.600000000000001</v>
      </c>
      <c r="K8" s="30">
        <v>20.5</v>
      </c>
      <c r="L8" s="30">
        <v>19.7</v>
      </c>
      <c r="M8" s="30">
        <v>20.399999999999999</v>
      </c>
      <c r="O8" s="13">
        <v>1</v>
      </c>
      <c r="P8" s="13">
        <v>24</v>
      </c>
      <c r="Q8" s="13">
        <v>451.2000000000001</v>
      </c>
      <c r="R8" s="13">
        <v>18.800000000000004</v>
      </c>
      <c r="S8" s="13">
        <v>1.4113043478260867</v>
      </c>
    </row>
    <row r="9" spans="1:21" x14ac:dyDescent="0.25">
      <c r="A9" s="30">
        <v>18.5</v>
      </c>
      <c r="B9" s="30">
        <v>1</v>
      </c>
      <c r="C9" s="69">
        <f t="shared" si="0"/>
        <v>0.10627600000000496</v>
      </c>
      <c r="E9" s="63" t="s">
        <v>110</v>
      </c>
      <c r="F9" s="64">
        <v>1882.6000000000006</v>
      </c>
      <c r="G9" s="64">
        <v>100</v>
      </c>
      <c r="H9" s="30">
        <f t="shared" si="1"/>
        <v>18.826000000000008</v>
      </c>
      <c r="J9" s="30">
        <v>18.5</v>
      </c>
      <c r="K9" s="30">
        <v>17.3</v>
      </c>
      <c r="L9" s="30">
        <v>19.7</v>
      </c>
      <c r="M9" s="30">
        <v>18.8</v>
      </c>
      <c r="O9" s="13">
        <v>2</v>
      </c>
      <c r="P9" s="13">
        <v>37</v>
      </c>
      <c r="Q9" s="13">
        <v>690.10000000000014</v>
      </c>
      <c r="R9" s="13">
        <v>18.651351351351355</v>
      </c>
      <c r="S9" s="13">
        <v>1.5970120120120108</v>
      </c>
    </row>
    <row r="10" spans="1:21" x14ac:dyDescent="0.25">
      <c r="A10" s="30">
        <v>19.899999999999999</v>
      </c>
      <c r="B10" s="30">
        <v>1</v>
      </c>
      <c r="C10" s="69">
        <f t="shared" si="0"/>
        <v>1.1534759999999806</v>
      </c>
      <c r="J10" s="30">
        <v>19.899999999999999</v>
      </c>
      <c r="K10" s="30">
        <v>19.8</v>
      </c>
      <c r="L10" s="30">
        <v>18.600000000000001</v>
      </c>
      <c r="M10" s="30">
        <v>16.8</v>
      </c>
      <c r="O10" s="13">
        <v>3</v>
      </c>
      <c r="P10" s="13">
        <v>19</v>
      </c>
      <c r="Q10" s="13">
        <v>362.9</v>
      </c>
      <c r="R10" s="13">
        <v>19.099999999999998</v>
      </c>
      <c r="S10" s="13">
        <v>0.69222222222222241</v>
      </c>
    </row>
    <row r="11" spans="1:21" ht="15.75" thickBot="1" x14ac:dyDescent="0.3">
      <c r="A11" s="30">
        <v>19.600000000000001</v>
      </c>
      <c r="B11" s="30">
        <v>1</v>
      </c>
      <c r="C11" s="69">
        <f t="shared" si="0"/>
        <v>0.59907599999999039</v>
      </c>
      <c r="J11" s="30">
        <v>19.600000000000001</v>
      </c>
      <c r="K11" s="30">
        <v>20.2</v>
      </c>
      <c r="L11" s="30">
        <v>19.600000000000001</v>
      </c>
      <c r="M11" s="30">
        <v>18.899999999999999</v>
      </c>
      <c r="O11" s="61">
        <v>4</v>
      </c>
      <c r="P11" s="61">
        <v>20</v>
      </c>
      <c r="Q11" s="61">
        <v>378.4</v>
      </c>
      <c r="R11" s="61">
        <v>18.919999999999998</v>
      </c>
      <c r="S11" s="61">
        <v>1.3574736842105266</v>
      </c>
    </row>
    <row r="12" spans="1:21" x14ac:dyDescent="0.25">
      <c r="A12" s="30">
        <v>20.6</v>
      </c>
      <c r="B12" s="30">
        <v>1</v>
      </c>
      <c r="C12" s="69">
        <f t="shared" si="0"/>
        <v>3.147075999999978</v>
      </c>
      <c r="J12" s="30">
        <v>20.6</v>
      </c>
      <c r="K12" s="30">
        <v>18.5</v>
      </c>
      <c r="L12" s="30">
        <v>20</v>
      </c>
      <c r="M12" s="30">
        <v>19.2</v>
      </c>
    </row>
    <row r="13" spans="1:21" x14ac:dyDescent="0.25">
      <c r="A13" s="30">
        <v>20.100000000000001</v>
      </c>
      <c r="B13" s="30">
        <v>1</v>
      </c>
      <c r="C13" s="69">
        <f t="shared" si="0"/>
        <v>1.6230759999999842</v>
      </c>
      <c r="E13" s="10" t="s">
        <v>135</v>
      </c>
      <c r="J13" s="30">
        <v>20.100000000000001</v>
      </c>
      <c r="K13" s="30">
        <v>18</v>
      </c>
      <c r="L13" s="30">
        <v>20</v>
      </c>
      <c r="M13" s="30">
        <v>18.7</v>
      </c>
    </row>
    <row r="14" spans="1:21" ht="15.75" thickBot="1" x14ac:dyDescent="0.3">
      <c r="A14" s="30">
        <v>18.8</v>
      </c>
      <c r="B14" s="30">
        <v>1</v>
      </c>
      <c r="C14" s="69">
        <f t="shared" si="0"/>
        <v>6.7600000000035915E-4</v>
      </c>
      <c r="J14" s="30">
        <v>18.8</v>
      </c>
      <c r="K14" s="30">
        <v>20.9</v>
      </c>
      <c r="L14" s="30">
        <v>19</v>
      </c>
      <c r="M14" s="30">
        <v>19.8</v>
      </c>
      <c r="O14" t="s">
        <v>102</v>
      </c>
    </row>
    <row r="15" spans="1:21" x14ac:dyDescent="0.25">
      <c r="A15" s="30">
        <v>18</v>
      </c>
      <c r="B15" s="30">
        <v>1</v>
      </c>
      <c r="C15" s="69">
        <f t="shared" si="0"/>
        <v>0.68227600000001254</v>
      </c>
      <c r="E15" s="10" t="s">
        <v>138</v>
      </c>
      <c r="J15" s="30">
        <v>18</v>
      </c>
      <c r="K15" s="30">
        <v>18.100000000000001</v>
      </c>
      <c r="L15" s="30">
        <v>19.2</v>
      </c>
      <c r="M15" s="30">
        <v>19.3</v>
      </c>
      <c r="O15" s="14" t="s">
        <v>118</v>
      </c>
      <c r="P15" s="14" t="s">
        <v>105</v>
      </c>
      <c r="Q15" s="14" t="s">
        <v>104</v>
      </c>
      <c r="R15" s="14" t="s">
        <v>106</v>
      </c>
      <c r="S15" s="14" t="s">
        <v>107</v>
      </c>
      <c r="T15" s="14" t="s">
        <v>108</v>
      </c>
      <c r="U15" s="14" t="s">
        <v>119</v>
      </c>
    </row>
    <row r="16" spans="1:21" x14ac:dyDescent="0.25">
      <c r="A16" s="30">
        <v>18.5</v>
      </c>
      <c r="B16" s="30">
        <v>1</v>
      </c>
      <c r="C16" s="69">
        <f t="shared" si="0"/>
        <v>0.10627600000000496</v>
      </c>
      <c r="E16" s="10" t="s">
        <v>139</v>
      </c>
      <c r="J16" s="30">
        <v>18.5</v>
      </c>
      <c r="K16" s="30">
        <v>16.100000000000001</v>
      </c>
      <c r="L16" s="30">
        <v>17.899999999999999</v>
      </c>
      <c r="M16" s="30">
        <v>20.100000000000001</v>
      </c>
      <c r="O16" s="13" t="s">
        <v>120</v>
      </c>
      <c r="P16" s="13">
        <v>2.7479675675675139</v>
      </c>
      <c r="Q16" s="13">
        <v>3</v>
      </c>
      <c r="R16" s="13">
        <v>0.91598918918917127</v>
      </c>
      <c r="S16" s="13">
        <v>0.68589642724330013</v>
      </c>
      <c r="T16" s="66">
        <v>0.5628145807631646</v>
      </c>
      <c r="U16" s="13">
        <v>2.6993925975521802</v>
      </c>
    </row>
    <row r="17" spans="1:21" x14ac:dyDescent="0.25">
      <c r="A17" s="30">
        <v>18.5</v>
      </c>
      <c r="B17" s="30">
        <v>1</v>
      </c>
      <c r="C17" s="69">
        <f t="shared" si="0"/>
        <v>0.10627600000000496</v>
      </c>
      <c r="J17" s="30">
        <v>18.5</v>
      </c>
      <c r="K17" s="30">
        <v>18.7</v>
      </c>
      <c r="L17" s="30">
        <v>18.3</v>
      </c>
      <c r="M17" s="30">
        <v>16.399999999999999</v>
      </c>
      <c r="O17" s="13" t="s">
        <v>121</v>
      </c>
      <c r="P17" s="13">
        <v>128.20443243243238</v>
      </c>
      <c r="Q17" s="13">
        <v>96</v>
      </c>
      <c r="R17" s="13">
        <v>1.3354628378378373</v>
      </c>
      <c r="S17" s="13"/>
      <c r="T17" s="13"/>
      <c r="U17" s="13"/>
    </row>
    <row r="18" spans="1:21" x14ac:dyDescent="0.25">
      <c r="A18" s="30">
        <v>17.8</v>
      </c>
      <c r="B18" s="30">
        <v>1</v>
      </c>
      <c r="C18" s="69">
        <f t="shared" si="0"/>
        <v>1.0526760000000142</v>
      </c>
      <c r="J18" s="30">
        <v>17.8</v>
      </c>
      <c r="K18" s="30">
        <v>17.3</v>
      </c>
      <c r="L18" s="30">
        <v>19.3</v>
      </c>
      <c r="M18" s="30">
        <v>19.399999999999999</v>
      </c>
      <c r="O18" s="13"/>
      <c r="P18" s="13"/>
      <c r="Q18" s="13"/>
      <c r="R18" s="13"/>
      <c r="S18" s="13"/>
      <c r="T18" s="13"/>
      <c r="U18" s="13"/>
    </row>
    <row r="19" spans="1:21" ht="15.75" thickBot="1" x14ac:dyDescent="0.3">
      <c r="A19" s="30">
        <v>20.8</v>
      </c>
      <c r="B19" s="30">
        <v>1</v>
      </c>
      <c r="C19" s="69">
        <f t="shared" si="0"/>
        <v>3.8966759999999727</v>
      </c>
      <c r="J19" s="30">
        <v>20.8</v>
      </c>
      <c r="K19" s="30">
        <v>18.399999999999999</v>
      </c>
      <c r="L19" s="30">
        <v>17.2</v>
      </c>
      <c r="M19" s="30">
        <v>19.600000000000001</v>
      </c>
      <c r="O19" s="61" t="s">
        <v>103</v>
      </c>
      <c r="P19" s="61">
        <v>130.9523999999999</v>
      </c>
      <c r="Q19" s="61">
        <v>99</v>
      </c>
      <c r="R19" s="61"/>
      <c r="S19" s="61"/>
      <c r="T19" s="61"/>
      <c r="U19" s="61"/>
    </row>
    <row r="20" spans="1:21" x14ac:dyDescent="0.25">
      <c r="A20" s="30">
        <v>18.5</v>
      </c>
      <c r="B20" s="30">
        <v>1</v>
      </c>
      <c r="C20" s="69">
        <f t="shared" si="0"/>
        <v>0.10627600000000496</v>
      </c>
      <c r="J20" s="30">
        <v>18.5</v>
      </c>
      <c r="K20" s="30">
        <v>17.100000000000001</v>
      </c>
      <c r="L20" s="30">
        <v>19.5</v>
      </c>
      <c r="M20" s="30">
        <v>16.899999999999999</v>
      </c>
    </row>
    <row r="21" spans="1:21" x14ac:dyDescent="0.25">
      <c r="A21" s="30">
        <v>16.3</v>
      </c>
      <c r="B21" s="30">
        <v>1</v>
      </c>
      <c r="C21" s="69">
        <f t="shared" si="0"/>
        <v>6.3806760000000349</v>
      </c>
      <c r="J21" s="30">
        <v>16.3</v>
      </c>
      <c r="K21" s="30">
        <v>17.100000000000001</v>
      </c>
      <c r="L21" s="30"/>
      <c r="M21" s="30">
        <v>20.399999999999999</v>
      </c>
    </row>
    <row r="22" spans="1:21" x14ac:dyDescent="0.25">
      <c r="A22" s="30">
        <v>19.100000000000001</v>
      </c>
      <c r="B22" s="30">
        <v>1</v>
      </c>
      <c r="C22" s="69">
        <f t="shared" si="0"/>
        <v>7.5075999999996604E-2</v>
      </c>
      <c r="J22" s="30">
        <v>19.100000000000001</v>
      </c>
      <c r="K22" s="30">
        <v>18.600000000000001</v>
      </c>
      <c r="L22" s="30"/>
      <c r="M22" s="30"/>
    </row>
    <row r="23" spans="1:21" x14ac:dyDescent="0.25">
      <c r="A23" s="30">
        <v>17.5</v>
      </c>
      <c r="B23" s="30">
        <v>1</v>
      </c>
      <c r="C23" s="69">
        <f t="shared" si="0"/>
        <v>1.7582760000000202</v>
      </c>
      <c r="J23" s="30">
        <v>17.5</v>
      </c>
      <c r="K23" s="30">
        <v>20.3</v>
      </c>
      <c r="L23" s="73"/>
      <c r="M23" s="73"/>
      <c r="N23" s="71"/>
      <c r="O23" s="71"/>
      <c r="P23" s="71"/>
      <c r="Q23" s="71"/>
      <c r="R23" s="71"/>
      <c r="S23" s="71"/>
      <c r="T23" s="71"/>
    </row>
    <row r="24" spans="1:21" x14ac:dyDescent="0.25">
      <c r="A24" s="30">
        <v>17.600000000000001</v>
      </c>
      <c r="B24" s="30">
        <v>1</v>
      </c>
      <c r="C24" s="69">
        <f t="shared" si="0"/>
        <v>1.5030760000000152</v>
      </c>
      <c r="J24" s="30">
        <v>17.600000000000001</v>
      </c>
      <c r="K24" s="30">
        <v>18.7</v>
      </c>
      <c r="L24" s="73"/>
      <c r="M24" s="74"/>
      <c r="N24" s="72"/>
      <c r="O24" s="71"/>
      <c r="P24" s="71"/>
      <c r="Q24" s="71"/>
      <c r="R24" s="71"/>
      <c r="S24" s="71"/>
      <c r="T24" s="71"/>
    </row>
    <row r="25" spans="1:21" x14ac:dyDescent="0.25">
      <c r="A25" s="30">
        <v>19.100000000000001</v>
      </c>
      <c r="B25" s="30">
        <v>1</v>
      </c>
      <c r="C25" s="69">
        <f t="shared" si="0"/>
        <v>7.5075999999996604E-2</v>
      </c>
      <c r="J25" s="30">
        <v>19.100000000000001</v>
      </c>
      <c r="K25" s="30">
        <v>18.8</v>
      </c>
      <c r="L25" s="73"/>
      <c r="M25" s="74"/>
      <c r="N25" s="71"/>
      <c r="O25" s="71"/>
      <c r="P25" s="71"/>
      <c r="Q25" s="71"/>
      <c r="R25" s="71"/>
      <c r="S25" s="71"/>
      <c r="T25" s="71"/>
    </row>
    <row r="26" spans="1:21" x14ac:dyDescent="0.25">
      <c r="A26" s="30">
        <v>19</v>
      </c>
      <c r="B26" s="30">
        <v>2</v>
      </c>
      <c r="C26" s="69">
        <f t="shared" si="0"/>
        <v>3.027599999999735E-2</v>
      </c>
      <c r="J26" s="30"/>
      <c r="K26" s="30">
        <v>19.399999999999999</v>
      </c>
      <c r="L26" s="73"/>
      <c r="M26" s="73"/>
      <c r="N26" s="71"/>
      <c r="O26" s="71"/>
      <c r="P26" s="71"/>
      <c r="Q26" s="71"/>
      <c r="R26" s="71"/>
      <c r="S26" s="71"/>
      <c r="T26" s="71"/>
    </row>
    <row r="27" spans="1:21" x14ac:dyDescent="0.25">
      <c r="A27" s="30">
        <v>18.7</v>
      </c>
      <c r="B27" s="30">
        <v>2</v>
      </c>
      <c r="C27" s="69">
        <f t="shared" si="0"/>
        <v>1.58760000000021E-2</v>
      </c>
      <c r="J27" s="30"/>
      <c r="K27" s="30">
        <v>16.600000000000001</v>
      </c>
      <c r="L27" s="73"/>
      <c r="M27" s="73"/>
      <c r="N27" s="71"/>
      <c r="O27" s="71"/>
      <c r="P27" s="71"/>
      <c r="Q27" s="71"/>
      <c r="R27" s="71"/>
      <c r="S27" s="71"/>
      <c r="T27" s="71"/>
    </row>
    <row r="28" spans="1:21" x14ac:dyDescent="0.25">
      <c r="A28" s="30">
        <v>19.100000000000001</v>
      </c>
      <c r="B28" s="30">
        <v>2</v>
      </c>
      <c r="C28" s="69">
        <f t="shared" si="0"/>
        <v>7.5075999999996604E-2</v>
      </c>
      <c r="J28" s="30"/>
      <c r="K28" s="30">
        <v>19.399999999999999</v>
      </c>
      <c r="L28" s="73"/>
      <c r="M28" s="73"/>
      <c r="N28" s="71"/>
      <c r="O28" s="71"/>
      <c r="P28" s="71"/>
      <c r="Q28" s="71"/>
      <c r="R28" s="71"/>
      <c r="S28" s="71"/>
      <c r="T28" s="71"/>
    </row>
    <row r="29" spans="1:21" x14ac:dyDescent="0.25">
      <c r="A29" s="30">
        <v>18.100000000000001</v>
      </c>
      <c r="B29" s="30">
        <v>2</v>
      </c>
      <c r="C29" s="69">
        <f t="shared" si="0"/>
        <v>0.52707600000000898</v>
      </c>
      <c r="J29" s="30"/>
      <c r="K29" s="30">
        <v>20.5</v>
      </c>
      <c r="L29" s="73"/>
      <c r="M29" s="73"/>
      <c r="N29" s="71"/>
      <c r="O29" s="71"/>
      <c r="P29" s="71"/>
      <c r="Q29" s="71"/>
      <c r="R29" s="71"/>
      <c r="S29" s="71"/>
      <c r="T29" s="71"/>
    </row>
    <row r="30" spans="1:21" x14ac:dyDescent="0.25">
      <c r="A30" s="30">
        <v>17.5</v>
      </c>
      <c r="B30" s="30">
        <v>2</v>
      </c>
      <c r="C30" s="69">
        <f t="shared" si="0"/>
        <v>1.7582760000000202</v>
      </c>
      <c r="J30" s="30"/>
      <c r="K30" s="30">
        <v>17.7</v>
      </c>
      <c r="L30" s="30"/>
      <c r="M30" s="30"/>
    </row>
    <row r="31" spans="1:21" x14ac:dyDescent="0.25">
      <c r="A31" s="30">
        <v>18.899999999999999</v>
      </c>
      <c r="B31" s="30">
        <v>2</v>
      </c>
      <c r="C31" s="69">
        <f t="shared" si="0"/>
        <v>5.4759999999986625E-3</v>
      </c>
      <c r="J31" s="30"/>
      <c r="K31" s="30">
        <v>19.899999999999999</v>
      </c>
      <c r="L31" s="30"/>
      <c r="M31" s="30"/>
    </row>
    <row r="32" spans="1:21" x14ac:dyDescent="0.25">
      <c r="A32" s="30">
        <v>20.5</v>
      </c>
      <c r="B32" s="30">
        <v>2</v>
      </c>
      <c r="C32" s="69">
        <f t="shared" si="0"/>
        <v>2.8022759999999747</v>
      </c>
      <c r="J32" s="30"/>
      <c r="K32" s="30">
        <v>18.8</v>
      </c>
      <c r="L32" s="30"/>
      <c r="M32" s="30"/>
    </row>
    <row r="33" spans="1:13" x14ac:dyDescent="0.25">
      <c r="A33" s="30">
        <v>17.3</v>
      </c>
      <c r="B33" s="30">
        <v>2</v>
      </c>
      <c r="C33" s="69">
        <f t="shared" si="0"/>
        <v>2.3286760000000211</v>
      </c>
      <c r="J33" s="30"/>
      <c r="K33" s="30">
        <v>20.6</v>
      </c>
      <c r="L33" s="30"/>
      <c r="M33" s="30"/>
    </row>
    <row r="34" spans="1:13" x14ac:dyDescent="0.25">
      <c r="A34" s="30">
        <v>19.8</v>
      </c>
      <c r="B34" s="30">
        <v>2</v>
      </c>
      <c r="C34" s="69">
        <f t="shared" ref="C34:C65" si="2">(A34-AVERAGE($A$2:$A$101))^2</f>
        <v>0.94867599999998653</v>
      </c>
      <c r="J34" s="30"/>
      <c r="K34" s="30">
        <v>17.100000000000001</v>
      </c>
      <c r="L34" s="30"/>
      <c r="M34" s="30"/>
    </row>
    <row r="35" spans="1:13" x14ac:dyDescent="0.25">
      <c r="A35" s="30">
        <v>20.2</v>
      </c>
      <c r="B35" s="30">
        <v>2</v>
      </c>
      <c r="C35" s="69">
        <f t="shared" si="2"/>
        <v>1.887875999999977</v>
      </c>
      <c r="J35" s="30"/>
      <c r="K35" s="30">
        <v>17.2</v>
      </c>
      <c r="L35" s="30"/>
      <c r="M35" s="30"/>
    </row>
    <row r="36" spans="1:13" x14ac:dyDescent="0.25">
      <c r="A36" s="30">
        <v>18.5</v>
      </c>
      <c r="B36" s="30">
        <v>2</v>
      </c>
      <c r="C36" s="69">
        <f t="shared" si="2"/>
        <v>0.10627600000000496</v>
      </c>
      <c r="J36" s="30"/>
      <c r="K36" s="30">
        <v>17.3</v>
      </c>
      <c r="L36" s="30"/>
      <c r="M36" s="30"/>
    </row>
    <row r="37" spans="1:13" x14ac:dyDescent="0.25">
      <c r="A37" s="30">
        <v>18</v>
      </c>
      <c r="B37" s="30">
        <v>2</v>
      </c>
      <c r="C37" s="69">
        <f t="shared" si="2"/>
        <v>0.68227600000001254</v>
      </c>
      <c r="J37" s="30"/>
      <c r="K37" s="30">
        <v>20</v>
      </c>
      <c r="L37" s="30"/>
      <c r="M37" s="30"/>
    </row>
    <row r="38" spans="1:13" x14ac:dyDescent="0.25">
      <c r="A38" s="30">
        <v>20.9</v>
      </c>
      <c r="B38" s="30">
        <v>2</v>
      </c>
      <c r="C38" s="69">
        <f t="shared" si="2"/>
        <v>4.3014759999999628</v>
      </c>
      <c r="J38" s="30"/>
      <c r="K38" s="30">
        <v>19.899999999999999</v>
      </c>
      <c r="L38" s="30"/>
      <c r="M38" s="30"/>
    </row>
    <row r="39" spans="1:13" x14ac:dyDescent="0.25">
      <c r="A39" s="30">
        <v>18.100000000000001</v>
      </c>
      <c r="B39" s="30">
        <v>2</v>
      </c>
      <c r="C39" s="69">
        <f t="shared" si="2"/>
        <v>0.52707600000000898</v>
      </c>
    </row>
    <row r="40" spans="1:13" x14ac:dyDescent="0.25">
      <c r="A40" s="30">
        <v>16.100000000000001</v>
      </c>
      <c r="B40" s="30">
        <v>2</v>
      </c>
      <c r="C40" s="69">
        <f t="shared" si="2"/>
        <v>7.4310760000000338</v>
      </c>
    </row>
    <row r="41" spans="1:13" x14ac:dyDescent="0.25">
      <c r="A41" s="30">
        <v>18.7</v>
      </c>
      <c r="B41" s="30">
        <v>2</v>
      </c>
      <c r="C41" s="69">
        <f t="shared" si="2"/>
        <v>1.58760000000021E-2</v>
      </c>
    </row>
    <row r="42" spans="1:13" x14ac:dyDescent="0.25">
      <c r="A42" s="30">
        <v>17.3</v>
      </c>
      <c r="B42" s="30">
        <v>2</v>
      </c>
      <c r="C42" s="69">
        <f t="shared" si="2"/>
        <v>2.3286760000000211</v>
      </c>
    </row>
    <row r="43" spans="1:13" x14ac:dyDescent="0.25">
      <c r="A43" s="30">
        <v>18.399999999999999</v>
      </c>
      <c r="B43" s="30">
        <v>2</v>
      </c>
      <c r="C43" s="69">
        <f t="shared" si="2"/>
        <v>0.18147600000000769</v>
      </c>
    </row>
    <row r="44" spans="1:13" x14ac:dyDescent="0.25">
      <c r="A44" s="30">
        <v>17.100000000000001</v>
      </c>
      <c r="B44" s="30">
        <v>2</v>
      </c>
      <c r="C44" s="69">
        <f t="shared" si="2"/>
        <v>2.9790760000000214</v>
      </c>
    </row>
    <row r="45" spans="1:13" x14ac:dyDescent="0.25">
      <c r="A45" s="30">
        <v>17.100000000000001</v>
      </c>
      <c r="B45" s="30">
        <v>2</v>
      </c>
      <c r="C45" s="69">
        <f t="shared" si="2"/>
        <v>2.9790760000000214</v>
      </c>
    </row>
    <row r="46" spans="1:13" x14ac:dyDescent="0.25">
      <c r="A46" s="30">
        <v>18.600000000000001</v>
      </c>
      <c r="B46" s="30">
        <v>2</v>
      </c>
      <c r="C46" s="69">
        <f t="shared" si="2"/>
        <v>5.10760000000028E-2</v>
      </c>
    </row>
    <row r="47" spans="1:13" x14ac:dyDescent="0.25">
      <c r="A47" s="30">
        <v>20.3</v>
      </c>
      <c r="B47" s="30">
        <v>2</v>
      </c>
      <c r="C47" s="69">
        <f t="shared" si="2"/>
        <v>2.1726759999999796</v>
      </c>
    </row>
    <row r="48" spans="1:13" x14ac:dyDescent="0.25">
      <c r="A48" s="30">
        <v>18.7</v>
      </c>
      <c r="B48" s="30">
        <v>2</v>
      </c>
      <c r="C48" s="69">
        <f t="shared" si="2"/>
        <v>1.58760000000021E-2</v>
      </c>
    </row>
    <row r="49" spans="1:3" x14ac:dyDescent="0.25">
      <c r="A49" s="30">
        <v>18.8</v>
      </c>
      <c r="B49" s="30">
        <v>2</v>
      </c>
      <c r="C49" s="69">
        <f t="shared" si="2"/>
        <v>6.7600000000035915E-4</v>
      </c>
    </row>
    <row r="50" spans="1:3" x14ac:dyDescent="0.25">
      <c r="A50" s="30">
        <v>19.399999999999999</v>
      </c>
      <c r="B50" s="30">
        <v>2</v>
      </c>
      <c r="C50" s="69">
        <f t="shared" si="2"/>
        <v>0.32947599999998961</v>
      </c>
    </row>
    <row r="51" spans="1:3" x14ac:dyDescent="0.25">
      <c r="A51" s="30">
        <v>16.600000000000001</v>
      </c>
      <c r="B51" s="30">
        <v>2</v>
      </c>
      <c r="C51" s="69">
        <f t="shared" si="2"/>
        <v>4.9550760000000276</v>
      </c>
    </row>
    <row r="52" spans="1:3" x14ac:dyDescent="0.25">
      <c r="A52" s="30">
        <v>19.399999999999999</v>
      </c>
      <c r="B52" s="30">
        <v>2</v>
      </c>
      <c r="C52" s="69">
        <f t="shared" si="2"/>
        <v>0.32947599999998961</v>
      </c>
    </row>
    <row r="53" spans="1:3" x14ac:dyDescent="0.25">
      <c r="A53" s="30">
        <v>20.5</v>
      </c>
      <c r="B53" s="30">
        <v>2</v>
      </c>
      <c r="C53" s="69">
        <f t="shared" si="2"/>
        <v>2.8022759999999747</v>
      </c>
    </row>
    <row r="54" spans="1:3" x14ac:dyDescent="0.25">
      <c r="A54" s="30">
        <v>17.7</v>
      </c>
      <c r="B54" s="30">
        <v>2</v>
      </c>
      <c r="C54" s="69">
        <f t="shared" si="2"/>
        <v>1.2678760000000187</v>
      </c>
    </row>
    <row r="55" spans="1:3" x14ac:dyDescent="0.25">
      <c r="A55" s="30">
        <v>19.899999999999999</v>
      </c>
      <c r="B55" s="30">
        <v>2</v>
      </c>
      <c r="C55" s="69">
        <f t="shared" si="2"/>
        <v>1.1534759999999806</v>
      </c>
    </row>
    <row r="56" spans="1:3" x14ac:dyDescent="0.25">
      <c r="A56" s="30">
        <v>18.8</v>
      </c>
      <c r="B56" s="30">
        <v>2</v>
      </c>
      <c r="C56" s="69">
        <f t="shared" si="2"/>
        <v>6.7600000000035915E-4</v>
      </c>
    </row>
    <row r="57" spans="1:3" x14ac:dyDescent="0.25">
      <c r="A57" s="30">
        <v>20.6</v>
      </c>
      <c r="B57" s="30">
        <v>2</v>
      </c>
      <c r="C57" s="69">
        <f t="shared" si="2"/>
        <v>3.147075999999978</v>
      </c>
    </row>
    <row r="58" spans="1:3" x14ac:dyDescent="0.25">
      <c r="A58" s="30">
        <v>17.100000000000001</v>
      </c>
      <c r="B58" s="30">
        <v>2</v>
      </c>
      <c r="C58" s="69">
        <f t="shared" si="2"/>
        <v>2.9790760000000214</v>
      </c>
    </row>
    <row r="59" spans="1:3" x14ac:dyDescent="0.25">
      <c r="A59" s="30">
        <v>17.2</v>
      </c>
      <c r="B59" s="30">
        <v>2</v>
      </c>
      <c r="C59" s="69">
        <f t="shared" si="2"/>
        <v>2.6438760000000272</v>
      </c>
    </row>
    <row r="60" spans="1:3" x14ac:dyDescent="0.25">
      <c r="A60" s="30">
        <v>17.3</v>
      </c>
      <c r="B60" s="30">
        <v>2</v>
      </c>
      <c r="C60" s="69">
        <f t="shared" si="2"/>
        <v>2.3286760000000211</v>
      </c>
    </row>
    <row r="61" spans="1:3" x14ac:dyDescent="0.25">
      <c r="A61" s="30">
        <v>20</v>
      </c>
      <c r="B61" s="30">
        <v>2</v>
      </c>
      <c r="C61" s="69">
        <f t="shared" si="2"/>
        <v>1.3782759999999821</v>
      </c>
    </row>
    <row r="62" spans="1:3" x14ac:dyDescent="0.25">
      <c r="A62" s="30">
        <v>19.899999999999999</v>
      </c>
      <c r="B62" s="30">
        <v>2</v>
      </c>
      <c r="C62" s="69">
        <f t="shared" si="2"/>
        <v>1.1534759999999806</v>
      </c>
    </row>
    <row r="63" spans="1:3" x14ac:dyDescent="0.25">
      <c r="A63" s="30">
        <v>19</v>
      </c>
      <c r="B63" s="30">
        <v>3</v>
      </c>
      <c r="C63" s="69">
        <f t="shared" si="2"/>
        <v>3.027599999999735E-2</v>
      </c>
    </row>
    <row r="64" spans="1:3" x14ac:dyDescent="0.25">
      <c r="A64" s="30">
        <v>18.399999999999999</v>
      </c>
      <c r="B64" s="30">
        <v>3</v>
      </c>
      <c r="C64" s="69">
        <f t="shared" si="2"/>
        <v>0.18147600000000769</v>
      </c>
    </row>
    <row r="65" spans="1:3" x14ac:dyDescent="0.25">
      <c r="A65" s="30">
        <v>19.399999999999999</v>
      </c>
      <c r="B65" s="30">
        <v>3</v>
      </c>
      <c r="C65" s="69">
        <f t="shared" si="2"/>
        <v>0.32947599999998961</v>
      </c>
    </row>
    <row r="66" spans="1:3" x14ac:dyDescent="0.25">
      <c r="A66" s="30">
        <v>20.5</v>
      </c>
      <c r="B66" s="30">
        <v>3</v>
      </c>
      <c r="C66" s="69">
        <f t="shared" ref="C66:C101" si="3">(A66-AVERAGE($A$2:$A$101))^2</f>
        <v>2.8022759999999747</v>
      </c>
    </row>
    <row r="67" spans="1:3" x14ac:dyDescent="0.25">
      <c r="A67" s="30">
        <v>18.100000000000001</v>
      </c>
      <c r="B67" s="30">
        <v>3</v>
      </c>
      <c r="C67" s="69">
        <f t="shared" si="3"/>
        <v>0.52707600000000898</v>
      </c>
    </row>
    <row r="68" spans="1:3" x14ac:dyDescent="0.25">
      <c r="A68" s="30">
        <v>19.5</v>
      </c>
      <c r="B68" s="30">
        <v>3</v>
      </c>
      <c r="C68" s="69">
        <f t="shared" si="3"/>
        <v>0.45427599999998974</v>
      </c>
    </row>
    <row r="69" spans="1:3" x14ac:dyDescent="0.25">
      <c r="A69" s="30">
        <v>19.7</v>
      </c>
      <c r="B69" s="30">
        <v>3</v>
      </c>
      <c r="C69" s="69">
        <f t="shared" si="3"/>
        <v>0.76387599999998546</v>
      </c>
    </row>
    <row r="70" spans="1:3" x14ac:dyDescent="0.25">
      <c r="A70" s="30">
        <v>19.7</v>
      </c>
      <c r="B70" s="30">
        <v>3</v>
      </c>
      <c r="C70" s="69">
        <f t="shared" si="3"/>
        <v>0.76387599999998546</v>
      </c>
    </row>
    <row r="71" spans="1:3" x14ac:dyDescent="0.25">
      <c r="A71" s="30">
        <v>18.600000000000001</v>
      </c>
      <c r="B71" s="30">
        <v>3</v>
      </c>
      <c r="C71" s="69">
        <f t="shared" si="3"/>
        <v>5.10760000000028E-2</v>
      </c>
    </row>
    <row r="72" spans="1:3" x14ac:dyDescent="0.25">
      <c r="A72" s="30">
        <v>19.600000000000001</v>
      </c>
      <c r="B72" s="30">
        <v>3</v>
      </c>
      <c r="C72" s="69">
        <f t="shared" si="3"/>
        <v>0.59907599999999039</v>
      </c>
    </row>
    <row r="73" spans="1:3" x14ac:dyDescent="0.25">
      <c r="A73" s="30">
        <v>20</v>
      </c>
      <c r="B73" s="30">
        <v>3</v>
      </c>
      <c r="C73" s="69">
        <f t="shared" si="3"/>
        <v>1.3782759999999821</v>
      </c>
    </row>
    <row r="74" spans="1:3" x14ac:dyDescent="0.25">
      <c r="A74" s="30">
        <v>20</v>
      </c>
      <c r="B74" s="30">
        <v>3</v>
      </c>
      <c r="C74" s="69">
        <f t="shared" si="3"/>
        <v>1.3782759999999821</v>
      </c>
    </row>
    <row r="75" spans="1:3" x14ac:dyDescent="0.25">
      <c r="A75" s="30">
        <v>19</v>
      </c>
      <c r="B75" s="30">
        <v>3</v>
      </c>
      <c r="C75" s="69">
        <f t="shared" si="3"/>
        <v>3.027599999999735E-2</v>
      </c>
    </row>
    <row r="76" spans="1:3" x14ac:dyDescent="0.25">
      <c r="A76" s="30">
        <v>19.2</v>
      </c>
      <c r="B76" s="30">
        <v>3</v>
      </c>
      <c r="C76" s="69">
        <f t="shared" si="3"/>
        <v>0.13987599999999378</v>
      </c>
    </row>
    <row r="77" spans="1:3" x14ac:dyDescent="0.25">
      <c r="A77" s="30">
        <v>17.899999999999999</v>
      </c>
      <c r="B77" s="30">
        <v>3</v>
      </c>
      <c r="C77" s="69">
        <f t="shared" si="3"/>
        <v>0.85747600000001678</v>
      </c>
    </row>
    <row r="78" spans="1:3" x14ac:dyDescent="0.25">
      <c r="A78" s="30">
        <v>18.3</v>
      </c>
      <c r="B78" s="30">
        <v>3</v>
      </c>
      <c r="C78" s="69">
        <f t="shared" si="3"/>
        <v>0.27667600000000725</v>
      </c>
    </row>
    <row r="79" spans="1:3" x14ac:dyDescent="0.25">
      <c r="A79" s="30">
        <v>19.3</v>
      </c>
      <c r="B79" s="30">
        <v>3</v>
      </c>
      <c r="C79" s="69">
        <f t="shared" si="3"/>
        <v>0.22467599999999346</v>
      </c>
    </row>
    <row r="80" spans="1:3" x14ac:dyDescent="0.25">
      <c r="A80" s="30">
        <v>17.2</v>
      </c>
      <c r="B80" s="30">
        <v>3</v>
      </c>
      <c r="C80" s="69">
        <f t="shared" si="3"/>
        <v>2.6438760000000272</v>
      </c>
    </row>
    <row r="81" spans="1:3" x14ac:dyDescent="0.25">
      <c r="A81" s="30">
        <v>19.5</v>
      </c>
      <c r="B81" s="30">
        <v>3</v>
      </c>
      <c r="C81" s="69">
        <f t="shared" si="3"/>
        <v>0.45427599999998974</v>
      </c>
    </row>
    <row r="82" spans="1:3" x14ac:dyDescent="0.25">
      <c r="A82" s="30">
        <v>19</v>
      </c>
      <c r="B82" s="30">
        <v>4</v>
      </c>
      <c r="C82" s="69">
        <f t="shared" si="3"/>
        <v>3.027599999999735E-2</v>
      </c>
    </row>
    <row r="83" spans="1:3" x14ac:dyDescent="0.25">
      <c r="A83" s="30">
        <v>19.899999999999999</v>
      </c>
      <c r="B83" s="30">
        <v>4</v>
      </c>
      <c r="C83" s="69">
        <f t="shared" si="3"/>
        <v>1.1534759999999806</v>
      </c>
    </row>
    <row r="84" spans="1:3" x14ac:dyDescent="0.25">
      <c r="A84" s="30">
        <v>17.7</v>
      </c>
      <c r="B84" s="30">
        <v>4</v>
      </c>
      <c r="C84" s="69">
        <f t="shared" si="3"/>
        <v>1.2678760000000187</v>
      </c>
    </row>
    <row r="85" spans="1:3" x14ac:dyDescent="0.25">
      <c r="A85" s="30">
        <v>19.7</v>
      </c>
      <c r="B85" s="30">
        <v>4</v>
      </c>
      <c r="C85" s="69">
        <f t="shared" si="3"/>
        <v>0.76387599999998546</v>
      </c>
    </row>
    <row r="86" spans="1:3" x14ac:dyDescent="0.25">
      <c r="A86" s="30">
        <v>19</v>
      </c>
      <c r="B86" s="30">
        <v>4</v>
      </c>
      <c r="C86" s="69">
        <f t="shared" si="3"/>
        <v>3.027599999999735E-2</v>
      </c>
    </row>
    <row r="87" spans="1:3" x14ac:dyDescent="0.25">
      <c r="A87" s="30">
        <v>18.399999999999999</v>
      </c>
      <c r="B87" s="30">
        <v>4</v>
      </c>
      <c r="C87" s="69">
        <f t="shared" si="3"/>
        <v>0.18147600000000769</v>
      </c>
    </row>
    <row r="88" spans="1:3" x14ac:dyDescent="0.25">
      <c r="A88" s="30">
        <v>20.399999999999999</v>
      </c>
      <c r="B88" s="30">
        <v>4</v>
      </c>
      <c r="C88" s="69">
        <f t="shared" si="3"/>
        <v>2.4774759999999714</v>
      </c>
    </row>
    <row r="89" spans="1:3" x14ac:dyDescent="0.25">
      <c r="A89" s="30">
        <v>18.8</v>
      </c>
      <c r="B89" s="30">
        <v>4</v>
      </c>
      <c r="C89" s="69">
        <f t="shared" si="3"/>
        <v>6.7600000000035915E-4</v>
      </c>
    </row>
    <row r="90" spans="1:3" x14ac:dyDescent="0.25">
      <c r="A90" s="30">
        <v>16.8</v>
      </c>
      <c r="B90" s="30">
        <v>4</v>
      </c>
      <c r="C90" s="69">
        <f t="shared" si="3"/>
        <v>4.104676000000028</v>
      </c>
    </row>
    <row r="91" spans="1:3" x14ac:dyDescent="0.25">
      <c r="A91" s="30">
        <v>18.899999999999999</v>
      </c>
      <c r="B91" s="30">
        <v>4</v>
      </c>
      <c r="C91" s="69">
        <f t="shared" si="3"/>
        <v>5.4759999999986625E-3</v>
      </c>
    </row>
    <row r="92" spans="1:3" x14ac:dyDescent="0.25">
      <c r="A92" s="30">
        <v>19.2</v>
      </c>
      <c r="B92" s="30">
        <v>4</v>
      </c>
      <c r="C92" s="69">
        <f t="shared" si="3"/>
        <v>0.13987599999999378</v>
      </c>
    </row>
    <row r="93" spans="1:3" x14ac:dyDescent="0.25">
      <c r="A93" s="30">
        <v>18.7</v>
      </c>
      <c r="B93" s="30">
        <v>4</v>
      </c>
      <c r="C93" s="69">
        <f t="shared" si="3"/>
        <v>1.58760000000021E-2</v>
      </c>
    </row>
    <row r="94" spans="1:3" x14ac:dyDescent="0.25">
      <c r="A94" s="30">
        <v>19.8</v>
      </c>
      <c r="B94" s="30">
        <v>4</v>
      </c>
      <c r="C94" s="69">
        <f t="shared" si="3"/>
        <v>0.94867599999998653</v>
      </c>
    </row>
    <row r="95" spans="1:3" x14ac:dyDescent="0.25">
      <c r="A95" s="30">
        <v>19.3</v>
      </c>
      <c r="B95" s="30">
        <v>4</v>
      </c>
      <c r="C95" s="69">
        <f t="shared" si="3"/>
        <v>0.22467599999999346</v>
      </c>
    </row>
    <row r="96" spans="1:3" x14ac:dyDescent="0.25">
      <c r="A96" s="30">
        <v>20.100000000000001</v>
      </c>
      <c r="B96" s="30">
        <v>4</v>
      </c>
      <c r="C96" s="69">
        <f t="shared" si="3"/>
        <v>1.6230759999999842</v>
      </c>
    </row>
    <row r="97" spans="1:3" x14ac:dyDescent="0.25">
      <c r="A97" s="30">
        <v>16.399999999999999</v>
      </c>
      <c r="B97" s="30">
        <v>4</v>
      </c>
      <c r="C97" s="69">
        <f t="shared" si="3"/>
        <v>5.8854760000000441</v>
      </c>
    </row>
    <row r="98" spans="1:3" x14ac:dyDescent="0.25">
      <c r="A98" s="30">
        <v>19.399999999999999</v>
      </c>
      <c r="B98" s="30">
        <v>4</v>
      </c>
      <c r="C98" s="69">
        <f t="shared" si="3"/>
        <v>0.32947599999998961</v>
      </c>
    </row>
    <row r="99" spans="1:3" x14ac:dyDescent="0.25">
      <c r="A99" s="30">
        <v>19.600000000000001</v>
      </c>
      <c r="B99" s="30">
        <v>4</v>
      </c>
      <c r="C99" s="69">
        <f t="shared" si="3"/>
        <v>0.59907599999999039</v>
      </c>
    </row>
    <row r="100" spans="1:3" x14ac:dyDescent="0.25">
      <c r="A100" s="30">
        <v>16.899999999999999</v>
      </c>
      <c r="B100" s="30">
        <v>4</v>
      </c>
      <c r="C100" s="69">
        <f t="shared" si="3"/>
        <v>3.7094760000000346</v>
      </c>
    </row>
    <row r="101" spans="1:3" x14ac:dyDescent="0.25">
      <c r="A101" s="30">
        <v>20.399999999999999</v>
      </c>
      <c r="B101" s="30">
        <v>4</v>
      </c>
      <c r="C101" s="69">
        <f t="shared" si="3"/>
        <v>2.4774759999999714</v>
      </c>
    </row>
    <row r="102" spans="1:3" x14ac:dyDescent="0.25">
      <c r="C102" s="70">
        <f>SUM(C2:C101)</f>
        <v>130.95239999999998</v>
      </c>
    </row>
  </sheetData>
  <sortState xmlns:xlrd2="http://schemas.microsoft.com/office/spreadsheetml/2017/richdata2" ref="A2:C101">
    <sortCondition ref="B2:B101"/>
  </sortState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15"/>
  <sheetViews>
    <sheetView showGridLines="0" tabSelected="1" workbookViewId="0"/>
  </sheetViews>
  <sheetFormatPr defaultRowHeight="15" x14ac:dyDescent="0.25"/>
  <cols>
    <col min="2" max="2" width="19.140625" customWidth="1"/>
    <col min="3" max="3" width="21.85546875" customWidth="1"/>
    <col min="4" max="4" width="35.85546875" customWidth="1"/>
    <col min="5" max="5" width="20.85546875" customWidth="1"/>
  </cols>
  <sheetData>
    <row r="2" spans="2:5" x14ac:dyDescent="0.25">
      <c r="B2" s="75" t="s">
        <v>122</v>
      </c>
      <c r="C2" s="75" t="s">
        <v>123</v>
      </c>
      <c r="D2" s="75" t="s">
        <v>124</v>
      </c>
    </row>
    <row r="3" spans="2:5" x14ac:dyDescent="0.25">
      <c r="B3" s="76" t="s">
        <v>125</v>
      </c>
      <c r="C3" s="76" t="s">
        <v>126</v>
      </c>
      <c r="D3" s="76" t="s">
        <v>127</v>
      </c>
    </row>
    <row r="4" spans="2:5" x14ac:dyDescent="0.25">
      <c r="B4" s="80">
        <v>58</v>
      </c>
      <c r="C4" s="80">
        <v>35</v>
      </c>
      <c r="D4" s="80" t="s">
        <v>132</v>
      </c>
    </row>
    <row r="5" spans="2:5" x14ac:dyDescent="0.25">
      <c r="B5" s="80">
        <v>11</v>
      </c>
      <c r="C5" s="80">
        <v>25</v>
      </c>
      <c r="D5" s="80" t="s">
        <v>133</v>
      </c>
    </row>
    <row r="6" spans="2:5" x14ac:dyDescent="0.25">
      <c r="B6" s="80">
        <v>10</v>
      </c>
      <c r="C6" s="80">
        <v>23</v>
      </c>
      <c r="D6" s="80" t="s">
        <v>134</v>
      </c>
    </row>
    <row r="7" spans="2:5" x14ac:dyDescent="0.25">
      <c r="B7" s="75" t="s">
        <v>128</v>
      </c>
      <c r="C7" s="75" t="s">
        <v>129</v>
      </c>
      <c r="D7" s="75" t="s">
        <v>127</v>
      </c>
    </row>
    <row r="8" spans="2:5" x14ac:dyDescent="0.25">
      <c r="B8" s="80">
        <v>46</v>
      </c>
      <c r="C8" s="80">
        <v>47</v>
      </c>
      <c r="D8" s="80" t="s">
        <v>132</v>
      </c>
    </row>
    <row r="9" spans="2:5" x14ac:dyDescent="0.25">
      <c r="B9" s="80">
        <v>18</v>
      </c>
      <c r="C9" s="80">
        <v>17</v>
      </c>
      <c r="D9" s="80" t="s">
        <v>133</v>
      </c>
    </row>
    <row r="10" spans="2:5" x14ac:dyDescent="0.25">
      <c r="B10" s="80">
        <v>15</v>
      </c>
      <c r="C10" s="80">
        <v>15</v>
      </c>
      <c r="D10" s="80" t="s">
        <v>134</v>
      </c>
    </row>
    <row r="12" spans="2:5" x14ac:dyDescent="0.25">
      <c r="C12" s="30" t="s">
        <v>130</v>
      </c>
      <c r="D12" s="67">
        <f>_xlfn.CHISQ.TEST(B4:C6,B8:C10)</f>
        <v>9.0762622473392746E-5</v>
      </c>
      <c r="E12" s="30" t="str">
        <f>IF(D12&lt;0.05,"Reject Null","Accept Null")</f>
        <v>Reject Null</v>
      </c>
    </row>
    <row r="15" spans="2:5" x14ac:dyDescent="0.25">
      <c r="B15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Calculation</vt:lpstr>
      <vt:lpstr>Descriptive Stats</vt:lpstr>
      <vt:lpstr>Normality Test</vt:lpstr>
      <vt:lpstr>Test of Proportions</vt:lpstr>
      <vt:lpstr>Sample Size</vt:lpstr>
      <vt:lpstr>Sample_Size Calculator1</vt:lpstr>
      <vt:lpstr>T_Z Test</vt:lpstr>
      <vt:lpstr>ANOVA</vt:lpstr>
      <vt:lpstr>ChiSq</vt:lpstr>
    </vt:vector>
  </TitlesOfParts>
  <Company>[Default]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Moitra, Anindya</dc:creator>
  <cp:lastModifiedBy>Moitra, Anindya</cp:lastModifiedBy>
  <dcterms:created xsi:type="dcterms:W3CDTF">2014-04-23T13:48:02Z</dcterms:created>
  <dcterms:modified xsi:type="dcterms:W3CDTF">2019-06-11T10:03:18Z</dcterms:modified>
</cp:coreProperties>
</file>